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gma\OneDrive\Área de Trabalho\PROCESSO LICITATORIO - MALVINAS RETOMADA DE OBRA 2026\10. Orçamento - ANDAMENTO\ORÇAMENTO DESONERADO - VENCENDORA - EXCEL\"/>
    </mc:Choice>
  </mc:AlternateContent>
  <xr:revisionPtr revIDLastSave="0" documentId="13_ncr:1_{C5EEBC7C-2726-4A67-B417-6A24E9CF4A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" sheetId="1" r:id="rId1"/>
    <sheet name="Memória de Cálculo" sheetId="3" r:id="rId2"/>
    <sheet name="Composições" sheetId="2" r:id="rId3"/>
    <sheet name="Cromograma Fisico Financeiro" sheetId="4" r:id="rId4"/>
    <sheet name="BDI" sheetId="5" r:id="rId5"/>
    <sheet name="BDI - II" sheetId="6" r:id="rId6"/>
  </sheets>
  <definedNames>
    <definedName name="_xlnm._FilterDatabase" localSheetId="0" hidden="1">ORÇAMENTO!$A$9:$K$346</definedName>
    <definedName name="_xlnm.Print_Area" localSheetId="4">BDI!$A$1:$C$40</definedName>
    <definedName name="_xlnm.Print_Area" localSheetId="5">'BDI - II'!$A$1:$C$27</definedName>
    <definedName name="_xlnm.Print_Area" localSheetId="2">Composições!$A$1:$J$142</definedName>
    <definedName name="_xlnm.Print_Area" localSheetId="3">'Cromograma Fisico Financeiro'!$A$1:$J$38</definedName>
    <definedName name="_xlnm.Print_Area" localSheetId="1">'Memória de Cálculo'!$A$1:$J$1420</definedName>
    <definedName name="_xlnm.Print_Area" localSheetId="0">ORÇAMENTO!$A$1:$L$329</definedName>
    <definedName name="_xlnm.Print_Titles" localSheetId="2">Composições!$1:$7</definedName>
    <definedName name="_xlnm.Print_Titles" localSheetId="1">'Memória de Cálculo'!$1:$7</definedName>
    <definedName name="_xlnm.Print_Titles" localSheetId="0">ORÇAMENTO!$1:$9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93" i="3" l="1"/>
  <c r="F73" i="1"/>
  <c r="J376" i="3"/>
  <c r="J381" i="3" s="1"/>
  <c r="F379" i="3"/>
  <c r="F397" i="3"/>
  <c r="J379" i="3"/>
  <c r="J378" i="3"/>
  <c r="J377" i="3"/>
  <c r="J133" i="2"/>
  <c r="J134" i="2"/>
  <c r="J135" i="2"/>
  <c r="J136" i="2"/>
  <c r="J137" i="2"/>
  <c r="J138" i="2"/>
  <c r="J139" i="2"/>
  <c r="J140" i="2"/>
  <c r="J141" i="2"/>
  <c r="J132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16" i="2"/>
  <c r="J109" i="2"/>
  <c r="J110" i="2"/>
  <c r="J111" i="2"/>
  <c r="J112" i="2"/>
  <c r="J108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83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64" i="2"/>
  <c r="J57" i="2"/>
  <c r="J58" i="2"/>
  <c r="J59" i="2"/>
  <c r="J60" i="2"/>
  <c r="J56" i="2"/>
  <c r="J48" i="2"/>
  <c r="J49" i="2"/>
  <c r="J50" i="2"/>
  <c r="J51" i="2"/>
  <c r="J47" i="2"/>
  <c r="J41" i="2"/>
  <c r="J42" i="2"/>
  <c r="J43" i="2"/>
  <c r="J40" i="2"/>
  <c r="J27" i="2"/>
  <c r="J28" i="2"/>
  <c r="J29" i="2"/>
  <c r="J30" i="2"/>
  <c r="J31" i="2"/>
  <c r="J32" i="2"/>
  <c r="J33" i="2"/>
  <c r="J34" i="2"/>
  <c r="J35" i="2"/>
  <c r="J26" i="2"/>
  <c r="J13" i="2"/>
  <c r="J14" i="2"/>
  <c r="J15" i="2"/>
  <c r="J16" i="2"/>
  <c r="J17" i="2"/>
  <c r="J18" i="2"/>
  <c r="J19" i="2"/>
  <c r="J20" i="2"/>
  <c r="J21" i="2"/>
  <c r="J12" i="2"/>
  <c r="C200" i="3"/>
  <c r="B104" i="3"/>
  <c r="J142" i="2" l="1"/>
  <c r="B807" i="3" l="1"/>
  <c r="C807" i="3"/>
  <c r="D807" i="3"/>
  <c r="B609" i="3"/>
  <c r="C609" i="3"/>
  <c r="D609" i="3"/>
  <c r="I32" i="1"/>
  <c r="K32" i="1" s="1"/>
  <c r="J195" i="3"/>
  <c r="J130" i="3"/>
  <c r="B109" i="3"/>
  <c r="D104" i="3"/>
  <c r="J105" i="3"/>
  <c r="J32" i="1"/>
  <c r="B3" i="4" l="1"/>
  <c r="B31" i="4"/>
  <c r="B29" i="4"/>
  <c r="B27" i="4"/>
  <c r="B25" i="4"/>
  <c r="B23" i="4"/>
  <c r="B21" i="4"/>
  <c r="B19" i="4"/>
  <c r="B17" i="4"/>
  <c r="B1418" i="3"/>
  <c r="C1418" i="3"/>
  <c r="D1418" i="3"/>
  <c r="B15" i="4"/>
  <c r="H318" i="1"/>
  <c r="J318" i="1"/>
  <c r="I316" i="1"/>
  <c r="I317" i="1"/>
  <c r="I318" i="1"/>
  <c r="K318" i="1" s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297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80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4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1" i="1"/>
  <c r="I222" i="1"/>
  <c r="I223" i="1"/>
  <c r="I224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194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7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96" i="1"/>
  <c r="I94" i="1"/>
  <c r="I89" i="1"/>
  <c r="I90" i="1"/>
  <c r="I88" i="1"/>
  <c r="I84" i="1"/>
  <c r="I85" i="1"/>
  <c r="I86" i="1"/>
  <c r="I83" i="1"/>
  <c r="I79" i="1"/>
  <c r="I80" i="1"/>
  <c r="I78" i="1"/>
  <c r="I70" i="1"/>
  <c r="I71" i="1"/>
  <c r="I73" i="1"/>
  <c r="I74" i="1"/>
  <c r="I75" i="1"/>
  <c r="I76" i="1"/>
  <c r="I69" i="1"/>
  <c r="I58" i="1"/>
  <c r="I59" i="1"/>
  <c r="I60" i="1"/>
  <c r="I61" i="1"/>
  <c r="I62" i="1"/>
  <c r="I63" i="1"/>
  <c r="I64" i="1"/>
  <c r="I65" i="1"/>
  <c r="I66" i="1"/>
  <c r="I67" i="1"/>
  <c r="I57" i="1"/>
  <c r="I47" i="1"/>
  <c r="I48" i="1"/>
  <c r="I49" i="1"/>
  <c r="I50" i="1"/>
  <c r="I51" i="1"/>
  <c r="I52" i="1"/>
  <c r="I53" i="1"/>
  <c r="I54" i="1"/>
  <c r="I46" i="1"/>
  <c r="I35" i="1"/>
  <c r="I36" i="1"/>
  <c r="I37" i="1"/>
  <c r="I38" i="1"/>
  <c r="I39" i="1"/>
  <c r="I40" i="1"/>
  <c r="I41" i="1"/>
  <c r="I42" i="1"/>
  <c r="I43" i="1"/>
  <c r="I44" i="1"/>
  <c r="I34" i="1"/>
  <c r="I12" i="1"/>
  <c r="I27" i="1"/>
  <c r="I28" i="1"/>
  <c r="I29" i="1"/>
  <c r="I30" i="1"/>
  <c r="I31" i="1"/>
  <c r="I26" i="1"/>
  <c r="I25" i="1"/>
  <c r="I21" i="1"/>
  <c r="I20" i="1"/>
  <c r="J16" i="1"/>
  <c r="J17" i="1"/>
  <c r="I14" i="1"/>
  <c r="I15" i="1"/>
  <c r="I16" i="1"/>
  <c r="K16" i="1" s="1"/>
  <c r="I17" i="1"/>
  <c r="K17" i="1" s="1"/>
  <c r="I18" i="1"/>
  <c r="I11" i="1"/>
  <c r="J36" i="2" l="1"/>
  <c r="J22" i="2"/>
  <c r="J1419" i="3"/>
  <c r="B1263" i="3"/>
  <c r="C1263" i="3"/>
  <c r="D1263" i="3"/>
  <c r="J1264" i="3"/>
  <c r="F278" i="1" s="1"/>
  <c r="H278" i="1"/>
  <c r="F313" i="1"/>
  <c r="F312" i="1"/>
  <c r="E1402" i="3"/>
  <c r="E1398" i="3"/>
  <c r="B1402" i="3"/>
  <c r="D1402" i="3"/>
  <c r="B1398" i="3"/>
  <c r="D1398" i="3"/>
  <c r="H312" i="1"/>
  <c r="H313" i="1"/>
  <c r="J1395" i="3"/>
  <c r="F311" i="1" s="1"/>
  <c r="J1391" i="3"/>
  <c r="F310" i="1" s="1"/>
  <c r="J1387" i="3"/>
  <c r="F309" i="1" s="1"/>
  <c r="J1383" i="3"/>
  <c r="F308" i="1" s="1"/>
  <c r="J1379" i="3"/>
  <c r="F307" i="1" s="1"/>
  <c r="H307" i="1"/>
  <c r="H308" i="1"/>
  <c r="H309" i="1"/>
  <c r="H310" i="1"/>
  <c r="H311" i="1"/>
  <c r="J1334" i="3"/>
  <c r="F295" i="1" s="1"/>
  <c r="J1326" i="3"/>
  <c r="F294" i="1" s="1"/>
  <c r="J1322" i="3"/>
  <c r="F293" i="1" s="1"/>
  <c r="J1318" i="3"/>
  <c r="F292" i="1" s="1"/>
  <c r="J1314" i="3"/>
  <c r="F291" i="1" s="1"/>
  <c r="H291" i="1"/>
  <c r="H292" i="1"/>
  <c r="H293" i="1"/>
  <c r="H294" i="1"/>
  <c r="H295" i="1"/>
  <c r="H286" i="1"/>
  <c r="D1292" i="3"/>
  <c r="B1292" i="3"/>
  <c r="J1293" i="3"/>
  <c r="F286" i="1" s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J1260" i="3"/>
  <c r="F277" i="1" s="1"/>
  <c r="J1255" i="3"/>
  <c r="F276" i="1" s="1"/>
  <c r="J1251" i="3"/>
  <c r="F275" i="1" s="1"/>
  <c r="J1246" i="3"/>
  <c r="F274" i="1" s="1"/>
  <c r="J1242" i="3"/>
  <c r="F273" i="1" s="1"/>
  <c r="J1231" i="3"/>
  <c r="F272" i="1" s="1"/>
  <c r="J1222" i="3"/>
  <c r="F271" i="1" s="1"/>
  <c r="J1218" i="3"/>
  <c r="F270" i="1" s="1"/>
  <c r="J1214" i="3"/>
  <c r="F269" i="1" s="1"/>
  <c r="J1208" i="3"/>
  <c r="F268" i="1" s="1"/>
  <c r="J1204" i="3"/>
  <c r="F267" i="1" s="1"/>
  <c r="J1200" i="3"/>
  <c r="F266" i="1" s="1"/>
  <c r="J1194" i="3"/>
  <c r="F265" i="1" s="1"/>
  <c r="J1190" i="3"/>
  <c r="F264" i="1" s="1"/>
  <c r="J1185" i="3"/>
  <c r="H234" i="1"/>
  <c r="H235" i="1"/>
  <c r="H236" i="1"/>
  <c r="H237" i="1"/>
  <c r="H238" i="1"/>
  <c r="H239" i="1"/>
  <c r="H240" i="1"/>
  <c r="H241" i="1"/>
  <c r="H242" i="1"/>
  <c r="F241" i="1"/>
  <c r="F240" i="1"/>
  <c r="F239" i="1"/>
  <c r="F238" i="1"/>
  <c r="F237" i="1"/>
  <c r="F236" i="1"/>
  <c r="F235" i="1"/>
  <c r="J1103" i="3"/>
  <c r="J1102" i="3"/>
  <c r="J1101" i="3"/>
  <c r="J1054" i="3"/>
  <c r="F234" i="1" s="1"/>
  <c r="J241" i="1" l="1"/>
  <c r="K241" i="1"/>
  <c r="J269" i="1"/>
  <c r="K269" i="1"/>
  <c r="J277" i="1"/>
  <c r="K277" i="1"/>
  <c r="K291" i="1"/>
  <c r="J291" i="1"/>
  <c r="K313" i="1"/>
  <c r="J313" i="1"/>
  <c r="K240" i="1"/>
  <c r="J240" i="1"/>
  <c r="J276" i="1"/>
  <c r="K276" i="1"/>
  <c r="J270" i="1"/>
  <c r="K270" i="1"/>
  <c r="K292" i="1"/>
  <c r="J292" i="1"/>
  <c r="K271" i="1"/>
  <c r="J271" i="1"/>
  <c r="K264" i="1"/>
  <c r="J264" i="1"/>
  <c r="K294" i="1"/>
  <c r="J294" i="1"/>
  <c r="K308" i="1"/>
  <c r="J308" i="1"/>
  <c r="J235" i="1"/>
  <c r="K235" i="1"/>
  <c r="K293" i="1"/>
  <c r="J293" i="1"/>
  <c r="K272" i="1"/>
  <c r="J272" i="1"/>
  <c r="J237" i="1"/>
  <c r="K237" i="1"/>
  <c r="K265" i="1"/>
  <c r="J265" i="1"/>
  <c r="K273" i="1"/>
  <c r="J273" i="1"/>
  <c r="K295" i="1"/>
  <c r="J295" i="1"/>
  <c r="K309" i="1"/>
  <c r="J309" i="1"/>
  <c r="J268" i="1"/>
  <c r="K268" i="1"/>
  <c r="K312" i="1"/>
  <c r="J312" i="1"/>
  <c r="J236" i="1"/>
  <c r="K236" i="1"/>
  <c r="K238" i="1"/>
  <c r="J238" i="1"/>
  <c r="K266" i="1"/>
  <c r="J266" i="1"/>
  <c r="K274" i="1"/>
  <c r="J274" i="1"/>
  <c r="J310" i="1"/>
  <c r="K310" i="1"/>
  <c r="K286" i="1"/>
  <c r="J286" i="1"/>
  <c r="K307" i="1"/>
  <c r="J307" i="1"/>
  <c r="J234" i="1"/>
  <c r="K234" i="1"/>
  <c r="K239" i="1"/>
  <c r="J239" i="1"/>
  <c r="J267" i="1"/>
  <c r="K267" i="1"/>
  <c r="K275" i="1"/>
  <c r="J275" i="1"/>
  <c r="K311" i="1"/>
  <c r="J311" i="1"/>
  <c r="K278" i="1"/>
  <c r="J278" i="1"/>
  <c r="J11" i="2"/>
  <c r="G23" i="1"/>
  <c r="J25" i="2"/>
  <c r="G24" i="1"/>
  <c r="J1099" i="3"/>
  <c r="F242" i="1" s="1"/>
  <c r="H225" i="1"/>
  <c r="J242" i="1" l="1"/>
  <c r="K242" i="1"/>
  <c r="I24" i="1"/>
  <c r="I23" i="1"/>
  <c r="J113" i="2"/>
  <c r="H18" i="1"/>
  <c r="J107" i="2" l="1"/>
  <c r="G225" i="1"/>
  <c r="J41" i="3"/>
  <c r="F18" i="1" s="1"/>
  <c r="D40" i="3"/>
  <c r="B40" i="3"/>
  <c r="D36" i="3"/>
  <c r="B36" i="3"/>
  <c r="B32" i="3"/>
  <c r="J18" i="1" l="1"/>
  <c r="K18" i="1"/>
  <c r="I225" i="1"/>
  <c r="J29" i="3"/>
  <c r="F15" i="1" s="1"/>
  <c r="J25" i="3"/>
  <c r="K25" i="3" s="1"/>
  <c r="J15" i="1" l="1"/>
  <c r="K15" i="1"/>
  <c r="F14" i="1"/>
  <c r="C24" i="3"/>
  <c r="H14" i="1"/>
  <c r="H15" i="1"/>
  <c r="H16" i="1"/>
  <c r="H17" i="1"/>
  <c r="J14" i="1" l="1"/>
  <c r="K14" i="1"/>
  <c r="H191" i="1"/>
  <c r="H192" i="1"/>
  <c r="D883" i="3"/>
  <c r="D879" i="3"/>
  <c r="C883" i="3"/>
  <c r="C879" i="3"/>
  <c r="B883" i="3"/>
  <c r="B879" i="3"/>
  <c r="J884" i="3"/>
  <c r="F192" i="1" s="1"/>
  <c r="J880" i="3"/>
  <c r="F191" i="1" s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8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0" i="1"/>
  <c r="F119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F118" i="1"/>
  <c r="D170" i="1"/>
  <c r="J736" i="3"/>
  <c r="F155" i="1" s="1"/>
  <c r="D573" i="3"/>
  <c r="F792" i="3"/>
  <c r="F756" i="3"/>
  <c r="F755" i="3"/>
  <c r="F754" i="3"/>
  <c r="F740" i="3"/>
  <c r="F745" i="3" s="1"/>
  <c r="F732" i="3"/>
  <c r="F731" i="3"/>
  <c r="F695" i="3"/>
  <c r="F691" i="3"/>
  <c r="F652" i="3"/>
  <c r="J591" i="3"/>
  <c r="F121" i="1" s="1"/>
  <c r="F548" i="3"/>
  <c r="H94" i="1"/>
  <c r="I474" i="3"/>
  <c r="I473" i="3"/>
  <c r="I472" i="3"/>
  <c r="I471" i="3"/>
  <c r="I470" i="3"/>
  <c r="D468" i="3"/>
  <c r="J121" i="1" l="1"/>
  <c r="K121" i="1"/>
  <c r="J119" i="1"/>
  <c r="K119" i="1"/>
  <c r="J127" i="1"/>
  <c r="K127" i="1"/>
  <c r="J135" i="1"/>
  <c r="K135" i="1"/>
  <c r="J143" i="1"/>
  <c r="K143" i="1"/>
  <c r="J151" i="1"/>
  <c r="K151" i="1"/>
  <c r="J163" i="1"/>
  <c r="K163" i="1"/>
  <c r="K171" i="1"/>
  <c r="J171" i="1"/>
  <c r="J136" i="1"/>
  <c r="K136" i="1"/>
  <c r="J152" i="1"/>
  <c r="K152" i="1"/>
  <c r="J137" i="1"/>
  <c r="K137" i="1"/>
  <c r="J153" i="1"/>
  <c r="K153" i="1"/>
  <c r="J173" i="1"/>
  <c r="K173" i="1"/>
  <c r="J150" i="1"/>
  <c r="K150" i="1"/>
  <c r="J122" i="1"/>
  <c r="K122" i="1"/>
  <c r="J130" i="1"/>
  <c r="K130" i="1"/>
  <c r="J138" i="1"/>
  <c r="K138" i="1"/>
  <c r="J146" i="1"/>
  <c r="K146" i="1"/>
  <c r="J154" i="1"/>
  <c r="K154" i="1"/>
  <c r="J166" i="1"/>
  <c r="K166" i="1"/>
  <c r="J191" i="1"/>
  <c r="K191" i="1"/>
  <c r="J126" i="1"/>
  <c r="K126" i="1"/>
  <c r="J142" i="1"/>
  <c r="K142" i="1"/>
  <c r="J162" i="1"/>
  <c r="K162" i="1"/>
  <c r="J120" i="1"/>
  <c r="K120" i="1"/>
  <c r="J144" i="1"/>
  <c r="K144" i="1"/>
  <c r="J164" i="1"/>
  <c r="K164" i="1"/>
  <c r="J129" i="1"/>
  <c r="K129" i="1"/>
  <c r="J145" i="1"/>
  <c r="K145" i="1"/>
  <c r="J165" i="1"/>
  <c r="K165" i="1"/>
  <c r="K155" i="1"/>
  <c r="J155" i="1"/>
  <c r="J123" i="1"/>
  <c r="K123" i="1"/>
  <c r="K131" i="1"/>
  <c r="J131" i="1"/>
  <c r="K139" i="1"/>
  <c r="J139" i="1"/>
  <c r="K147" i="1"/>
  <c r="J147" i="1"/>
  <c r="J158" i="1"/>
  <c r="K158" i="1"/>
  <c r="J167" i="1"/>
  <c r="K167" i="1"/>
  <c r="K192" i="1"/>
  <c r="J192" i="1"/>
  <c r="J134" i="1"/>
  <c r="K134" i="1"/>
  <c r="J170" i="1"/>
  <c r="K170" i="1"/>
  <c r="J128" i="1"/>
  <c r="K128" i="1"/>
  <c r="J172" i="1"/>
  <c r="K172" i="1"/>
  <c r="J132" i="1"/>
  <c r="K132" i="1"/>
  <c r="J140" i="1"/>
  <c r="K140" i="1"/>
  <c r="J160" i="1"/>
  <c r="K160" i="1"/>
  <c r="J168" i="1"/>
  <c r="K168" i="1"/>
  <c r="J124" i="1"/>
  <c r="K124" i="1"/>
  <c r="J148" i="1"/>
  <c r="K148" i="1"/>
  <c r="J118" i="1"/>
  <c r="K118" i="1"/>
  <c r="J125" i="1"/>
  <c r="K125" i="1"/>
  <c r="J133" i="1"/>
  <c r="K133" i="1"/>
  <c r="J141" i="1"/>
  <c r="K141" i="1"/>
  <c r="J149" i="1"/>
  <c r="K149" i="1"/>
  <c r="J161" i="1"/>
  <c r="K161" i="1"/>
  <c r="J169" i="1"/>
  <c r="K169" i="1"/>
  <c r="J754" i="3"/>
  <c r="F159" i="1" s="1"/>
  <c r="J740" i="3"/>
  <c r="F156" i="1" s="1"/>
  <c r="J469" i="3"/>
  <c r="F94" i="1" s="1"/>
  <c r="J94" i="1" l="1"/>
  <c r="K94" i="1"/>
  <c r="J156" i="1"/>
  <c r="K156" i="1"/>
  <c r="J159" i="1"/>
  <c r="K159" i="1"/>
  <c r="F749" i="3"/>
  <c r="F744" i="3"/>
  <c r="J744" i="3" s="1"/>
  <c r="F157" i="1" s="1"/>
  <c r="J157" i="1" l="1"/>
  <c r="K157" i="1"/>
  <c r="J455" i="3"/>
  <c r="J396" i="3"/>
  <c r="J395" i="3"/>
  <c r="F394" i="3"/>
  <c r="J394" i="3" s="1"/>
  <c r="D393" i="3"/>
  <c r="H76" i="1"/>
  <c r="D338" i="3"/>
  <c r="J350" i="3"/>
  <c r="J331" i="3"/>
  <c r="J330" i="3"/>
  <c r="J321" i="3"/>
  <c r="J320" i="3"/>
  <c r="B63" i="1"/>
  <c r="D64" i="1"/>
  <c r="D63" i="1"/>
  <c r="J299" i="3"/>
  <c r="J269" i="3"/>
  <c r="B62" i="1"/>
  <c r="D62" i="1"/>
  <c r="J217" i="3"/>
  <c r="F207" i="3"/>
  <c r="H207" i="3"/>
  <c r="D200" i="3"/>
  <c r="B200" i="3"/>
  <c r="D197" i="3"/>
  <c r="J198" i="3"/>
  <c r="F53" i="1" s="1"/>
  <c r="B197" i="3"/>
  <c r="H53" i="1"/>
  <c r="H54" i="1"/>
  <c r="H52" i="1"/>
  <c r="B194" i="3"/>
  <c r="F52" i="1"/>
  <c r="J20" i="3"/>
  <c r="J19" i="3"/>
  <c r="J53" i="1" l="1"/>
  <c r="K53" i="1"/>
  <c r="K52" i="1"/>
  <c r="J52" i="1"/>
  <c r="J21" i="3"/>
  <c r="F13" i="1" s="1"/>
  <c r="J201" i="3"/>
  <c r="F54" i="1" s="1"/>
  <c r="J54" i="1" l="1"/>
  <c r="K54" i="1"/>
  <c r="J185" i="3"/>
  <c r="J182" i="3"/>
  <c r="F49" i="1" s="1"/>
  <c r="H44" i="1"/>
  <c r="J157" i="3"/>
  <c r="F44" i="1" s="1"/>
  <c r="E156" i="3"/>
  <c r="D156" i="3"/>
  <c r="B156" i="3"/>
  <c r="J192" i="3"/>
  <c r="F51" i="1" s="1"/>
  <c r="E191" i="3"/>
  <c r="B191" i="3"/>
  <c r="D191" i="3"/>
  <c r="H51" i="1"/>
  <c r="J167" i="3"/>
  <c r="J163" i="3"/>
  <c r="E144" i="3"/>
  <c r="H43" i="1"/>
  <c r="J153" i="3"/>
  <c r="F43" i="1" s="1"/>
  <c r="I123" i="3"/>
  <c r="J122" i="3" s="1"/>
  <c r="J145" i="3"/>
  <c r="F41" i="1" s="1"/>
  <c r="B144" i="3"/>
  <c r="J113" i="3"/>
  <c r="J111" i="3"/>
  <c r="K41" i="1" l="1"/>
  <c r="J41" i="1"/>
  <c r="K49" i="1"/>
  <c r="J49" i="1"/>
  <c r="J44" i="1"/>
  <c r="K44" i="1"/>
  <c r="K43" i="1"/>
  <c r="J43" i="1"/>
  <c r="K51" i="1"/>
  <c r="J51" i="1"/>
  <c r="B953" i="3"/>
  <c r="B318" i="3"/>
  <c r="B313" i="3"/>
  <c r="D302" i="3"/>
  <c r="E140" i="3"/>
  <c r="J254" i="3"/>
  <c r="N321" i="1"/>
  <c r="H316" i="1"/>
  <c r="D1410" i="3"/>
  <c r="B1410" i="3"/>
  <c r="J1411" i="3"/>
  <c r="F316" i="1" s="1"/>
  <c r="K316" i="1" l="1"/>
  <c r="J316" i="1"/>
  <c r="D10" i="3"/>
  <c r="D18" i="3"/>
  <c r="D46" i="3"/>
  <c r="D50" i="3"/>
  <c r="D71" i="3"/>
  <c r="D76" i="3"/>
  <c r="D80" i="3"/>
  <c r="D84" i="3"/>
  <c r="D88" i="3"/>
  <c r="D92" i="3"/>
  <c r="D96" i="3"/>
  <c r="D100" i="3"/>
  <c r="D162" i="3"/>
  <c r="D166" i="3"/>
  <c r="D170" i="3"/>
  <c r="D176" i="3"/>
  <c r="D184" i="3"/>
  <c r="D212" i="3"/>
  <c r="D216" i="3"/>
  <c r="D249" i="3"/>
  <c r="D253" i="3"/>
  <c r="D257" i="3"/>
  <c r="D306" i="3"/>
  <c r="D313" i="3"/>
  <c r="D318" i="3"/>
  <c r="D328" i="3"/>
  <c r="B371" i="3"/>
  <c r="D371" i="3"/>
  <c r="D375" i="3"/>
  <c r="D385" i="3"/>
  <c r="D389" i="3"/>
  <c r="D403" i="3"/>
  <c r="D407" i="3"/>
  <c r="D411" i="3"/>
  <c r="D417" i="3"/>
  <c r="D421" i="3"/>
  <c r="D425" i="3"/>
  <c r="D429" i="3"/>
  <c r="D438" i="3"/>
  <c r="D442" i="3"/>
  <c r="D450" i="3"/>
  <c r="D460" i="3"/>
  <c r="D464" i="3"/>
  <c r="D478" i="3"/>
  <c r="B478" i="3"/>
  <c r="B482" i="3"/>
  <c r="D482" i="3"/>
  <c r="D486" i="3"/>
  <c r="D490" i="3"/>
  <c r="D494" i="3"/>
  <c r="D498" i="3"/>
  <c r="D502" i="3"/>
  <c r="B506" i="3"/>
  <c r="D506" i="3"/>
  <c r="D510" i="3"/>
  <c r="D514" i="3"/>
  <c r="D518" i="3"/>
  <c r="D522" i="3"/>
  <c r="D526" i="3"/>
  <c r="D530" i="3"/>
  <c r="D536" i="3"/>
  <c r="D543" i="3"/>
  <c r="D547" i="3"/>
  <c r="D556" i="3"/>
  <c r="D560" i="3"/>
  <c r="D564" i="3"/>
  <c r="D568" i="3"/>
  <c r="D817" i="3"/>
  <c r="D821" i="3"/>
  <c r="D825" i="3"/>
  <c r="D829" i="3"/>
  <c r="D833" i="3"/>
  <c r="D837" i="3"/>
  <c r="D841" i="3"/>
  <c r="D845" i="3"/>
  <c r="D849" i="3"/>
  <c r="D853" i="3"/>
  <c r="D859" i="3"/>
  <c r="D863" i="3"/>
  <c r="D867" i="3"/>
  <c r="D871" i="3"/>
  <c r="D875" i="3"/>
  <c r="D1268" i="3"/>
  <c r="D1272" i="3"/>
  <c r="D1276" i="3"/>
  <c r="D1280" i="3"/>
  <c r="D1284" i="3"/>
  <c r="B1297" i="3"/>
  <c r="D1288" i="3"/>
  <c r="D1297" i="3"/>
  <c r="D1301" i="3"/>
  <c r="D1305" i="3"/>
  <c r="D1309" i="3"/>
  <c r="B1374" i="3"/>
  <c r="D1374" i="3"/>
  <c r="D1407" i="3"/>
  <c r="B1414" i="3"/>
  <c r="C1414" i="3"/>
  <c r="D1414" i="3"/>
  <c r="H262" i="1"/>
  <c r="H40" i="1"/>
  <c r="H39" i="1"/>
  <c r="B140" i="3"/>
  <c r="H12" i="1"/>
  <c r="J134" i="3"/>
  <c r="J135" i="3" l="1"/>
  <c r="J136" i="3" s="1"/>
  <c r="J137" i="3" s="1"/>
  <c r="F39" i="1" s="1"/>
  <c r="D140" i="3"/>
  <c r="J141" i="3"/>
  <c r="F40" i="1" s="1"/>
  <c r="J149" i="3"/>
  <c r="F42" i="1" s="1"/>
  <c r="F36" i="1"/>
  <c r="J118" i="3"/>
  <c r="F35" i="1" s="1"/>
  <c r="E148" i="3"/>
  <c r="E133" i="3"/>
  <c r="E129" i="3"/>
  <c r="E125" i="3"/>
  <c r="E121" i="3"/>
  <c r="D148" i="3"/>
  <c r="D133" i="3"/>
  <c r="D129" i="3"/>
  <c r="D125" i="3"/>
  <c r="D121" i="3"/>
  <c r="B148" i="3"/>
  <c r="B133" i="3"/>
  <c r="B129" i="3"/>
  <c r="B125" i="3"/>
  <c r="B121" i="3"/>
  <c r="B117" i="3"/>
  <c r="D117" i="3"/>
  <c r="F38" i="1"/>
  <c r="H38" i="1"/>
  <c r="H42" i="1"/>
  <c r="J126" i="3"/>
  <c r="F37" i="1" s="1"/>
  <c r="H35" i="1"/>
  <c r="H36" i="1"/>
  <c r="H37" i="1"/>
  <c r="D109" i="3"/>
  <c r="J114" i="3"/>
  <c r="F322" i="3" s="1"/>
  <c r="J36" i="1" l="1"/>
  <c r="K36" i="1"/>
  <c r="J38" i="1"/>
  <c r="K38" i="1"/>
  <c r="K42" i="1"/>
  <c r="J42" i="1"/>
  <c r="J37" i="1"/>
  <c r="K37" i="1"/>
  <c r="K40" i="1"/>
  <c r="J40" i="1"/>
  <c r="K35" i="1"/>
  <c r="J35" i="1"/>
  <c r="J39" i="1"/>
  <c r="K39" i="1"/>
  <c r="F332" i="3"/>
  <c r="J322" i="3"/>
  <c r="J325" i="3" l="1"/>
  <c r="F69" i="1" s="1"/>
  <c r="J397" i="3"/>
  <c r="J399" i="3" s="1"/>
  <c r="J332" i="3"/>
  <c r="J335" i="3" s="1"/>
  <c r="C18" i="3"/>
  <c r="B18" i="3"/>
  <c r="A18" i="3"/>
  <c r="B460" i="3"/>
  <c r="B464" i="3"/>
  <c r="B1407" i="3"/>
  <c r="H13" i="1"/>
  <c r="K69" i="1" l="1"/>
  <c r="J69" i="1"/>
  <c r="F76" i="1"/>
  <c r="J76" i="1" s="1"/>
  <c r="K76" i="1" l="1"/>
  <c r="D1370" i="3"/>
  <c r="D1366" i="3"/>
  <c r="D1362" i="3"/>
  <c r="D1358" i="3"/>
  <c r="D1354" i="3"/>
  <c r="D1350" i="3"/>
  <c r="D1346" i="3"/>
  <c r="D1342" i="3"/>
  <c r="D1338" i="3"/>
  <c r="C1374" i="3"/>
  <c r="C1370" i="3"/>
  <c r="C1366" i="3"/>
  <c r="C1362" i="3"/>
  <c r="C1358" i="3"/>
  <c r="C1354" i="3"/>
  <c r="C1350" i="3"/>
  <c r="C1346" i="3"/>
  <c r="C1342" i="3"/>
  <c r="C1338" i="3"/>
  <c r="B1370" i="3"/>
  <c r="B1366" i="3"/>
  <c r="B1362" i="3"/>
  <c r="B1358" i="3"/>
  <c r="B1354" i="3"/>
  <c r="B1350" i="3"/>
  <c r="B1346" i="3"/>
  <c r="B1342" i="3"/>
  <c r="B1338" i="3"/>
  <c r="J1375" i="3"/>
  <c r="F306" i="1" s="1"/>
  <c r="H298" i="1"/>
  <c r="H299" i="1"/>
  <c r="H300" i="1"/>
  <c r="H301" i="1"/>
  <c r="D1176" i="3"/>
  <c r="D1172" i="3"/>
  <c r="D1168" i="3"/>
  <c r="D1164" i="3"/>
  <c r="D1160" i="3"/>
  <c r="D1156" i="3"/>
  <c r="D1152" i="3"/>
  <c r="D1148" i="3"/>
  <c r="D1144" i="3"/>
  <c r="D1140" i="3"/>
  <c r="D1136" i="3"/>
  <c r="D1132" i="3"/>
  <c r="D1128" i="3"/>
  <c r="D1124" i="3"/>
  <c r="D1120" i="3"/>
  <c r="D1116" i="3"/>
  <c r="D1112" i="3"/>
  <c r="D1108" i="3"/>
  <c r="C1108" i="3"/>
  <c r="C1112" i="3"/>
  <c r="C1116" i="3"/>
  <c r="C1120" i="3"/>
  <c r="C1124" i="3"/>
  <c r="C1128" i="3"/>
  <c r="C1132" i="3"/>
  <c r="C1136" i="3"/>
  <c r="C1140" i="3"/>
  <c r="C1144" i="3"/>
  <c r="C1148" i="3"/>
  <c r="C1152" i="3"/>
  <c r="C1156" i="3"/>
  <c r="C1160" i="3"/>
  <c r="C1164" i="3"/>
  <c r="C1168" i="3"/>
  <c r="C1172" i="3"/>
  <c r="C1176" i="3"/>
  <c r="C1180" i="3"/>
  <c r="B1184" i="3"/>
  <c r="C1184" i="3"/>
  <c r="D1184" i="3"/>
  <c r="D1180" i="3"/>
  <c r="B1180" i="3"/>
  <c r="B1112" i="3"/>
  <c r="B1108" i="3"/>
  <c r="F263" i="1"/>
  <c r="J1181" i="3"/>
  <c r="F262" i="1" s="1"/>
  <c r="D1049" i="3"/>
  <c r="D1045" i="3"/>
  <c r="D1041" i="3"/>
  <c r="D1037" i="3"/>
  <c r="D1033" i="3"/>
  <c r="D1029" i="3"/>
  <c r="D1025" i="3"/>
  <c r="D1021" i="3"/>
  <c r="D1017" i="3"/>
  <c r="D1013" i="3"/>
  <c r="D1009" i="3"/>
  <c r="D1005" i="3"/>
  <c r="D1001" i="3"/>
  <c r="D997" i="3"/>
  <c r="D993" i="3"/>
  <c r="D989" i="3"/>
  <c r="D985" i="3"/>
  <c r="D981" i="3"/>
  <c r="D977" i="3"/>
  <c r="D973" i="3"/>
  <c r="D969" i="3"/>
  <c r="D965" i="3"/>
  <c r="D961" i="3"/>
  <c r="D953" i="3"/>
  <c r="D949" i="3"/>
  <c r="D945" i="3"/>
  <c r="D941" i="3"/>
  <c r="D937" i="3"/>
  <c r="D933" i="3"/>
  <c r="D929" i="3"/>
  <c r="D925" i="3"/>
  <c r="D921" i="3"/>
  <c r="D917" i="3"/>
  <c r="D913" i="3"/>
  <c r="D909" i="3"/>
  <c r="D905" i="3"/>
  <c r="D901" i="3"/>
  <c r="D897" i="3"/>
  <c r="D893" i="3"/>
  <c r="D889" i="3"/>
  <c r="C1049" i="3"/>
  <c r="C1045" i="3"/>
  <c r="C1041" i="3"/>
  <c r="C1037" i="3"/>
  <c r="C1033" i="3"/>
  <c r="C1029" i="3"/>
  <c r="C1025" i="3"/>
  <c r="C1021" i="3"/>
  <c r="C1017" i="3"/>
  <c r="C1013" i="3"/>
  <c r="C1009" i="3"/>
  <c r="C1005" i="3"/>
  <c r="C1001" i="3"/>
  <c r="C997" i="3"/>
  <c r="C993" i="3"/>
  <c r="C989" i="3"/>
  <c r="C985" i="3"/>
  <c r="C981" i="3"/>
  <c r="C977" i="3"/>
  <c r="C973" i="3"/>
  <c r="C969" i="3"/>
  <c r="C965" i="3"/>
  <c r="C961" i="3"/>
  <c r="C953" i="3"/>
  <c r="C949" i="3"/>
  <c r="C941" i="3"/>
  <c r="C937" i="3"/>
  <c r="C933" i="3"/>
  <c r="C929" i="3"/>
  <c r="C925" i="3"/>
  <c r="C921" i="3"/>
  <c r="C917" i="3"/>
  <c r="C913" i="3"/>
  <c r="C909" i="3"/>
  <c r="B909" i="3"/>
  <c r="C905" i="3"/>
  <c r="C901" i="3"/>
  <c r="C897" i="3"/>
  <c r="C893" i="3"/>
  <c r="C889" i="3"/>
  <c r="B1049" i="3"/>
  <c r="B1045" i="3"/>
  <c r="B1041" i="3"/>
  <c r="B1037" i="3"/>
  <c r="B1033" i="3"/>
  <c r="B1029" i="3"/>
  <c r="B1025" i="3"/>
  <c r="B1021" i="3"/>
  <c r="B1017" i="3"/>
  <c r="B1013" i="3"/>
  <c r="B1009" i="3"/>
  <c r="B1005" i="3"/>
  <c r="B1001" i="3"/>
  <c r="B997" i="3"/>
  <c r="B993" i="3"/>
  <c r="B989" i="3"/>
  <c r="B985" i="3"/>
  <c r="B981" i="3"/>
  <c r="B977" i="3"/>
  <c r="B973" i="3"/>
  <c r="B969" i="3"/>
  <c r="B965" i="3"/>
  <c r="B961" i="3"/>
  <c r="B949" i="3"/>
  <c r="B945" i="3"/>
  <c r="B941" i="3"/>
  <c r="B937" i="3"/>
  <c r="B933" i="3"/>
  <c r="B929" i="3"/>
  <c r="B925" i="3"/>
  <c r="B921" i="3"/>
  <c r="B917" i="3"/>
  <c r="B913" i="3"/>
  <c r="B905" i="3"/>
  <c r="B901" i="3"/>
  <c r="B897" i="3"/>
  <c r="B893" i="3"/>
  <c r="B889" i="3"/>
  <c r="J453" i="3"/>
  <c r="J454" i="3"/>
  <c r="B1309" i="3"/>
  <c r="H290" i="1"/>
  <c r="J1310" i="3"/>
  <c r="F290" i="1" s="1"/>
  <c r="J1371" i="3"/>
  <c r="F305" i="1" s="1"/>
  <c r="H215" i="1"/>
  <c r="J978" i="3"/>
  <c r="F215" i="1" s="1"/>
  <c r="H211" i="1"/>
  <c r="J962" i="3"/>
  <c r="F211" i="1" s="1"/>
  <c r="J173" i="3"/>
  <c r="J290" i="1" l="1"/>
  <c r="K290" i="1"/>
  <c r="J211" i="1"/>
  <c r="K211" i="1"/>
  <c r="J262" i="1"/>
  <c r="K262" i="1"/>
  <c r="K305" i="1"/>
  <c r="J305" i="1"/>
  <c r="K263" i="1"/>
  <c r="J263" i="1"/>
  <c r="J215" i="1"/>
  <c r="K215" i="1"/>
  <c r="K306" i="1"/>
  <c r="J306" i="1"/>
  <c r="I13" i="1"/>
  <c r="K13" i="1" s="1"/>
  <c r="J13" i="1"/>
  <c r="J73" i="3"/>
  <c r="J65" i="3"/>
  <c r="J64" i="3"/>
  <c r="J61" i="3"/>
  <c r="J62" i="3"/>
  <c r="J60" i="3"/>
  <c r="J58" i="3"/>
  <c r="J57" i="3"/>
  <c r="J68" i="3" l="1"/>
  <c r="J452" i="3"/>
  <c r="J456" i="3" s="1"/>
  <c r="J444" i="3"/>
  <c r="J445" i="3"/>
  <c r="J446" i="3"/>
  <c r="J443" i="3"/>
  <c r="J439" i="3"/>
  <c r="H433" i="3"/>
  <c r="J433" i="3" s="1"/>
  <c r="H432" i="3"/>
  <c r="J432" i="3" s="1"/>
  <c r="H431" i="3"/>
  <c r="J431" i="3" s="1"/>
  <c r="B10" i="3"/>
  <c r="C10" i="3"/>
  <c r="B50" i="3"/>
  <c r="B46" i="3"/>
  <c r="B1305" i="3"/>
  <c r="B1301" i="3"/>
  <c r="B1288" i="3"/>
  <c r="B1284" i="3"/>
  <c r="B1280" i="3"/>
  <c r="B1276" i="3"/>
  <c r="B1272" i="3"/>
  <c r="B1268" i="3"/>
  <c r="B1176" i="3"/>
  <c r="B1172" i="3"/>
  <c r="B1168" i="3"/>
  <c r="B1164" i="3"/>
  <c r="B1160" i="3"/>
  <c r="B1156" i="3"/>
  <c r="B1152" i="3"/>
  <c r="B1148" i="3"/>
  <c r="B1144" i="3"/>
  <c r="B1140" i="3"/>
  <c r="B1136" i="3"/>
  <c r="B1132" i="3"/>
  <c r="B1128" i="3"/>
  <c r="B1124" i="3"/>
  <c r="B1120" i="3"/>
  <c r="B1116" i="3"/>
  <c r="B875" i="3"/>
  <c r="B871" i="3"/>
  <c r="B867" i="3"/>
  <c r="B863" i="3"/>
  <c r="B859" i="3"/>
  <c r="B853" i="3"/>
  <c r="B849" i="3"/>
  <c r="B845" i="3"/>
  <c r="B841" i="3"/>
  <c r="B837" i="3"/>
  <c r="B833" i="3"/>
  <c r="B829" i="3"/>
  <c r="B825" i="3"/>
  <c r="B821" i="3"/>
  <c r="B817" i="3"/>
  <c r="B573" i="3"/>
  <c r="B568" i="3"/>
  <c r="B564" i="3"/>
  <c r="B560" i="3"/>
  <c r="B556" i="3"/>
  <c r="B547" i="3"/>
  <c r="B543" i="3"/>
  <c r="B536" i="3"/>
  <c r="B530" i="3"/>
  <c r="B526" i="3"/>
  <c r="B522" i="3"/>
  <c r="B518" i="3"/>
  <c r="B514" i="3"/>
  <c r="B510" i="3"/>
  <c r="B502" i="3"/>
  <c r="B498" i="3"/>
  <c r="B494" i="3"/>
  <c r="B490" i="3"/>
  <c r="B486" i="3"/>
  <c r="B450" i="3"/>
  <c r="B442" i="3"/>
  <c r="B438" i="3"/>
  <c r="B429" i="3"/>
  <c r="B425" i="3"/>
  <c r="B421" i="3"/>
  <c r="B417" i="3"/>
  <c r="B411" i="3"/>
  <c r="B407" i="3"/>
  <c r="B403" i="3"/>
  <c r="B389" i="3"/>
  <c r="B385" i="3"/>
  <c r="B375" i="3"/>
  <c r="B338" i="3"/>
  <c r="B328" i="3"/>
  <c r="B306" i="3"/>
  <c r="B302" i="3"/>
  <c r="B257" i="3"/>
  <c r="B253" i="3"/>
  <c r="B249" i="3"/>
  <c r="B216" i="3"/>
  <c r="B212" i="3"/>
  <c r="B184" i="3"/>
  <c r="B176" i="3"/>
  <c r="B170" i="3"/>
  <c r="B166" i="3"/>
  <c r="B162" i="3"/>
  <c r="B100" i="3"/>
  <c r="B96" i="3"/>
  <c r="B92" i="3"/>
  <c r="B88" i="3"/>
  <c r="B84" i="3"/>
  <c r="B80" i="3"/>
  <c r="B76" i="3"/>
  <c r="B71" i="3"/>
  <c r="B55" i="3"/>
  <c r="J1367" i="3"/>
  <c r="J1363" i="3"/>
  <c r="F303" i="1" s="1"/>
  <c r="J1359" i="3"/>
  <c r="F302" i="1" s="1"/>
  <c r="J1355" i="3"/>
  <c r="J1351" i="3"/>
  <c r="F300" i="1" s="1"/>
  <c r="J1347" i="3"/>
  <c r="J1343" i="3"/>
  <c r="J1339" i="3"/>
  <c r="F297" i="1" s="1"/>
  <c r="H302" i="1"/>
  <c r="H303" i="1"/>
  <c r="H304" i="1"/>
  <c r="H305" i="1"/>
  <c r="H306" i="1"/>
  <c r="H297" i="1"/>
  <c r="H281" i="1"/>
  <c r="J1273" i="3"/>
  <c r="F281" i="1" s="1"/>
  <c r="C6" i="2"/>
  <c r="E13" i="4"/>
  <c r="K303" i="1" l="1"/>
  <c r="J303" i="1"/>
  <c r="J302" i="1"/>
  <c r="K302" i="1"/>
  <c r="K297" i="1"/>
  <c r="J297" i="1"/>
  <c r="K281" i="1"/>
  <c r="J281" i="1"/>
  <c r="K300" i="1"/>
  <c r="J300" i="1"/>
  <c r="F299" i="1"/>
  <c r="F304" i="1"/>
  <c r="F301" i="1"/>
  <c r="F298" i="1"/>
  <c r="J447" i="3"/>
  <c r="J434" i="3"/>
  <c r="H80" i="1"/>
  <c r="J412" i="3"/>
  <c r="F80" i="1" s="1"/>
  <c r="J408" i="3"/>
  <c r="F79" i="1" s="1"/>
  <c r="H57" i="1"/>
  <c r="H58" i="1"/>
  <c r="H59" i="1"/>
  <c r="H60" i="1"/>
  <c r="K298" i="1" l="1"/>
  <c r="J298" i="1"/>
  <c r="J301" i="1"/>
  <c r="K301" i="1"/>
  <c r="K304" i="1"/>
  <c r="J304" i="1"/>
  <c r="K79" i="1"/>
  <c r="J79" i="1"/>
  <c r="K299" i="1"/>
  <c r="J299" i="1"/>
  <c r="K80" i="1"/>
  <c r="J80" i="1"/>
  <c r="K296" i="1" l="1"/>
  <c r="C29" i="4" s="1"/>
  <c r="J296" i="1"/>
  <c r="H259" i="1"/>
  <c r="J1169" i="3"/>
  <c r="J1149" i="3"/>
  <c r="H254" i="1"/>
  <c r="F254" i="1" l="1"/>
  <c r="F259" i="1"/>
  <c r="J129" i="2"/>
  <c r="G245" i="1" s="1"/>
  <c r="G315" i="1"/>
  <c r="K259" i="1" l="1"/>
  <c r="J259" i="1"/>
  <c r="J254" i="1"/>
  <c r="K254" i="1"/>
  <c r="I315" i="1"/>
  <c r="I245" i="1"/>
  <c r="J131" i="2"/>
  <c r="J115" i="2"/>
  <c r="J105" i="2"/>
  <c r="G220" i="1" s="1"/>
  <c r="I220" i="1" l="1"/>
  <c r="J82" i="2"/>
  <c r="J1050" i="3"/>
  <c r="F233" i="1" s="1"/>
  <c r="J1046" i="3"/>
  <c r="F232" i="1" s="1"/>
  <c r="J1042" i="3"/>
  <c r="F231" i="1" s="1"/>
  <c r="J1038" i="3"/>
  <c r="F230" i="1" s="1"/>
  <c r="J1034" i="3"/>
  <c r="F229" i="1" s="1"/>
  <c r="J1030" i="3"/>
  <c r="F228" i="1" s="1"/>
  <c r="J1026" i="3"/>
  <c r="F227" i="1" s="1"/>
  <c r="J1022" i="3"/>
  <c r="F226" i="1" s="1"/>
  <c r="J1018" i="3"/>
  <c r="F225" i="1" s="1"/>
  <c r="J1014" i="3"/>
  <c r="F224" i="1" s="1"/>
  <c r="J1010" i="3"/>
  <c r="F223" i="1" s="1"/>
  <c r="J1006" i="3"/>
  <c r="F222" i="1" s="1"/>
  <c r="J1002" i="3"/>
  <c r="F221" i="1" s="1"/>
  <c r="J998" i="3"/>
  <c r="F220" i="1" s="1"/>
  <c r="J220" i="1" s="1"/>
  <c r="J994" i="3"/>
  <c r="F219" i="1" s="1"/>
  <c r="J990" i="3"/>
  <c r="F218" i="1" s="1"/>
  <c r="J986" i="3"/>
  <c r="F217" i="1" s="1"/>
  <c r="J982" i="3"/>
  <c r="F216" i="1" s="1"/>
  <c r="J974" i="3"/>
  <c r="F214" i="1" s="1"/>
  <c r="J970" i="3"/>
  <c r="F213" i="1" s="1"/>
  <c r="J966" i="3"/>
  <c r="F212" i="1" s="1"/>
  <c r="J954" i="3"/>
  <c r="F210" i="1" s="1"/>
  <c r="J950" i="3"/>
  <c r="F209" i="1" s="1"/>
  <c r="J946" i="3"/>
  <c r="F208" i="1" s="1"/>
  <c r="J942" i="3"/>
  <c r="F207" i="1" s="1"/>
  <c r="J938" i="3"/>
  <c r="F206" i="1" s="1"/>
  <c r="J934" i="3"/>
  <c r="F205" i="1" s="1"/>
  <c r="J930" i="3"/>
  <c r="F204" i="1" s="1"/>
  <c r="J926" i="3"/>
  <c r="F203" i="1" s="1"/>
  <c r="J922" i="3"/>
  <c r="F202" i="1" s="1"/>
  <c r="H226" i="1"/>
  <c r="H227" i="1"/>
  <c r="H228" i="1"/>
  <c r="H229" i="1"/>
  <c r="H230" i="1"/>
  <c r="H231" i="1"/>
  <c r="H232" i="1"/>
  <c r="H207" i="1"/>
  <c r="H208" i="1"/>
  <c r="H201" i="1"/>
  <c r="H197" i="1"/>
  <c r="H198" i="1"/>
  <c r="H199" i="1"/>
  <c r="K220" i="1" l="1"/>
  <c r="K232" i="1"/>
  <c r="J232" i="1"/>
  <c r="K214" i="1"/>
  <c r="J214" i="1"/>
  <c r="J217" i="1"/>
  <c r="K217" i="1"/>
  <c r="J208" i="1"/>
  <c r="K208" i="1"/>
  <c r="J218" i="1"/>
  <c r="K218" i="1"/>
  <c r="J226" i="1"/>
  <c r="K226" i="1"/>
  <c r="J206" i="1"/>
  <c r="K206" i="1"/>
  <c r="K223" i="1"/>
  <c r="J223" i="1"/>
  <c r="J233" i="1"/>
  <c r="K233" i="1"/>
  <c r="J209" i="1"/>
  <c r="K209" i="1"/>
  <c r="J202" i="1"/>
  <c r="K202" i="1"/>
  <c r="J228" i="1"/>
  <c r="K228" i="1"/>
  <c r="K205" i="1"/>
  <c r="J205" i="1"/>
  <c r="J224" i="1"/>
  <c r="K224" i="1"/>
  <c r="J225" i="1"/>
  <c r="K225" i="1"/>
  <c r="J219" i="1"/>
  <c r="K219" i="1"/>
  <c r="J212" i="1"/>
  <c r="K212" i="1"/>
  <c r="K231" i="1"/>
  <c r="J231" i="1"/>
  <c r="J216" i="1"/>
  <c r="K216" i="1"/>
  <c r="J227" i="1"/>
  <c r="K227" i="1"/>
  <c r="J210" i="1"/>
  <c r="K210" i="1"/>
  <c r="K203" i="1"/>
  <c r="J203" i="1"/>
  <c r="J221" i="1"/>
  <c r="K221" i="1"/>
  <c r="J229" i="1"/>
  <c r="K229" i="1"/>
  <c r="K204" i="1"/>
  <c r="J204" i="1"/>
  <c r="K213" i="1"/>
  <c r="J213" i="1"/>
  <c r="K222" i="1"/>
  <c r="J222" i="1"/>
  <c r="K230" i="1"/>
  <c r="J230" i="1"/>
  <c r="H206" i="1"/>
  <c r="H209" i="1"/>
  <c r="H210" i="1"/>
  <c r="H212" i="1"/>
  <c r="H213" i="1"/>
  <c r="H214" i="1"/>
  <c r="H216" i="1"/>
  <c r="H217" i="1"/>
  <c r="H218" i="1"/>
  <c r="H219" i="1"/>
  <c r="H220" i="1"/>
  <c r="H221" i="1"/>
  <c r="H222" i="1"/>
  <c r="H223" i="1"/>
  <c r="H224" i="1"/>
  <c r="H233" i="1"/>
  <c r="H284" i="1"/>
  <c r="H285" i="1"/>
  <c r="H287" i="1"/>
  <c r="H288" i="1"/>
  <c r="H289" i="1"/>
  <c r="J1306" i="3"/>
  <c r="F289" i="1" s="1"/>
  <c r="J1302" i="3"/>
  <c r="F288" i="1" s="1"/>
  <c r="J1298" i="3"/>
  <c r="F287" i="1" s="1"/>
  <c r="J1289" i="3"/>
  <c r="F285" i="1" s="1"/>
  <c r="J1285" i="3"/>
  <c r="F284" i="1" s="1"/>
  <c r="H256" i="1"/>
  <c r="H257" i="1"/>
  <c r="H258" i="1"/>
  <c r="H260" i="1"/>
  <c r="H261" i="1"/>
  <c r="H263" i="1"/>
  <c r="J1177" i="3"/>
  <c r="H246" i="1"/>
  <c r="H247" i="1"/>
  <c r="H248" i="1"/>
  <c r="H249" i="1"/>
  <c r="H250" i="1"/>
  <c r="H251" i="1"/>
  <c r="H252" i="1"/>
  <c r="H253" i="1"/>
  <c r="H255" i="1"/>
  <c r="H245" i="1"/>
  <c r="J1173" i="3"/>
  <c r="J1165" i="3"/>
  <c r="J1161" i="3"/>
  <c r="J1157" i="3"/>
  <c r="J1153" i="3"/>
  <c r="J1145" i="3"/>
  <c r="J1141" i="3"/>
  <c r="J1137" i="3"/>
  <c r="J1133" i="3"/>
  <c r="J1129" i="3"/>
  <c r="J1125" i="3"/>
  <c r="J1121" i="3"/>
  <c r="J1117" i="3"/>
  <c r="H176" i="1"/>
  <c r="J372" i="3"/>
  <c r="F72" i="1" s="1"/>
  <c r="F23" i="1"/>
  <c r="F70" i="1"/>
  <c r="K288" i="1" l="1"/>
  <c r="J288" i="1"/>
  <c r="J23" i="1"/>
  <c r="K23" i="1"/>
  <c r="K284" i="1"/>
  <c r="J284" i="1"/>
  <c r="K287" i="1"/>
  <c r="J287" i="1"/>
  <c r="K289" i="1"/>
  <c r="J289" i="1"/>
  <c r="J70" i="1"/>
  <c r="K70" i="1"/>
  <c r="K285" i="1"/>
  <c r="J285" i="1"/>
  <c r="F248" i="1"/>
  <c r="F252" i="1"/>
  <c r="F257" i="1"/>
  <c r="F251" i="1"/>
  <c r="F256" i="1"/>
  <c r="F249" i="1"/>
  <c r="F253" i="1"/>
  <c r="F258" i="1"/>
  <c r="F247" i="1"/>
  <c r="F246" i="1"/>
  <c r="F250" i="1"/>
  <c r="F255" i="1"/>
  <c r="F260" i="1"/>
  <c r="F261" i="1"/>
  <c r="F89" i="1"/>
  <c r="J850" i="3"/>
  <c r="F184" i="1" s="1"/>
  <c r="J842" i="3"/>
  <c r="F182" i="1" s="1"/>
  <c r="F88" i="1"/>
  <c r="J182" i="1" l="1"/>
  <c r="K182" i="1"/>
  <c r="J253" i="1"/>
  <c r="K253" i="1"/>
  <c r="J261" i="1"/>
  <c r="K261" i="1"/>
  <c r="K248" i="1"/>
  <c r="J248" i="1"/>
  <c r="K249" i="1"/>
  <c r="J249" i="1"/>
  <c r="K256" i="1"/>
  <c r="J256" i="1"/>
  <c r="K252" i="1"/>
  <c r="J252" i="1"/>
  <c r="K258" i="1"/>
  <c r="J258" i="1"/>
  <c r="J89" i="1"/>
  <c r="K89" i="1"/>
  <c r="K251" i="1"/>
  <c r="J251" i="1"/>
  <c r="J247" i="1"/>
  <c r="K247" i="1"/>
  <c r="K184" i="1"/>
  <c r="J184" i="1"/>
  <c r="K260" i="1"/>
  <c r="J260" i="1"/>
  <c r="K255" i="1"/>
  <c r="J255" i="1"/>
  <c r="K250" i="1"/>
  <c r="J250" i="1"/>
  <c r="J88" i="1"/>
  <c r="K88" i="1"/>
  <c r="J246" i="1"/>
  <c r="K246" i="1"/>
  <c r="K257" i="1"/>
  <c r="J257" i="1"/>
  <c r="F90" i="1"/>
  <c r="J426" i="3"/>
  <c r="F85" i="1" s="1"/>
  <c r="H85" i="1"/>
  <c r="H84" i="1"/>
  <c r="J465" i="3"/>
  <c r="F93" i="1" s="1"/>
  <c r="H93" i="1"/>
  <c r="J90" i="1" l="1"/>
  <c r="K90" i="1"/>
  <c r="J85" i="1"/>
  <c r="K85" i="1"/>
  <c r="J61" i="2"/>
  <c r="G93" i="1" s="1"/>
  <c r="J93" i="1" l="1"/>
  <c r="I93" i="1"/>
  <c r="K93" i="1" s="1"/>
  <c r="J55" i="2"/>
  <c r="D18" i="6"/>
  <c r="C18" i="6" s="1"/>
  <c r="D15" i="6" s="1"/>
  <c r="D13" i="6"/>
  <c r="C13" i="6" s="1"/>
  <c r="D10" i="6"/>
  <c r="C10" i="6" s="1"/>
  <c r="D9" i="6"/>
  <c r="C9" i="6" s="1"/>
  <c r="D8" i="6"/>
  <c r="C8" i="6" s="1"/>
  <c r="D7" i="6"/>
  <c r="C7" i="6" s="1"/>
  <c r="D18" i="5"/>
  <c r="C18" i="5" s="1"/>
  <c r="D15" i="5" s="1"/>
  <c r="D13" i="5"/>
  <c r="C13" i="5" s="1"/>
  <c r="D10" i="5"/>
  <c r="C10" i="5" s="1"/>
  <c r="D9" i="5"/>
  <c r="C9" i="5" s="1"/>
  <c r="D8" i="5"/>
  <c r="C8" i="5" s="1"/>
  <c r="D7" i="5"/>
  <c r="C7" i="5" s="1"/>
  <c r="F13" i="4"/>
  <c r="F19" i="6" l="1"/>
  <c r="C21" i="6" s="1"/>
  <c r="F19" i="5"/>
  <c r="C21" i="5" s="1"/>
  <c r="J846" i="3" l="1"/>
  <c r="F183" i="1" s="1"/>
  <c r="J183" i="1" l="1"/>
  <c r="K183" i="1"/>
  <c r="J80" i="2"/>
  <c r="G207" i="1" s="1"/>
  <c r="J876" i="3"/>
  <c r="F190" i="1" s="1"/>
  <c r="J872" i="3"/>
  <c r="F189" i="1" s="1"/>
  <c r="J868" i="3"/>
  <c r="F188" i="1" s="1"/>
  <c r="J864" i="3"/>
  <c r="F187" i="1" s="1"/>
  <c r="J860" i="3"/>
  <c r="F186" i="1" s="1"/>
  <c r="F185" i="1"/>
  <c r="J834" i="3"/>
  <c r="F180" i="1" s="1"/>
  <c r="J838" i="3"/>
  <c r="F181" i="1" s="1"/>
  <c r="J830" i="3"/>
  <c r="F179" i="1" s="1"/>
  <c r="J826" i="3"/>
  <c r="F178" i="1" s="1"/>
  <c r="J822" i="3"/>
  <c r="F177" i="1" s="1"/>
  <c r="J818" i="3"/>
  <c r="F176" i="1" s="1"/>
  <c r="J574" i="3"/>
  <c r="F117" i="1" s="1"/>
  <c r="J569" i="3"/>
  <c r="F116" i="1" s="1"/>
  <c r="J565" i="3"/>
  <c r="F115" i="1" s="1"/>
  <c r="J561" i="3"/>
  <c r="F114" i="1" s="1"/>
  <c r="J557" i="3"/>
  <c r="F113" i="1" s="1"/>
  <c r="J540" i="3"/>
  <c r="F110" i="1" s="1"/>
  <c r="J533" i="3"/>
  <c r="F109" i="1" s="1"/>
  <c r="H117" i="1"/>
  <c r="H115" i="1"/>
  <c r="H116" i="1"/>
  <c r="H113" i="1"/>
  <c r="H114" i="1"/>
  <c r="H112" i="1"/>
  <c r="H110" i="1"/>
  <c r="H111" i="1"/>
  <c r="H109" i="1"/>
  <c r="H108" i="1"/>
  <c r="H107" i="1"/>
  <c r="H106" i="1"/>
  <c r="H105" i="1"/>
  <c r="H104" i="1"/>
  <c r="H103" i="1"/>
  <c r="H102" i="1"/>
  <c r="H34" i="1"/>
  <c r="F34" i="1"/>
  <c r="J15" i="3"/>
  <c r="F12" i="1" s="1"/>
  <c r="K187" i="1" l="1"/>
  <c r="J187" i="1"/>
  <c r="K189" i="1"/>
  <c r="J189" i="1"/>
  <c r="J117" i="1"/>
  <c r="K117" i="1"/>
  <c r="J109" i="1"/>
  <c r="K109" i="1"/>
  <c r="J110" i="1"/>
  <c r="K110" i="1"/>
  <c r="K12" i="1"/>
  <c r="J12" i="1"/>
  <c r="J114" i="1"/>
  <c r="K114" i="1"/>
  <c r="K181" i="1"/>
  <c r="J181" i="1"/>
  <c r="K186" i="1"/>
  <c r="J186" i="1"/>
  <c r="K188" i="1"/>
  <c r="J188" i="1"/>
  <c r="J113" i="1"/>
  <c r="K113" i="1"/>
  <c r="K179" i="1"/>
  <c r="J179" i="1"/>
  <c r="J115" i="1"/>
  <c r="K115" i="1"/>
  <c r="K180" i="1"/>
  <c r="J180" i="1"/>
  <c r="K176" i="1"/>
  <c r="J176" i="1"/>
  <c r="K177" i="1"/>
  <c r="J177" i="1"/>
  <c r="K178" i="1"/>
  <c r="J178" i="1"/>
  <c r="K190" i="1"/>
  <c r="J190" i="1"/>
  <c r="J34" i="1"/>
  <c r="J33" i="1" s="1"/>
  <c r="K34" i="1"/>
  <c r="K33" i="1" s="1"/>
  <c r="C17" i="4" s="1"/>
  <c r="K116" i="1"/>
  <c r="J116" i="1"/>
  <c r="K185" i="1"/>
  <c r="J185" i="1"/>
  <c r="I207" i="1"/>
  <c r="K207" i="1" s="1"/>
  <c r="J207" i="1"/>
  <c r="J63" i="2"/>
  <c r="J367" i="3"/>
  <c r="J368" i="3" s="1"/>
  <c r="F71" i="1" s="1"/>
  <c r="H317" i="1"/>
  <c r="H315" i="1"/>
  <c r="H282" i="1"/>
  <c r="H283" i="1"/>
  <c r="H280" i="1"/>
  <c r="H244" i="1"/>
  <c r="H195" i="1"/>
  <c r="H196" i="1"/>
  <c r="H200" i="1"/>
  <c r="H202" i="1"/>
  <c r="H203" i="1"/>
  <c r="H204" i="1"/>
  <c r="H205" i="1"/>
  <c r="H194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97" i="1"/>
  <c r="H98" i="1"/>
  <c r="H99" i="1"/>
  <c r="H100" i="1"/>
  <c r="H101" i="1"/>
  <c r="H96" i="1"/>
  <c r="H92" i="1"/>
  <c r="H88" i="1"/>
  <c r="H89" i="1"/>
  <c r="H90" i="1"/>
  <c r="H86" i="1"/>
  <c r="H83" i="1"/>
  <c r="H78" i="1"/>
  <c r="H79" i="1"/>
  <c r="H70" i="1"/>
  <c r="H71" i="1"/>
  <c r="H72" i="1"/>
  <c r="H73" i="1"/>
  <c r="H74" i="1"/>
  <c r="H75" i="1"/>
  <c r="H69" i="1"/>
  <c r="H61" i="1"/>
  <c r="H62" i="1"/>
  <c r="H63" i="1"/>
  <c r="H64" i="1"/>
  <c r="H65" i="1"/>
  <c r="H66" i="1"/>
  <c r="H67" i="1"/>
  <c r="H25" i="1"/>
  <c r="H24" i="1"/>
  <c r="H23" i="1"/>
  <c r="H46" i="1"/>
  <c r="H47" i="1"/>
  <c r="H48" i="1"/>
  <c r="H49" i="1"/>
  <c r="H50" i="1"/>
  <c r="H21" i="1"/>
  <c r="H20" i="1"/>
  <c r="H11" i="1"/>
  <c r="J314" i="3"/>
  <c r="F67" i="1" s="1"/>
  <c r="J310" i="3"/>
  <c r="F66" i="1" s="1"/>
  <c r="F60" i="1"/>
  <c r="O72" i="1" l="1"/>
  <c r="J71" i="1"/>
  <c r="K71" i="1"/>
  <c r="K67" i="1"/>
  <c r="J67" i="1"/>
  <c r="K60" i="1"/>
  <c r="J60" i="1"/>
  <c r="K66" i="1"/>
  <c r="J66" i="1"/>
  <c r="J101" i="3"/>
  <c r="F31" i="1" s="1"/>
  <c r="J97" i="3"/>
  <c r="F30" i="1" s="1"/>
  <c r="J93" i="3"/>
  <c r="F29" i="1" s="1"/>
  <c r="J89" i="3"/>
  <c r="F28" i="1" s="1"/>
  <c r="K28" i="1" l="1"/>
  <c r="J28" i="1"/>
  <c r="K29" i="1"/>
  <c r="J29" i="1"/>
  <c r="J30" i="1"/>
  <c r="K30" i="1"/>
  <c r="J31" i="1"/>
  <c r="K31" i="1"/>
  <c r="F62" i="1"/>
  <c r="J548" i="3"/>
  <c r="F112" i="1" s="1"/>
  <c r="J544" i="3"/>
  <c r="F111" i="1" s="1"/>
  <c r="J1281" i="3"/>
  <c r="J1277" i="3"/>
  <c r="J1269" i="3"/>
  <c r="F280" i="1" s="1"/>
  <c r="J1113" i="3"/>
  <c r="F245" i="1" s="1"/>
  <c r="J1109" i="3"/>
  <c r="F244" i="1" s="1"/>
  <c r="J918" i="3"/>
  <c r="F201" i="1" s="1"/>
  <c r="J914" i="3"/>
  <c r="F200" i="1" s="1"/>
  <c r="J910" i="3"/>
  <c r="F199" i="1" s="1"/>
  <c r="J906" i="3"/>
  <c r="F198" i="1" s="1"/>
  <c r="J902" i="3"/>
  <c r="F197" i="1" s="1"/>
  <c r="F86" i="1"/>
  <c r="J422" i="3"/>
  <c r="F84" i="1" s="1"/>
  <c r="J418" i="3"/>
  <c r="F83" i="1" s="1"/>
  <c r="J404" i="3"/>
  <c r="F78" i="1" s="1"/>
  <c r="J390" i="3"/>
  <c r="F75" i="1" s="1"/>
  <c r="J386" i="3"/>
  <c r="F74" i="1" s="1"/>
  <c r="J303" i="3"/>
  <c r="F65" i="1" s="1"/>
  <c r="F64" i="1"/>
  <c r="J283" i="3"/>
  <c r="F63" i="1" s="1"/>
  <c r="J258" i="3"/>
  <c r="F61" i="1" s="1"/>
  <c r="J250" i="3"/>
  <c r="F59" i="1" s="1"/>
  <c r="F58" i="1"/>
  <c r="J213" i="3"/>
  <c r="F57" i="1" s="1"/>
  <c r="J85" i="3"/>
  <c r="F27" i="1" s="1"/>
  <c r="J81" i="3"/>
  <c r="F26" i="1" s="1"/>
  <c r="J77" i="3"/>
  <c r="F25" i="1" s="1"/>
  <c r="F24" i="1"/>
  <c r="J1415" i="3"/>
  <c r="F317" i="1" s="1"/>
  <c r="J1408" i="3"/>
  <c r="F315" i="1" s="1"/>
  <c r="J898" i="3"/>
  <c r="F196" i="1" s="1"/>
  <c r="J894" i="3"/>
  <c r="F195" i="1" s="1"/>
  <c r="J890" i="3"/>
  <c r="F194" i="1" s="1"/>
  <c r="J527" i="3"/>
  <c r="F108" i="1" s="1"/>
  <c r="J523" i="3"/>
  <c r="F107" i="1" s="1"/>
  <c r="J519" i="3"/>
  <c r="F106" i="1" s="1"/>
  <c r="J515" i="3"/>
  <c r="F105" i="1" s="1"/>
  <c r="J511" i="3"/>
  <c r="F104" i="1" s="1"/>
  <c r="J507" i="3"/>
  <c r="F103" i="1" s="1"/>
  <c r="J503" i="3"/>
  <c r="F102" i="1" s="1"/>
  <c r="J499" i="3"/>
  <c r="F101" i="1" s="1"/>
  <c r="J495" i="3"/>
  <c r="F100" i="1" s="1"/>
  <c r="J491" i="3"/>
  <c r="F99" i="1" s="1"/>
  <c r="J487" i="3"/>
  <c r="F98" i="1" s="1"/>
  <c r="J483" i="3"/>
  <c r="F97" i="1" s="1"/>
  <c r="J479" i="3"/>
  <c r="F96" i="1" s="1"/>
  <c r="J461" i="3"/>
  <c r="F92" i="1" s="1"/>
  <c r="F50" i="1"/>
  <c r="F48" i="1"/>
  <c r="F47" i="1"/>
  <c r="F46" i="1"/>
  <c r="K61" i="1" l="1"/>
  <c r="J61" i="1"/>
  <c r="J24" i="1"/>
  <c r="K24" i="1"/>
  <c r="K25" i="1"/>
  <c r="J25" i="1"/>
  <c r="K280" i="1"/>
  <c r="J280" i="1"/>
  <c r="J105" i="1"/>
  <c r="K105" i="1"/>
  <c r="J83" i="1"/>
  <c r="K83" i="1"/>
  <c r="J245" i="1"/>
  <c r="K245" i="1"/>
  <c r="K197" i="1"/>
  <c r="J197" i="1"/>
  <c r="K317" i="1"/>
  <c r="J317" i="1"/>
  <c r="J98" i="1"/>
  <c r="K98" i="1"/>
  <c r="J84" i="1"/>
  <c r="K84" i="1"/>
  <c r="J107" i="1"/>
  <c r="K107" i="1"/>
  <c r="K100" i="1"/>
  <c r="J100" i="1"/>
  <c r="K26" i="1"/>
  <c r="J26" i="1"/>
  <c r="J194" i="1"/>
  <c r="K194" i="1"/>
  <c r="J73" i="1"/>
  <c r="K73" i="1"/>
  <c r="J198" i="1"/>
  <c r="K198" i="1"/>
  <c r="K244" i="1"/>
  <c r="J244" i="1"/>
  <c r="J63" i="1"/>
  <c r="K63" i="1"/>
  <c r="J86" i="1"/>
  <c r="K86" i="1"/>
  <c r="J101" i="1"/>
  <c r="K101" i="1"/>
  <c r="J102" i="1"/>
  <c r="K102" i="1"/>
  <c r="J74" i="1"/>
  <c r="K74" i="1"/>
  <c r="J111" i="1"/>
  <c r="K111" i="1"/>
  <c r="J106" i="1"/>
  <c r="K106" i="1"/>
  <c r="K46" i="1"/>
  <c r="J46" i="1"/>
  <c r="J64" i="1"/>
  <c r="K64" i="1"/>
  <c r="K108" i="1"/>
  <c r="J108" i="1"/>
  <c r="J65" i="1"/>
  <c r="K65" i="1"/>
  <c r="K48" i="1"/>
  <c r="J48" i="1"/>
  <c r="K27" i="1"/>
  <c r="J27" i="1"/>
  <c r="K50" i="1"/>
  <c r="J50" i="1"/>
  <c r="J195" i="1"/>
  <c r="K195" i="1"/>
  <c r="K57" i="1"/>
  <c r="J57" i="1"/>
  <c r="J199" i="1"/>
  <c r="K199" i="1"/>
  <c r="J103" i="1"/>
  <c r="K103" i="1"/>
  <c r="K196" i="1"/>
  <c r="J196" i="1"/>
  <c r="J58" i="1"/>
  <c r="K58" i="1"/>
  <c r="J75" i="1"/>
  <c r="K75" i="1"/>
  <c r="J200" i="1"/>
  <c r="K200" i="1"/>
  <c r="J112" i="1"/>
  <c r="K112" i="1"/>
  <c r="J97" i="1"/>
  <c r="K97" i="1"/>
  <c r="J99" i="1"/>
  <c r="K99" i="1"/>
  <c r="K47" i="1"/>
  <c r="J47" i="1"/>
  <c r="J96" i="1"/>
  <c r="K96" i="1"/>
  <c r="J104" i="1"/>
  <c r="K104" i="1"/>
  <c r="J315" i="1"/>
  <c r="K315" i="1"/>
  <c r="K59" i="1"/>
  <c r="J59" i="1"/>
  <c r="K78" i="1"/>
  <c r="J78" i="1"/>
  <c r="J201" i="1"/>
  <c r="K201" i="1"/>
  <c r="K62" i="1"/>
  <c r="J62" i="1"/>
  <c r="F283" i="1"/>
  <c r="F282" i="1"/>
  <c r="K243" i="1" l="1"/>
  <c r="J314" i="1"/>
  <c r="K22" i="1"/>
  <c r="C15" i="4" s="1"/>
  <c r="J22" i="1"/>
  <c r="J243" i="1"/>
  <c r="K283" i="1"/>
  <c r="J283" i="1"/>
  <c r="K282" i="1"/>
  <c r="J282" i="1"/>
  <c r="J56" i="1"/>
  <c r="J279" i="1" l="1"/>
  <c r="K279" i="1"/>
  <c r="K175" i="1" l="1"/>
  <c r="J175" i="1"/>
  <c r="J193" i="1"/>
  <c r="K193" i="1"/>
  <c r="K174" i="1" l="1"/>
  <c r="C27" i="4" s="1"/>
  <c r="J174" i="1"/>
  <c r="J45" i="1"/>
  <c r="K45" i="1"/>
  <c r="C19" i="4" s="1"/>
  <c r="J87" i="1"/>
  <c r="G20" i="4" l="1"/>
  <c r="H20" i="4"/>
  <c r="F20" i="4"/>
  <c r="K87" i="1"/>
  <c r="J77" i="1"/>
  <c r="K77" i="1"/>
  <c r="L20" i="4" l="1"/>
  <c r="K95" i="1"/>
  <c r="C25" i="4" s="1"/>
  <c r="C6" i="3"/>
  <c r="M137" i="2"/>
  <c r="M138" i="2"/>
  <c r="M139" i="2"/>
  <c r="M140" i="2"/>
  <c r="M141" i="2"/>
  <c r="M142" i="2"/>
  <c r="M143" i="2"/>
  <c r="M136" i="2"/>
  <c r="M131" i="2"/>
  <c r="M130" i="2"/>
  <c r="J52" i="2" l="1"/>
  <c r="G92" i="1" s="1"/>
  <c r="J92" i="1" l="1"/>
  <c r="J91" i="1" s="1"/>
  <c r="I92" i="1"/>
  <c r="K92" i="1" s="1"/>
  <c r="J46" i="2"/>
  <c r="C3" i="2"/>
  <c r="C3" i="3"/>
  <c r="K314" i="1" l="1"/>
  <c r="C31" i="4" s="1"/>
  <c r="M42" i="2"/>
  <c r="M41" i="2"/>
  <c r="M40" i="2"/>
  <c r="J44" i="2" l="1"/>
  <c r="G72" i="1" s="1"/>
  <c r="M39" i="2"/>
  <c r="J72" i="1" l="1"/>
  <c r="I72" i="1"/>
  <c r="K72" i="1" s="1"/>
  <c r="J39" i="2"/>
  <c r="P39" i="2"/>
  <c r="J32" i="4" l="1"/>
  <c r="I32" i="4"/>
  <c r="R39" i="2"/>
  <c r="J68" i="1"/>
  <c r="K68" i="1"/>
  <c r="D14" i="3"/>
  <c r="C14" i="3"/>
  <c r="B14" i="3"/>
  <c r="M33" i="4" l="1"/>
  <c r="M23" i="4"/>
  <c r="M25" i="4"/>
  <c r="M27" i="4"/>
  <c r="M29" i="4"/>
  <c r="M31" i="4"/>
  <c r="M19" i="4"/>
  <c r="M21" i="4"/>
  <c r="J13" i="4"/>
  <c r="I13" i="4"/>
  <c r="H13" i="4"/>
  <c r="G13" i="4"/>
  <c r="J51" i="3"/>
  <c r="F21" i="1" s="1"/>
  <c r="J47" i="3"/>
  <c r="F20" i="1" s="1"/>
  <c r="J20" i="1" l="1"/>
  <c r="K20" i="1"/>
  <c r="J21" i="1"/>
  <c r="K21" i="1"/>
  <c r="J11" i="3"/>
  <c r="F11" i="1" s="1"/>
  <c r="K91" i="1"/>
  <c r="J11" i="1" l="1"/>
  <c r="K11" i="1"/>
  <c r="K10" i="1" s="1"/>
  <c r="J95" i="1"/>
  <c r="J19" i="1"/>
  <c r="K56" i="1"/>
  <c r="J82" i="1"/>
  <c r="K82" i="1"/>
  <c r="K19" i="1"/>
  <c r="J10" i="1" l="1"/>
  <c r="C13" i="4"/>
  <c r="F14" i="4" s="1"/>
  <c r="K55" i="1"/>
  <c r="C21" i="4" s="1"/>
  <c r="H22" i="4" s="1"/>
  <c r="J55" i="1"/>
  <c r="G16" i="4"/>
  <c r="C11" i="4"/>
  <c r="I22" i="4" l="1"/>
  <c r="E12" i="4"/>
  <c r="H14" i="4"/>
  <c r="G14" i="4"/>
  <c r="I14" i="4"/>
  <c r="E14" i="4"/>
  <c r="J14" i="4"/>
  <c r="L16" i="4"/>
  <c r="M16" i="4" s="1"/>
  <c r="L32" i="4"/>
  <c r="M32" i="4" s="1"/>
  <c r="L22" i="4" l="1"/>
  <c r="M22" i="4" s="1"/>
  <c r="L12" i="4"/>
  <c r="L14" i="4"/>
  <c r="M14" i="4" s="1"/>
  <c r="K81" i="1" l="1"/>
  <c r="J28" i="4"/>
  <c r="I28" i="4"/>
  <c r="H28" i="4"/>
  <c r="G28" i="4"/>
  <c r="F18" i="4"/>
  <c r="F34" i="4" s="1"/>
  <c r="M20" i="4"/>
  <c r="C23" i="4" l="1"/>
  <c r="C34" i="4" s="1"/>
  <c r="J322" i="1"/>
  <c r="N322" i="1"/>
  <c r="G18" i="4"/>
  <c r="E18" i="4"/>
  <c r="E34" i="4" s="1"/>
  <c r="I24" i="4" l="1"/>
  <c r="J24" i="4"/>
  <c r="H24" i="4"/>
  <c r="E37" i="4"/>
  <c r="F37" i="4" s="1"/>
  <c r="J26" i="4"/>
  <c r="I26" i="4"/>
  <c r="G30" i="4"/>
  <c r="G34" i="4" s="1"/>
  <c r="L18" i="4"/>
  <c r="M18" i="4" s="1"/>
  <c r="L24" i="4" l="1"/>
  <c r="M24" i="4" s="1"/>
  <c r="H30" i="4"/>
  <c r="H34" i="4" s="1"/>
  <c r="J30" i="4"/>
  <c r="I30" i="4"/>
  <c r="I34" i="4" s="1"/>
  <c r="L26" i="4"/>
  <c r="M26" i="4" s="1"/>
  <c r="D27" i="4"/>
  <c r="E35" i="4"/>
  <c r="F35" i="4"/>
  <c r="G35" i="4"/>
  <c r="D29" i="4"/>
  <c r="D23" i="4"/>
  <c r="D19" i="4"/>
  <c r="D11" i="4"/>
  <c r="D25" i="4"/>
  <c r="D21" i="4"/>
  <c r="D15" i="4"/>
  <c r="D13" i="4"/>
  <c r="D31" i="4"/>
  <c r="D17" i="4"/>
  <c r="L28" i="4"/>
  <c r="M28" i="4" s="1"/>
  <c r="J34" i="4" l="1"/>
  <c r="J35" i="4" s="1"/>
  <c r="H35" i="4"/>
  <c r="H36" i="4" s="1"/>
  <c r="G36" i="4"/>
  <c r="F36" i="4"/>
  <c r="L30" i="4"/>
  <c r="I35" i="4"/>
  <c r="D34" i="4"/>
  <c r="G37" i="4"/>
  <c r="H37" i="4" l="1"/>
  <c r="I37" i="4" s="1"/>
  <c r="J37" i="4" s="1"/>
  <c r="K35" i="4"/>
  <c r="I36" i="4"/>
  <c r="J36" i="4"/>
  <c r="F40" i="4"/>
  <c r="L34" i="4"/>
  <c r="J81" i="1"/>
  <c r="J321" i="1" s="1"/>
  <c r="L32" i="1" l="1"/>
  <c r="J334" i="1"/>
  <c r="L313" i="1"/>
  <c r="L293" i="1"/>
  <c r="L266" i="1"/>
  <c r="L270" i="1"/>
  <c r="L235" i="1"/>
  <c r="L191" i="1"/>
  <c r="L165" i="1"/>
  <c r="L142" i="1"/>
  <c r="L123" i="1"/>
  <c r="L120" i="1"/>
  <c r="L133" i="1"/>
  <c r="L151" i="1"/>
  <c r="L146" i="1"/>
  <c r="L52" i="1"/>
  <c r="L243" i="1"/>
  <c r="L194" i="1"/>
  <c r="L117" i="1"/>
  <c r="L314" i="1"/>
  <c r="L214" i="1"/>
  <c r="L30" i="1"/>
  <c r="L55" i="1"/>
  <c r="L91" i="1"/>
  <c r="L248" i="1"/>
  <c r="L70" i="1"/>
  <c r="L259" i="1"/>
  <c r="L300" i="1"/>
  <c r="L283" i="1"/>
  <c r="L66" i="1"/>
  <c r="L302" i="1"/>
  <c r="L181" i="1"/>
  <c r="L186" i="1"/>
  <c r="L254" i="1"/>
  <c r="L180" i="1"/>
  <c r="L116" i="1"/>
  <c r="L281" i="1"/>
  <c r="L59" i="1"/>
  <c r="L246" i="1"/>
  <c r="L42" i="1"/>
  <c r="L294" i="1"/>
  <c r="L236" i="1"/>
  <c r="L192" i="1"/>
  <c r="L157" i="1"/>
  <c r="L128" i="1"/>
  <c r="L158" i="1"/>
  <c r="L138" i="1"/>
  <c r="L127" i="1"/>
  <c r="L299" i="1"/>
  <c r="L21" i="1"/>
  <c r="L72" i="1"/>
  <c r="L90" i="1"/>
  <c r="L99" i="1"/>
  <c r="L257" i="1"/>
  <c r="L50" i="1"/>
  <c r="L87" i="1"/>
  <c r="L206" i="1"/>
  <c r="L178" i="1"/>
  <c r="L301" i="1"/>
  <c r="L36" i="1"/>
  <c r="L198" i="1"/>
  <c r="L290" i="1"/>
  <c r="L69" i="1"/>
  <c r="L114" i="1"/>
  <c r="L297" i="1"/>
  <c r="L74" i="1"/>
  <c r="L258" i="1"/>
  <c r="L37" i="1"/>
  <c r="L244" i="1"/>
  <c r="L250" i="1"/>
  <c r="L286" i="1"/>
  <c r="L308" i="1"/>
  <c r="L295" i="1"/>
  <c r="L267" i="1"/>
  <c r="L238" i="1"/>
  <c r="L163" i="1"/>
  <c r="L155" i="1"/>
  <c r="L130" i="1"/>
  <c r="L124" i="1"/>
  <c r="L161" i="1"/>
  <c r="L156" i="1"/>
  <c r="L44" i="1"/>
  <c r="L107" i="1"/>
  <c r="L228" i="1"/>
  <c r="L212" i="1"/>
  <c r="L196" i="1"/>
  <c r="L24" i="1"/>
  <c r="L307" i="1"/>
  <c r="L274" i="1"/>
  <c r="L237" i="1"/>
  <c r="L129" i="1"/>
  <c r="L172" i="1"/>
  <c r="L231" i="1"/>
  <c r="L113" i="1"/>
  <c r="L296" i="1"/>
  <c r="L18" i="1"/>
  <c r="L162" i="1"/>
  <c r="L143" i="1"/>
  <c r="L80" i="1"/>
  <c r="L85" i="1"/>
  <c r="L22" i="1"/>
  <c r="L188" i="1"/>
  <c r="L224" i="1"/>
  <c r="L253" i="1"/>
  <c r="L309" i="1"/>
  <c r="L273" i="1"/>
  <c r="L241" i="1"/>
  <c r="L131" i="1"/>
  <c r="L145" i="1"/>
  <c r="L159" i="1"/>
  <c r="L148" i="1"/>
  <c r="L119" i="1"/>
  <c r="L233" i="1"/>
  <c r="L282" i="1"/>
  <c r="L263" i="1"/>
  <c r="L256" i="1"/>
  <c r="L102" i="1"/>
  <c r="L109" i="1"/>
  <c r="L13" i="1"/>
  <c r="L73" i="1"/>
  <c r="L89" i="1"/>
  <c r="L92" i="1"/>
  <c r="L183" i="1"/>
  <c r="L262" i="1"/>
  <c r="L65" i="1"/>
  <c r="L232" i="1"/>
  <c r="L103" i="1"/>
  <c r="L213" i="1"/>
  <c r="L81" i="1"/>
  <c r="L310" i="1"/>
  <c r="L275" i="1"/>
  <c r="L234" i="1"/>
  <c r="L160" i="1"/>
  <c r="L125" i="1"/>
  <c r="L147" i="1"/>
  <c r="L139" i="1"/>
  <c r="L149" i="1"/>
  <c r="L12" i="1"/>
  <c r="L199" i="1"/>
  <c r="L40" i="1"/>
  <c r="L19" i="1"/>
  <c r="L289" i="1"/>
  <c r="L25" i="1"/>
  <c r="L10" i="1"/>
  <c r="L51" i="1"/>
  <c r="L177" i="1"/>
  <c r="L249" i="1"/>
  <c r="L83" i="1"/>
  <c r="L28" i="1"/>
  <c r="L39" i="1"/>
  <c r="L187" i="1"/>
  <c r="L298" i="1"/>
  <c r="L46" i="1"/>
  <c r="L209" i="1"/>
  <c r="L316" i="1"/>
  <c r="L291" i="1"/>
  <c r="L268" i="1"/>
  <c r="L242" i="1"/>
  <c r="L126" i="1"/>
  <c r="L134" i="1"/>
  <c r="L141" i="1"/>
  <c r="L168" i="1"/>
  <c r="L137" i="1"/>
  <c r="L205" i="1"/>
  <c r="L27" i="1"/>
  <c r="L115" i="1"/>
  <c r="L78" i="1"/>
  <c r="L211" i="1"/>
  <c r="L112" i="1"/>
  <c r="L106" i="1"/>
  <c r="L306" i="1"/>
  <c r="L58" i="1"/>
  <c r="L287" i="1"/>
  <c r="L47" i="1"/>
  <c r="L93" i="1"/>
  <c r="L45" i="1"/>
  <c r="L60" i="1"/>
  <c r="L175" i="1"/>
  <c r="L100" i="1"/>
  <c r="L304" i="1"/>
  <c r="L317" i="1"/>
  <c r="L292" i="1"/>
  <c r="L276" i="1"/>
  <c r="L225" i="1"/>
  <c r="L140" i="1"/>
  <c r="L167" i="1"/>
  <c r="L170" i="1"/>
  <c r="L169" i="1"/>
  <c r="L76" i="1"/>
  <c r="L71" i="1"/>
  <c r="L105" i="1"/>
  <c r="L230" i="1"/>
  <c r="L204" i="1"/>
  <c r="L64" i="1"/>
  <c r="L23" i="1"/>
  <c r="L33" i="1"/>
  <c r="L305" i="1"/>
  <c r="L200" i="1"/>
  <c r="L219" i="1"/>
  <c r="L202" i="1"/>
  <c r="L252" i="1"/>
  <c r="L315" i="1"/>
  <c r="L207" i="1"/>
  <c r="L11" i="1"/>
  <c r="L26" i="1"/>
  <c r="L303" i="1"/>
  <c r="L318" i="1"/>
  <c r="L277" i="1"/>
  <c r="L136" i="1"/>
  <c r="L135" i="1"/>
  <c r="L94" i="1"/>
  <c r="L280" i="1"/>
  <c r="L86" i="1"/>
  <c r="L176" i="1"/>
  <c r="L43" i="1"/>
  <c r="L208" i="1"/>
  <c r="L288" i="1"/>
  <c r="L247" i="1"/>
  <c r="L41" i="1"/>
  <c r="L264" i="1"/>
  <c r="L121" i="1"/>
  <c r="L118" i="1"/>
  <c r="L226" i="1"/>
  <c r="L185" i="1"/>
  <c r="L75" i="1"/>
  <c r="L56" i="1"/>
  <c r="L82" i="1"/>
  <c r="L220" i="1"/>
  <c r="L203" i="1"/>
  <c r="L79" i="1"/>
  <c r="L312" i="1"/>
  <c r="L239" i="1"/>
  <c r="L132" i="1"/>
  <c r="L164" i="1"/>
  <c r="L54" i="1"/>
  <c r="L67" i="1"/>
  <c r="L227" i="1"/>
  <c r="L57" i="1"/>
  <c r="L20" i="1"/>
  <c r="L35" i="1"/>
  <c r="L63" i="1"/>
  <c r="L84" i="1"/>
  <c r="L265" i="1"/>
  <c r="L14" i="1"/>
  <c r="L152" i="1"/>
  <c r="L49" i="1"/>
  <c r="L29" i="1"/>
  <c r="L197" i="1"/>
  <c r="L97" i="1"/>
  <c r="L68" i="1"/>
  <c r="L223" i="1"/>
  <c r="L229" i="1"/>
  <c r="L193" i="1"/>
  <c r="L271" i="1"/>
  <c r="L15" i="1"/>
  <c r="L144" i="1"/>
  <c r="L153" i="1"/>
  <c r="L251" i="1"/>
  <c r="L96" i="1"/>
  <c r="L184" i="1"/>
  <c r="L110" i="1"/>
  <c r="L98" i="1"/>
  <c r="L104" i="1"/>
  <c r="L48" i="1"/>
  <c r="L77" i="1"/>
  <c r="L182" i="1"/>
  <c r="L278" i="1"/>
  <c r="L269" i="1"/>
  <c r="L16" i="1"/>
  <c r="L173" i="1"/>
  <c r="L122" i="1"/>
  <c r="L88" i="1"/>
  <c r="L195" i="1"/>
  <c r="L261" i="1"/>
  <c r="L255" i="1"/>
  <c r="L201" i="1"/>
  <c r="L245" i="1"/>
  <c r="L221" i="1"/>
  <c r="L285" i="1"/>
  <c r="L34" i="1"/>
  <c r="L95" i="1"/>
  <c r="L272" i="1"/>
  <c r="L17" i="1"/>
  <c r="L154" i="1"/>
  <c r="L171" i="1"/>
  <c r="L215" i="1"/>
  <c r="L61" i="1"/>
  <c r="L260" i="1"/>
  <c r="L222" i="1"/>
  <c r="L190" i="1"/>
  <c r="L111" i="1"/>
  <c r="L218" i="1"/>
  <c r="L217" i="1"/>
  <c r="L284" i="1"/>
  <c r="L279" i="1"/>
  <c r="L311" i="1"/>
  <c r="L240" i="1"/>
  <c r="L166" i="1"/>
  <c r="L150" i="1"/>
  <c r="L53" i="1"/>
  <c r="L108" i="1"/>
  <c r="L189" i="1"/>
  <c r="L38" i="1"/>
  <c r="L216" i="1"/>
  <c r="L31" i="1"/>
  <c r="L62" i="1"/>
  <c r="L101" i="1"/>
  <c r="L179" i="1"/>
  <c r="L210" i="1"/>
  <c r="L174" i="1"/>
</calcChain>
</file>

<file path=xl/sharedStrings.xml><?xml version="1.0" encoding="utf-8"?>
<sst xmlns="http://schemas.openxmlformats.org/spreadsheetml/2006/main" count="6190" uniqueCount="1196">
  <si>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</si>
  <si>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</si>
  <si>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</si>
  <si>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</si>
  <si>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</si>
  <si>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</si>
  <si>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</si>
  <si>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</si>
  <si>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</si>
  <si>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</si>
  <si>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 xml:space="preserve"> 1 </t>
  </si>
  <si>
    <t>SERVIÇOS PRELIMINARES</t>
  </si>
  <si>
    <t xml:space="preserve"> 1.1 </t>
  </si>
  <si>
    <t>SINAPI</t>
  </si>
  <si>
    <t>UN</t>
  </si>
  <si>
    <t>SEINFRA</t>
  </si>
  <si>
    <t>M</t>
  </si>
  <si>
    <t xml:space="preserve"> 2 </t>
  </si>
  <si>
    <t xml:space="preserve"> 2.1 </t>
  </si>
  <si>
    <t>KG</t>
  </si>
  <si>
    <t>ESQUADRIAS</t>
  </si>
  <si>
    <t>M²</t>
  </si>
  <si>
    <t>SOLEIRA EM GRANITO, LARGURA 15 CM, ESPESSURA 2,0 CM. AF_09/2020</t>
  </si>
  <si>
    <t>SABONETEIRA PLASTICA TIPO DISPENSER PARA SABONETE LIQUIDO COM RESERVATORIO 800 A 1500 ML, INCLUSO FIXAÇÃO. AF_01/2020</t>
  </si>
  <si>
    <t>ASSENTO SANITÁRIO CONVENCIONAL - FORNECIMENTO E INSTALACAO. AF_01/2020</t>
  </si>
  <si>
    <t>Total sem BDI</t>
  </si>
  <si>
    <t>Total do BDI</t>
  </si>
  <si>
    <t xml:space="preserve"> 1.2</t>
  </si>
  <si>
    <t xml:space="preserve"> 1.3</t>
  </si>
  <si>
    <t>Tipo</t>
  </si>
  <si>
    <t>Composição Auxiliar</t>
  </si>
  <si>
    <t>SEDI - SERVIÇOS DIVERSOS</t>
  </si>
  <si>
    <t>H</t>
  </si>
  <si>
    <t>SERVENTE COM ENCARGOS COMPLEMENTARES</t>
  </si>
  <si>
    <t>Insumo</t>
  </si>
  <si>
    <t>Material</t>
  </si>
  <si>
    <t>PINTOR COM ENCARGOS COMPLEMENTARES</t>
  </si>
  <si>
    <t>L</t>
  </si>
  <si>
    <t>TOTAL</t>
  </si>
  <si>
    <t>COMPOSIÇÃO 05</t>
  </si>
  <si>
    <t>PARE - PAREDES/PAINEIS</t>
  </si>
  <si>
    <t>CHP</t>
  </si>
  <si>
    <t>Valor Total com BDI</t>
  </si>
  <si>
    <t>Valor Total sem BDI</t>
  </si>
  <si>
    <t>Valor Unit sem BDI</t>
  </si>
  <si>
    <t>ADMINISTRAÇÃO LOCAL</t>
  </si>
  <si>
    <t>ENCARREGADO GERAL COM ENCARGOS COMPLEMENTARES</t>
  </si>
  <si>
    <t xml:space="preserve"> 2.2 </t>
  </si>
  <si>
    <t>ENGENHEIRO CIVIL DE OBRA PLENO COM ENCARGOS COMPLEMENTARES</t>
  </si>
  <si>
    <t>3.1</t>
  </si>
  <si>
    <t>3.2</t>
  </si>
  <si>
    <t>3.3</t>
  </si>
  <si>
    <t>3.4</t>
  </si>
  <si>
    <t>5.1</t>
  </si>
  <si>
    <t>6.1</t>
  </si>
  <si>
    <t>7.1</t>
  </si>
  <si>
    <t>7.1.3</t>
  </si>
  <si>
    <t>7.1.4</t>
  </si>
  <si>
    <t>7.2</t>
  </si>
  <si>
    <t>7.3</t>
  </si>
  <si>
    <t>7.3.1</t>
  </si>
  <si>
    <t>Comprimento</t>
  </si>
  <si>
    <t>Largura</t>
  </si>
  <si>
    <t xml:space="preserve">Altura </t>
  </si>
  <si>
    <t>PREFEITURA MUNICIPAL DE GOIANA</t>
  </si>
  <si>
    <t>OBRA:</t>
  </si>
  <si>
    <t xml:space="preserve">DATA: </t>
  </si>
  <si>
    <t>TABELAS DE REFER:</t>
  </si>
  <si>
    <t>CRONOGRAMA FÍSICO FINANCEIRO</t>
  </si>
  <si>
    <t>ITEM</t>
  </si>
  <si>
    <t>DESCRIÇÃO DOS SERVIÇOS</t>
  </si>
  <si>
    <t>VALOR (R$)</t>
  </si>
  <si>
    <t>% ITEM</t>
  </si>
  <si>
    <t>INSTALAÇÕES HIDRÁULICAS</t>
  </si>
  <si>
    <t>AC</t>
  </si>
  <si>
    <t>DF</t>
  </si>
  <si>
    <t>R</t>
  </si>
  <si>
    <t>S+G</t>
  </si>
  <si>
    <t>Dias</t>
  </si>
  <si>
    <t>Mês</t>
  </si>
  <si>
    <t>VALORES TOTAIS</t>
  </si>
  <si>
    <t>MEMORIA DE CALCULO</t>
  </si>
  <si>
    <t>COMPOSIÇÕES</t>
  </si>
  <si>
    <t xml:space="preserve">CARGO HORARIA - PARA 6 MESES </t>
  </si>
  <si>
    <t>M³</t>
  </si>
  <si>
    <t>MÊS</t>
  </si>
  <si>
    <t>C4995</t>
  </si>
  <si>
    <t>LOCAÇÃO DE CONTÊINER BANHEIRO COM 02 VASOS SANITÁRIOS, 01 LAVATÓRIO E 04 CHUVEIROS - 6,00 X 2,35M</t>
  </si>
  <si>
    <t>C1628</t>
  </si>
  <si>
    <t>COMPOSIÇÃO 06</t>
  </si>
  <si>
    <t>ESQV - ESQUADRIAS/FERRAGENS/VIDROS</t>
  </si>
  <si>
    <t>30 DIAS</t>
  </si>
  <si>
    <t>60 DIAS</t>
  </si>
  <si>
    <t>90 DIAS</t>
  </si>
  <si>
    <t>120 DIAS</t>
  </si>
  <si>
    <t>150 DIAS</t>
  </si>
  <si>
    <t>180 DIAS</t>
  </si>
  <si>
    <t>LIMPEZA GERAL</t>
  </si>
  <si>
    <t>COMPOSIÇÃO 03</t>
  </si>
  <si>
    <t>COMPOSIÇÃO 01</t>
  </si>
  <si>
    <t>COMPOSIÇÃO 04</t>
  </si>
  <si>
    <t>MEDIDA DA PLACA, PADRÃO MINISTÉRIO DA SAÚDE</t>
  </si>
  <si>
    <t>COBERTURA</t>
  </si>
  <si>
    <t xml:space="preserve">REVESTIMENTOS </t>
  </si>
  <si>
    <t>PISO</t>
  </si>
  <si>
    <t>8.2</t>
  </si>
  <si>
    <t>8.1</t>
  </si>
  <si>
    <t>PAREDE</t>
  </si>
  <si>
    <t xml:space="preserve">TETO </t>
  </si>
  <si>
    <t>8.3</t>
  </si>
  <si>
    <t xml:space="preserve">ESQUADRIAS </t>
  </si>
  <si>
    <t>MADEIRA</t>
  </si>
  <si>
    <t>9.1</t>
  </si>
  <si>
    <t>ALUMINIO</t>
  </si>
  <si>
    <t>9.2</t>
  </si>
  <si>
    <t>VIDRO</t>
  </si>
  <si>
    <t>10.1</t>
  </si>
  <si>
    <t>10.2</t>
  </si>
  <si>
    <t>10.3</t>
  </si>
  <si>
    <t>10.4</t>
  </si>
  <si>
    <t>INSTALAÇÕES HIDRAULICAS</t>
  </si>
  <si>
    <t>LOUÇAS E APARELHOS SANITÁRIOS</t>
  </si>
  <si>
    <t>DIVERSOS E LIMPEZA DA OBRA</t>
  </si>
  <si>
    <t>BANCO DE CONCRETO CURVO</t>
  </si>
  <si>
    <t>RUFO EM CHAPA DE AÇO GALVANIZADO NÚMERO 24, CORTE DE 25 CM, INCLUSO TRANSPORTE VERTICAL. AF_07/2019</t>
  </si>
  <si>
    <t>VASO SANITARIO SIFONADO CONVENCIONAL PARA PCD SEM FURO FRONTAL COM LOUÇA BRANCA SEM ASSENTO, INCLUSO CONJUNTO DE LIGAÇÃO PARA BACIA SANITÁRIA AJUSTÁVEL - FORNECIMENTO E INSTALAÇÃO. AF_01/2020</t>
  </si>
  <si>
    <t xml:space="preserve">SINAPI </t>
  </si>
  <si>
    <t>TORNEIRA CROMADA 1/2 OU 3/4 PARA TANQUE, PADRÃO MÉDIO - FORNECIMENTO E INSTALAÇÃO. AF_01/2020</t>
  </si>
  <si>
    <t>C0770</t>
  </si>
  <si>
    <t>CHAPA POLICARBONATO COMPACTO CRISTAL ESP.= 6mm</t>
  </si>
  <si>
    <t>COMPOSIÇÃO 02</t>
  </si>
  <si>
    <t>C1869</t>
  </si>
  <si>
    <t>PEITORIL DE GRANITO L= 15 cm</t>
  </si>
  <si>
    <t>EMASSAMENTO C/MASSA ACRÍLICA PARA AMBIENTES INTERNOS, DUAS DEMÃOS</t>
  </si>
  <si>
    <t>LIXA EM FOLHA PARA PAREDE OU MADEIRA, NUMERO 120, COR VERMELHA</t>
  </si>
  <si>
    <t xml:space="preserve">PRÓPRIO </t>
  </si>
  <si>
    <t>PORTA PAPEL TOALHA (DISPENSER)EM ABS</t>
  </si>
  <si>
    <t>C4825</t>
  </si>
  <si>
    <t>PORTA-PAPEL DE LOUCA BRANCA (15X15)cm</t>
  </si>
  <si>
    <t>C1997</t>
  </si>
  <si>
    <t>TANQUE DE LOUÇA BRANCA COM COLUNA, 30L OU EQUIVALENTE, INCLUSO SIFÃO FLEXÍVEL EM PVC, VÁLVULA PLÁSTICA E TORNEIRA DE METAL CROMADO PADRÃO POPULAR - FORNECIMENTO E INSTALAÇÃO. AF_01/2020</t>
  </si>
  <si>
    <t>PISO CIMENTADO, TRAÇO 1:3 (CIMENTO E AREIA), ACABAMENTO RÚSTICO, ESPESSURA 2,0 CM, PREPARO MECÂNICO DA ARGAMASSA. AF_09/2020</t>
  </si>
  <si>
    <t>CONTRAPISO ACÚSTICO EM ARGAMASSA TRAÇO 1:4 (CIMENTO E AREIA), PREPARO MANUAL, APLICADO EM ÁREAS SECAS, ACABAMENTO NÃO REFORÇADO, ESPESSURA 7 CM. AF_07/2021</t>
  </si>
  <si>
    <t>PINTURA TINTA DE ACABAMENTO (PIGMENTADA) ESMALTE SINTÉTICO ACETINADO EM MADEIRA, 2 DEMÃOS. AF_01/2021</t>
  </si>
  <si>
    <t>CONE PARA EXPURGO EM AÇO INOX COM TAMPA E GRELHA - L=500MM X C=500MM, ALTURA ATÉ 300MM E SAÍDA D=100MM</t>
  </si>
  <si>
    <t>C3671</t>
  </si>
  <si>
    <t>CHUVEIRO ELÉTRICO COMUM CORPO PLÁSTICO, TIPO DUCHA FORNECIMENTO E INSTALAÇÃO. AF_01/2020</t>
  </si>
  <si>
    <t>REVESTIMENTOS</t>
  </si>
  <si>
    <t>TETO</t>
  </si>
  <si>
    <t>11.1</t>
  </si>
  <si>
    <t>MONTAGEM E DESMONTAGEM DE FÔRMA DE PILARES RETANGULARES E ESTRUTURAS SIMILARES, PÉ-DIREITO SIMPLES, EM MADEIRA SERRADA, 2 UTILIZAÇÕES. AF_09/2020</t>
  </si>
  <si>
    <t>SANITÁRIO PCD MASC.</t>
  </si>
  <si>
    <t>SANITÁRIO PCD FEM.</t>
  </si>
  <si>
    <t>SANITÁRIO PCD</t>
  </si>
  <si>
    <t>ALMOXARIFADO</t>
  </si>
  <si>
    <t>INALAÇÃO</t>
  </si>
  <si>
    <t>EXPURGO</t>
  </si>
  <si>
    <t>SALA DE ESTER.</t>
  </si>
  <si>
    <t>SALA DE REUNIÃO</t>
  </si>
  <si>
    <t>SALA DE ACS</t>
  </si>
  <si>
    <t>SALA DE OBSERVAÇÃO</t>
  </si>
  <si>
    <t>MEDICAMENTOS</t>
  </si>
  <si>
    <t>RECEPÇÃO</t>
  </si>
  <si>
    <t>TRIAGEM</t>
  </si>
  <si>
    <t>7.1.1</t>
  </si>
  <si>
    <t>7.1.2</t>
  </si>
  <si>
    <t>7.2.1</t>
  </si>
  <si>
    <t>7.2.2</t>
  </si>
  <si>
    <t>7.2.3</t>
  </si>
  <si>
    <t>7.3.2</t>
  </si>
  <si>
    <t>7.3.3</t>
  </si>
  <si>
    <t>PROPRIO</t>
  </si>
  <si>
    <t>PORTA INTERNA DE CEDRO LISA COMPLETA UMA FOLHA (0.90X 2.10)M</t>
  </si>
  <si>
    <t>PORTA INTERNA DE CEDRO LISA COMPLETA UMA FOLHA (1.00X 2.10)M</t>
  </si>
  <si>
    <t>C1989</t>
  </si>
  <si>
    <t>C1988</t>
  </si>
  <si>
    <t xml:space="preserve"> </t>
  </si>
  <si>
    <t xml:space="preserve">BDI </t>
  </si>
  <si>
    <t>SINAPI-I</t>
  </si>
  <si>
    <t>PRÓPRIO</t>
  </si>
  <si>
    <t>PARAFUSO ZINCADO, SEXTAVADO, COM ROSCA INTEIRA, DIAMETRO 1/4", COMPRIMENTO 1/2"</t>
  </si>
  <si>
    <t>PARAFUSO ZINCADO, SEXTAVADO, COM ROSCA INTEIRA, DIAMETRO 3/8", COMPRIMENTO 2"</t>
  </si>
  <si>
    <t>PARAFUSO DE FERRO POLIDO, SEXTAVADO, COM ROSCA PARCIAL, DIAMETRO 5/8", COMPRIMENTO 6", COM PORCA E ARRUELA DE PRESSAO MEDIA</t>
  </si>
  <si>
    <t>PARAFUSO DE FERRO POLIDO, SEXTAVADO, COM ROSCA INTEIRA, DIAMETRO 5/16", COMPRIMENTO 3/4", COM PORCA E ARRUELA LISA LEVE</t>
  </si>
  <si>
    <t>EMPOLAMENTO</t>
  </si>
  <si>
    <t>2 UTILIZAÇÕES</t>
  </si>
  <si>
    <t>CHAPA DE ACO GROSSA, ASTM A36, E = 3/8 " (9,53 MM) 74,69 KG/M²</t>
  </si>
  <si>
    <t>CHAPA DE ACO GROSSA, ASTM A36, E = 5/8 " (15,88 MM) 124,49 KG/M²</t>
  </si>
  <si>
    <t>ESTRUTURAS METÁLICAS</t>
  </si>
  <si>
    <t>Altura</t>
  </si>
  <si>
    <t>ORSE-I</t>
  </si>
  <si>
    <t xml:space="preserve">PISO TÁTIL DE ALERTA AMARELO </t>
  </si>
  <si>
    <t>PISO TÁTIL DE DIRECIONAL AZUL</t>
  </si>
  <si>
    <t>BANCADA DE GRANITO PRETO C/BOLEAMENTO DUPLO (COLOCADO)</t>
  </si>
  <si>
    <t>C0358</t>
  </si>
  <si>
    <t>BARRA DE APOIO RETA, EM ACO INOX POLIDO, COMPRIMENTO 70 CM, FIXADA NA PAREDE - FORNECIMENTO E INSTALAÇÃO. AF_01/2020</t>
  </si>
  <si>
    <t>BARRA DE APOIO RETA, EM ACO INOX POLIDO, COMPRIMENTO 80 CM, FIXADA NA PAREDE - FORNECIMENTO E INSTALAÇÃO. AF_01/2020</t>
  </si>
  <si>
    <t>COZINHA</t>
  </si>
  <si>
    <t>DML</t>
  </si>
  <si>
    <t>BWC FUNCIONÁRIOS</t>
  </si>
  <si>
    <t>BWC PCD</t>
  </si>
  <si>
    <t>SANITÁRIO PCD (CONSULTÓRIO)</t>
  </si>
  <si>
    <t>ADMINISTRAÇAÕ</t>
  </si>
  <si>
    <t>CONSULTÓRIO MÉDICO</t>
  </si>
  <si>
    <t>CONSULTÓRIO ENFERMAGEM</t>
  </si>
  <si>
    <t>SALA DE VACINAS</t>
  </si>
  <si>
    <t>SALA DE CURATIVOS</t>
  </si>
  <si>
    <t>CONSULTÓRIO ODONTOLÓGICO</t>
  </si>
  <si>
    <t xml:space="preserve">M </t>
  </si>
  <si>
    <t>C4981</t>
  </si>
  <si>
    <t>DISPOSITIVO DE PROTEÇÃO CONTRA SURTOS DE TENSÃO - DPS's - 40 KA/440V</t>
  </si>
  <si>
    <t>C4562</t>
  </si>
  <si>
    <t>ELETRODUTO FLEXÍVEL CORRUGADO, PEAD, DN 50 (1 1/2"), PARA REDE ENTERRADA DE DISTRIBUIÇÃO DE ENERGIA ELÉTRICA - FORNECIMENTO E INSTALAÇÃO. AF_12/2021</t>
  </si>
  <si>
    <t>CHI</t>
  </si>
  <si>
    <t>FABRICAÇÃO DE FÔRMA PARA PILARES E ESTRUTURAS SIMILARES, EM CHAPA DE MADEIRA COMPENSADA RESINADA, E = 17 MM. AF_09/2020</t>
  </si>
  <si>
    <t>FABRICAÇÃO DE FÔRMA PARA LAJES, EM MADEIRA SERRADA, E=25 MM. AF_09/2020</t>
  </si>
  <si>
    <t>CONCRETO FCK = 25MPA, TRAÇO 1:2,3:2,7 (EM MASSA SECA DE CIMENTO/ AREIA MÉDIA/ BRITA 1) - PREPARO MECÂNICO COM BETONEIRA 400 L. AF_05/2021</t>
  </si>
  <si>
    <t>CUBA DE EMBUTIR RETANGULAR DE AÇO INOXIDÁVEL, 46 X 30 X 12 CM - FORNECIMENTO E INSTALAÇÃO. AF_01/2020</t>
  </si>
  <si>
    <t>TORNEIRA CROMADA DE MESA PARA LAVATORIO, TIPO MONOCOMANDO. AF_01/2020</t>
  </si>
  <si>
    <t>AUXILIAR DE ENCANADOR OU BOMBEIRO HIDRÁULICO COM ENCARGOS COMPLEMENTARES</t>
  </si>
  <si>
    <t>ENCANADOR OU BOMBEIRO HIDRÁULICO COM ENCARGOS COMPLEMENTARES</t>
  </si>
  <si>
    <t>VIDRACEIRO COM ENCARGOS COMPLEMENTARES</t>
  </si>
  <si>
    <t>CONJ. DE FERRAGENS PARA PORTA DE VIDRO TEMPERADO, EM ZAMAC CROMADO,CONTEMPLANDO DOBRADICA INF., DOBRADICA SUP., PIVO PARA DOBRADICA INF., PIVO PARA DOBRADICA SUP., FECHADURA CENTRAL EM ZAMC. CROMADO, CONTRA FECHADURA DE PRESSAO</t>
  </si>
  <si>
    <t>VIDRO TEMPERADO INCOLOR PARA PORTA DE ABRIR, E = 10 MM (SEM FERRAGENS E SEM COLOCACAO)</t>
  </si>
  <si>
    <t>MOLA HIDRÁULICA PARA VIDRO TEMPERADO (TIPO BLINDEX - REF. 1024 OU SIMILAR)</t>
  </si>
  <si>
    <t>LAVATÓRIO DE LOUÇA BRANCA S/COLUNA C/TORNEIRA DE METAL E ACESSÓRIOS - PADRÃO POPULAR</t>
  </si>
  <si>
    <t>C3004</t>
  </si>
  <si>
    <t>9.3</t>
  </si>
  <si>
    <t>9.4</t>
  </si>
  <si>
    <r>
      <rPr>
        <b/>
        <sz val="8.5"/>
        <rFont val="Calibri"/>
        <family val="1"/>
      </rPr>
      <t>PLANILHA ORÇAMENTÁRIA CONSOLIDADA - Versão Desonerada</t>
    </r>
  </si>
  <si>
    <r>
      <rPr>
        <b/>
        <sz val="7.5"/>
        <rFont val="Calibri"/>
        <family val="1"/>
      </rPr>
      <t>MUNICÍPIO DE GOIANA</t>
    </r>
  </si>
  <si>
    <t>VALORES BDI POR TIPO DE OBRAS</t>
  </si>
  <si>
    <t>SELECIONE UM TIPO DE SERVIÇO</t>
  </si>
  <si>
    <t>1°QUARTIL</t>
  </si>
  <si>
    <t>MÉDIO</t>
  </si>
  <si>
    <t>3°QUARTIL</t>
  </si>
  <si>
    <r>
      <rPr>
        <b/>
        <sz val="7.5"/>
        <rFont val="Calibri"/>
        <family val="1"/>
      </rPr>
      <t>ITEM</t>
    </r>
  </si>
  <si>
    <r>
      <rPr>
        <b/>
        <sz val="7.5"/>
        <rFont val="Calibri"/>
        <family val="1"/>
      </rPr>
      <t>COMPOSIÇÃO COMPOSIÇÃO BDI</t>
    </r>
  </si>
  <si>
    <r>
      <rPr>
        <b/>
        <sz val="7.5"/>
        <rFont val="Calibri"/>
        <family val="1"/>
      </rPr>
      <t>%</t>
    </r>
  </si>
  <si>
    <t>CONSTRUÇÃO DE EDIFÍCIOS</t>
  </si>
  <si>
    <r>
      <rPr>
        <b/>
        <sz val="7.5"/>
        <rFont val="Calibri"/>
        <family val="1"/>
      </rPr>
      <t>ADMINISTRAÇÃO CENTRAL</t>
    </r>
  </si>
  <si>
    <t>CONSTRUÇÃO DE RODOVIAS E FERROVIAS</t>
  </si>
  <si>
    <r>
      <rPr>
        <sz val="7.5"/>
        <rFont val="Calibri"/>
        <family val="1"/>
      </rPr>
      <t>AC</t>
    </r>
  </si>
  <si>
    <r>
      <rPr>
        <sz val="7.5"/>
        <rFont val="Calibri"/>
        <family val="1"/>
      </rPr>
      <t>ADMINISTRAÇÃO CENTRAL</t>
    </r>
  </si>
  <si>
    <t>MERO FORNECIMENTO DE MATERIAIS E EQUIPAMENTOS</t>
  </si>
  <si>
    <r>
      <rPr>
        <sz val="7.5"/>
        <rFont val="Calibri"/>
        <family val="1"/>
      </rPr>
      <t>DF</t>
    </r>
  </si>
  <si>
    <r>
      <rPr>
        <sz val="7.5"/>
        <rFont val="Calibri"/>
        <family val="1"/>
      </rPr>
      <t>DESPESAS FINANCEIRAS</t>
    </r>
  </si>
  <si>
    <r>
      <rPr>
        <sz val="7.5"/>
        <rFont val="Calibri"/>
        <family val="1"/>
      </rPr>
      <t>R</t>
    </r>
  </si>
  <si>
    <r>
      <rPr>
        <sz val="7.5"/>
        <rFont val="Calibri"/>
        <family val="1"/>
      </rPr>
      <t>RISCOS</t>
    </r>
  </si>
  <si>
    <t>BDI</t>
  </si>
  <si>
    <r>
      <rPr>
        <sz val="7.5"/>
        <rFont val="Calibri"/>
        <family val="1"/>
      </rPr>
      <t>S+G</t>
    </r>
  </si>
  <si>
    <r>
      <rPr>
        <sz val="7.5"/>
        <rFont val="Calibri"/>
        <family val="1"/>
      </rPr>
      <t>SEGUROS E GARANTIAS CONTRATUAIS</t>
    </r>
  </si>
  <si>
    <r>
      <rPr>
        <b/>
        <sz val="7.5"/>
        <rFont val="Calibri"/>
        <family val="1"/>
      </rPr>
      <t>LUCRO</t>
    </r>
  </si>
  <si>
    <t>DESCONSIDERAR ISS</t>
  </si>
  <si>
    <r>
      <rPr>
        <sz val="7.5"/>
        <rFont val="Calibri"/>
        <family val="1"/>
      </rPr>
      <t>L</t>
    </r>
  </si>
  <si>
    <r>
      <rPr>
        <sz val="7.5"/>
        <rFont val="Calibri"/>
        <family val="1"/>
      </rPr>
      <t>LUCRO OPERACIONAL</t>
    </r>
  </si>
  <si>
    <r>
      <rPr>
        <b/>
        <sz val="7.5"/>
        <rFont val="Calibri"/>
        <family val="1"/>
      </rPr>
      <t>TRIBUTOS</t>
    </r>
  </si>
  <si>
    <r>
      <rPr>
        <b/>
        <sz val="7.5"/>
        <rFont val="Calibri"/>
        <family val="1"/>
      </rPr>
      <t>BDI COM TRIBUTOS (%)</t>
    </r>
  </si>
  <si>
    <r>
      <rPr>
        <b/>
        <sz val="7.5"/>
        <rFont val="Calibri"/>
        <family val="1"/>
      </rPr>
      <t xml:space="preserve">FÓRMULA:
</t>
    </r>
    <r>
      <rPr>
        <sz val="7.5"/>
        <rFont val="Calibri"/>
        <family val="1"/>
      </rPr>
      <t xml:space="preserve">OBSERVAÇÕES:
</t>
    </r>
    <r>
      <rPr>
        <sz val="7.5"/>
        <rFont val="Calibri"/>
        <family val="1"/>
      </rPr>
      <t xml:space="preserve">Onde:
</t>
    </r>
    <r>
      <rPr>
        <sz val="7.5"/>
        <rFont val="Calibri"/>
        <family val="1"/>
      </rPr>
      <t xml:space="preserve">AC = taxa de rateio da administração central S = taxa representativa de seguros
</t>
    </r>
    <r>
      <rPr>
        <sz val="7.5"/>
        <rFont val="Calibri"/>
        <family val="1"/>
      </rPr>
      <t xml:space="preserve">R = taxa representativa correspondente os riscos e imprevistos G = taxa que representa o ônus das garantias exigidas em edital DF = taxa representativa das despesas financeiras
</t>
    </r>
    <r>
      <rPr>
        <sz val="7.5"/>
        <rFont val="Calibri"/>
        <family val="1"/>
      </rPr>
      <t xml:space="preserve">L = corresponde à remuneração bruta do construtor
</t>
    </r>
    <r>
      <rPr>
        <sz val="7.5"/>
        <rFont val="Calibri"/>
        <family val="1"/>
      </rPr>
      <t xml:space="preserve">I = taxa representativa dos tributos incidentes sobre o preço de venda (PIS, Cofins, CPRB e ISS).
</t>
    </r>
    <r>
      <rPr>
        <sz val="7.5"/>
        <rFont val="Calibri"/>
        <family val="1"/>
      </rPr>
      <t>** Percentuais retirados do ACÓRDÃO Nº 0204-16 – TCE – PE.</t>
    </r>
  </si>
  <si>
    <t>PORTA DE ABRIR COM MOLA HIDRÁULICA, EM VIDRO TEMPERADO COM BANDEIRA FIXA, 1,50X2,10 M, ESPESSURA 10MM, INCLUSIVE ACESSÓRIOS</t>
  </si>
  <si>
    <t>PORTA DE ABRIR COM MOLA HIDRÁULICA, EM VIDRO TEMPERADO COM BANDEIRA FIXA, 1,60X2,10 M, ESPESSURA 10MM, INCLUSIVE ACESSÓRIOS</t>
  </si>
  <si>
    <t>ENTRADA PRINCIPAL</t>
  </si>
  <si>
    <t>PORTA DA RECEPÇÃO</t>
  </si>
  <si>
    <t>PORTA EXTERNA DE CEDRO LISA COMPLETA UMA FOLHA (1.00X2.10)M</t>
  </si>
  <si>
    <t>C1979</t>
  </si>
  <si>
    <t>BDI:</t>
  </si>
  <si>
    <t>BDI DIFERENCIADO:</t>
  </si>
  <si>
    <t>ENDEREÇO:</t>
  </si>
  <si>
    <t xml:space="preserve"> COMPOSIÇÃO BDI</t>
  </si>
  <si>
    <t>PIS</t>
  </si>
  <si>
    <t>COFINS</t>
  </si>
  <si>
    <t>ISSQN</t>
  </si>
  <si>
    <t>CONTRIBUIÇÃO PREVIDENCIÁRIA SOBRE  A RENDA BRUTA</t>
  </si>
  <si>
    <t>l.4</t>
  </si>
  <si>
    <t xml:space="preserve">I.3                                                     </t>
  </si>
  <si>
    <t xml:space="preserve">I.2                                                  </t>
  </si>
  <si>
    <t xml:space="preserve">I.1                                                     </t>
  </si>
  <si>
    <t xml:space="preserve">I.2                                                    </t>
  </si>
  <si>
    <t/>
  </si>
  <si>
    <t>9/88888888888</t>
  </si>
  <si>
    <t>REDE DE ESGOTO</t>
  </si>
  <si>
    <t>COMPOSIÇÃO 07</t>
  </si>
  <si>
    <t>ARGAMASSA TRAÇO 1:4 (EM VOLUME DE CIMENTO E AREIA GROSSA ÚMIDA) PARA CHAPISCO CONVENCIONAL, PREPARO MECÂNICO COM BETONEIRA 400 L. AF_08/2019</t>
  </si>
  <si>
    <t>PEDREIRO COM ENCARGOS COMPLEMENTARES</t>
  </si>
  <si>
    <t xml:space="preserve">SERVENTE COM ENCARGOS COMPLEMENTARES </t>
  </si>
  <si>
    <t>CONCRETO FCK = 20MPA, TRAÇO 1:2,7:3 (EM MASSA SECA DE CIMENTO/ AREIA MÉDIA/ BRITA 1) - PREPARO MECÂNICO COM BETONEIRA 600 L. AF_05/2021</t>
  </si>
  <si>
    <t>CAIXA ENTERRADA HIDRÁULICA RETANGULAR EM ALVENARIA COM TIJOLOS CERÂMICOS MACIÇOS, DIMENSÕES INTERNAS: 0,6X0,6X0,6 M PARA REDE DE ESGOTO. AF_12/2020</t>
  </si>
  <si>
    <t>CAIXA SIFONADA, COM GRELHA REDONDA, PVC, DN 150 X 150 X 50 MM, JUNTA SOLDÁVEL, FORNECIDA E INSTALADA EM RAMAL DE DESCARGA OU EM RAMAL DE ESGOTO SANITÁRIO. AF_08/2022</t>
  </si>
  <si>
    <t>CURVA LONGA 90 GRAUS, PVC, SERIE NORMAL, ESGOTO PREDIAL, DN 100 MM, JUNTA ELÁSTICA, FORNECIDO E INSTALADO EM RAMAL DE DESCARGA OU RAMAL DE ESGOTO SANITÁRIO. AF_08/2022</t>
  </si>
  <si>
    <t xml:space="preserve">UN </t>
  </si>
  <si>
    <t>JOELHO 45 GRAUS, PVC, SERIE NORMAL, ESGOTO PREDIAL, DN 50 MM, JUNTA ELÁSTICA,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</si>
  <si>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</si>
  <si>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</si>
  <si>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</si>
  <si>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</si>
  <si>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JUNÇÃO SIMPLES, PVC, SERIE NORMAL, ESGOTO PREDIAL, DN 40 MM, JUNTA SOL UNDÁVEL, FORNECIDO E INSTALADO EM RAMAL DE DESCARGA OU RAMAL DE ESGOTO SANITÁRIO. AF_08/2022</t>
  </si>
  <si>
    <t>JUNÇÃO DE REDUÇÃO INVERTIDA, PVC, SÉRIE NORMAL, ESGOTO PREDIAL, DN 100 X 50 MM, JUNTA ELÁSTICA, FORNECIDO E INSTALADO EM RAMAL DE DESCARGA OU RAMAL DE ESGOTO SANITÁRIO. AF_08/2022</t>
  </si>
  <si>
    <t>RALO SIFONADO REDONDO, PVC, DN 100 X 40 MM, JUNTA SOLDÁVEL, FORNECIDOE INSTALADO EM RAMAL DE DESCARGA OU EM RAMAL DE ESGOTO SANITÁRIO. AF_08/2022</t>
  </si>
  <si>
    <t>TUBO PVC, SERIE NORMAL, ESGOTO PREDIAL, DN 100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</si>
  <si>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</si>
  <si>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40 MM, FORNECIDO E INSTALADO EM RAMAL DE DESCARGA OU RAMAL DE ESGOTO SANITÁRIO. AF_08/2022</t>
  </si>
  <si>
    <t>REDE DE ÁGUA PLUVIAL</t>
  </si>
  <si>
    <t>JOELHO 45 GRAUS, PVC, SERIE R, ÁGUA PLUVIAL, DN 100 MM, JUNTA ELÁSTICA, FORNECIDO E INSTALADO EM RAMAL DE ENCAMINHAMENTO. AF_06/2022</t>
  </si>
  <si>
    <t>JOELHO 45 GRAUS, PVC, SERIE R, ÁGUA PLUVIAL, DN 150 MM, JUNTA ELÁSTICA, FORNECIDO E INSTALADO EM RAMAL DE ENCAMINHAMENTO. AF_06/2022</t>
  </si>
  <si>
    <t>CURVA 90 GRAUS, PVC, SERIE R, ÁGUA PLUVIAL, DN 100 MM, JUNTA ELÁSTICA,FORNECIDO E INSTALADO EM CONDUTORES VERTICAIS DE ÁGUAS PLUVIAIS. AF_06/2022</t>
  </si>
  <si>
    <t>TUBO PVC, SÉRIE R, ÁGUA PLUVIAL, DN 75 MM, FORNECIDO E INSTALADO EM CONDUTORES VERTICAIS DE ÁGUAS PLUVIAIS. AF_06/2022</t>
  </si>
  <si>
    <t>TUBO PVC, SÉRIE R, ÁGUA PLUVIAL, DN 100 MM, FORNECIDO E INSTALADO EM CONDUTORES VERTICAIS DE ÁGUAS PLUVIAIS. AF_06/2022</t>
  </si>
  <si>
    <t>TUBO PVC, SÉRIE R, ÁGUA PLUVIAL, DN 150 MM, FORNECIDO E INSTALADO EM CONDUTORES VERTICAIS DE ÁGUAS PLUVIAIS. AF_06/2022</t>
  </si>
  <si>
    <t>JOELHO 90 GRAUS, PVC, SOLDÁVEL, DN 20MM, INSTALADO EM RAMAL OU SUB-RAMAL DE ÁGUA - FORNECIMENTO E INSTALAÇÃO. AF_06/2022</t>
  </si>
  <si>
    <t>JOELHO 90 GRAUS, PVC, SOLDÁVEL, DN 25MM, INSTALADO EM RAMAL OU SUB-RAMAL DE ÁGUA - FORNECIMENTO E INSTALAÇÃO. AF_06/2022</t>
  </si>
  <si>
    <t>JOELHO 90 GRAUS COM BUCHA DE LATÃO, PVC, SOLDÁVEL, DN 25MM, X 3/4 INSTALADO EM RAMAL OU SUB-RAMAL DE ÁGUA - FORNECIMENTO E INSTALAÇÃO. AF_06/2022</t>
  </si>
  <si>
    <t>REDE DE ÁGUA FRIA</t>
  </si>
  <si>
    <t>TE, PVC, SOLDÁVEL, DN 25MM, INSTALADO EM RAMAL OU SUB-RAMAL DE ÁGUA - FORNECIMENTO E INSTALAÇÃO. AF_06/2022</t>
  </si>
  <si>
    <t>BUCHA DE REDUÇÃO, CURTA, PVC, SOLDÁVEL, DN 32 X 25 MM, INSTALADO EM RAMAL OU SUB-RAMAL DE ÁGUA - FORNECIMENTO E INSTALAÇÃO. AF_06/2022</t>
  </si>
  <si>
    <t>TORNEIRA DE BOIA PARA CAIXA D'ÁGUA, ROSCÁVEL, 1/2" - FORNECIMENTO E INSTALAÇÃO. AF_08/2021</t>
  </si>
  <si>
    <t>JOELHO 90 GRAUS, PVC, SOLDÁVEL, DN 40MM, INSTALADO EM PRUMADA DE ÁGUA - FORNECIMENTO E INSTALAÇÃO. AF_06/2022</t>
  </si>
  <si>
    <t>JOELHO 90 GRAUS, PVC, SOLDÁVEL, DN 50MM, INSTALADO EM PRUMADA DE ÁGUA - FORNECIMENTO E INSTALAÇÃO. AF_06/2022</t>
  </si>
  <si>
    <t>TÊ DE REDUÇÃO, PVC, SOLDÁVEL, DN 32MM X 25MM, INSTALADO EM RAMAL OU SUB-RAMAL DE ÁGUA - FORNECIMENTO E INSTALAÇÃO. AF_06/2022</t>
  </si>
  <si>
    <t>BUCHA DE REDUÇÃO, PVC, SOLDÁVEL, DN 40MM X 32MM, INSTALADO EM RAMAL DE DISTRIBUIÇÃO DE ÁGUA - FORNECIMENTO E INSTALAÇÃO. AF_06/2022</t>
  </si>
  <si>
    <t>ADAPTADOR CURTO COM BOLSA E ROSCA PARA REGISTRO, PVC, SOLDÁVEL, DN 20MM X 1/2 , INSTALADO EM RAMAL OU SUB-RAMAL DE ÁGUA - FORNECIMENTO E INSTALAÇÃO. AF_06/2022</t>
  </si>
  <si>
    <t>ADAPTADOR CURTO COM BOLSA E ROSCA PARA REGISTRO, PVC, SOLDÁVEL, DN 40MM X 1.1/4, INSTALADO EM RAMAL DE DISTRIBUIÇÃO DE ÁGUA - FORNECIMENTO E INSTALAÇÃO. AF_06/2022</t>
  </si>
  <si>
    <t>ADAPTADOR CURTO COM BOLSA E ROSCA PARA REGISTRO, PVC, SOLDÁVEL, DN 50MM X 1.1/2, INSTALADO EM RAMAL DE DISTRIBUIÇÃO DE ÁGUA - FORNECIMENTO E INSTALAÇÃO. AF_06/2022</t>
  </si>
  <si>
    <t>REGISTRO DE GAVETA BRUTO, LATÃO, ROSCÁVEL, 1/2", COM ACABAMENTO E CANOPLA CROMADOS - FORNECIMENTO E INSTALAÇÃO. AF_08/2021</t>
  </si>
  <si>
    <t>REGISTRO DE GAVETA BRUTO, LATÃO, ROSCÁVEL, 1 1/4" - FORNECIMENTO E INSTALAÇÃO. AF_08/2021</t>
  </si>
  <si>
    <t>TUBO, PVC, SOLDÁVEL, DN 20MM, INSTALADO EM RAMAL OU SUB-RAMAL DE ÁGUA - FORNECIMENTO E INSTALAÇÃO. AF_06/2022</t>
  </si>
  <si>
    <t>TUBO, PVC, SOLDÁVEL, DN 25MM, INSTALADO EM RAMAL OU SUB-RAMAL DE ÁGUA - FORNECIMENTO E INSTALAÇÃO. AF_06/2022</t>
  </si>
  <si>
    <t>TUBO, PVC, SOLDÁVEL, DN 32MM, INSTALADO EM RAMAL OU SUB-RAMAL DE ÁGUA - FORNECIMENTO E INSTALAÇÃO. AF_06/2022</t>
  </si>
  <si>
    <t>TUBO, PVC, SOLDÁVEL, DN 40MM, INSTALADO EM RAMAL DE DISTRIBUIÇÃO DE ÁGUA - FORNECIMENTO E INSTALAÇÃO. AF_06/2022</t>
  </si>
  <si>
    <t>TUBO, PVC, SOLDÁVEL, DN 50MM, INSTALADO EM RAMAL DE DISTRIBUIÇÃO DE ÁGUA - FORNECIMENTO E INSTALAÇÃO. AF_06/2022</t>
  </si>
  <si>
    <t>TÊ COM BUCHA DE LATÃO NA BOLSA CENTRAL, PVC, SOLDÁVEL, DN 25MM X 3/4 INSTALADO EM RAMAL OU SUB-RAMAL DE ÁGUA - FORNECIMENTO E INSTALAÇÃO. AF_06/2022</t>
  </si>
  <si>
    <t>JUNÇÃO SIMPLES, PVC, SERIE NORMAL, ESGOTO PREDIAL, DN 100 X 100 MM, JUNTA ELÁSTICA, FORNECIDO E INSTALADO EM PRUMADA DE ESGOTO SANITÁRIO OU VENTILAÇÃO. AF_08/2022</t>
  </si>
  <si>
    <t>CURVA LONGA, 90 GRAUS, PVC OCRE, JUNTA ELÁSTICA, DN 150 MM, PARA COLETOR PREDIAL DE ESGOTO. AF_06/2022</t>
  </si>
  <si>
    <t>CAIXA ENTERRADA HIDRÁULICA RETANGULAR EM ALVENARIA COM TIJOLOS CERÂMICOS MACIÇOS, DIMENSÕES INTERNAS: 0,6X0,6X0,6 M PARA REDE DE DRENAGEM. AF_12/2020</t>
  </si>
  <si>
    <t>RESERVATORIO RETANGULAR, EM ALVENARIA COM BLOCOS CONCRETO 14X19X39, DIMENSÕES INTERNAS: 3 X 2.5X 2 M, VOLUME ÚTIL: 15000 L</t>
  </si>
  <si>
    <t>RETROESCAVADEIRA SOBRE RODAS COM CARREGADEIRA, TRAÇÃO 4X4, POTÊNCIA LÍQ. 88 HP, CAÇAMBA CARREG. CAP. MÍN. 1 M3, CAÇAMBA RETRO CAP. 0,26 M3,
 PESO OPERACIONAL MÍN. 6.674 KG, PROFUNDIDADE ESCAVAÇÃO MÁX. 4,37 M - C
 HP DIURNO. AF_06/2014</t>
  </si>
  <si>
    <t>RETROESCAVADEIRA SOBRE RODAS COM CARREGADEIRA, TRAÇÃO 4X4, POTÊNCIA LÍQ. 88 HP, CAÇAMBA CARREG. CAP. MÍN. 1 M3, CAÇAMBA RETRO CAP. 0,26 M3,
 PESO OPERACIONAL MÍN. 6.674 KG, PROFUNDIDADE ESCAVAÇÃO MÁX. 4,37 M - C
 HI DIURNO. AF_06/2014</t>
  </si>
  <si>
    <t>CONCRETO MAGRO PARA LASTRO, TRAÇO 1:4,5:4,5 (EM MASSA SECA DE CIMENTO/AREIA MÉDIA/ BRITA 1) - PREPARO MANUAL. AF_05/2021</t>
  </si>
  <si>
    <t>ARMAÇÃO DE PILAR OU VIGA DE ESTRUTURA CONVENCIONAL DE CONCRETO ARMADOUTILIZANDO AÇO CA-50 DE 12,5 MM - MONTAGEM. AF_06/2022</t>
  </si>
  <si>
    <t>ARMAÇÃO DE LAJE DE ESTRUTURA CONVENCIONAL DE CONCRETO ARMADO UTILIZANDO AÇO CA-50 DE 6,3 MM - MONTAGEM. AF_06/2022</t>
  </si>
  <si>
    <t>ARMAÇÃO DE LAJE DE ESTRUTURA CONVENCIONAL DE CONCRETO ARMADO UTILIZANDO AÇO CA-60 DE 5,0 MM - MONTAGEM. AF_06/2022</t>
  </si>
  <si>
    <t>CONCRETO FCK = 20MPA, TRAÇO 1:2,7:3 (EM MASSA SECA DE CIMENTO/ AREIA MÉDIA/ BRITA 1) - PREPARO MECÂNICO COM BETONEIRA 400 L. AF_05/2021</t>
  </si>
  <si>
    <t>CONCRETO FCK = 30MPA, TRAÇO 1:1,9:2,3 (EM MASSA SECA DE CIMENTO/ AREIA MÉDIA/ SEIXO ROLADO) - PREPARO MECÂNICO COM BETONEIRA 400 L. AF_05/2021</t>
  </si>
  <si>
    <t>FABRICAÇÃO DE FÔRMA PARA LAJES, EM CHAPA DE MADEIRA COMPENSADA PLASTIFICADA, E = 18 MM. AF_09/2020</t>
  </si>
  <si>
    <t>FABRICAÇÃO DE FÔRMA PARA PILARES E ESTRUTURAS SIMILARES, EM MADEIRA SERRADA, E=25 MM. AF_09/2020</t>
  </si>
  <si>
    <t>DESMOLDANTE PROTETOR PARA FORMAS DE MADEIRA, DE BASE OLEOSA EMULSIONADA EM AGUA</t>
  </si>
  <si>
    <t>PONTALETE *7,5 X 7,5* CM EM PINUS, MISTA OU EQUIVALENTE DA REGIAO - BRUTA</t>
  </si>
  <si>
    <t>SARRAFO *2,5 X 7,5* CM EM PINUS, MISTA OU EQUIVALENTE DA REGIAO - BRUTA</t>
  </si>
  <si>
    <t>PREGO DE ACO POLIDO COM CABECA 17 X 27 (2 1/2 X 11)</t>
  </si>
  <si>
    <t>BLOCO DE VEDACAO DE CONCRETO 14 X 19 X 39 CM (CLASSE C - NBR 6136)</t>
  </si>
  <si>
    <t>REGISTRO DE ESFERA, PVC, SOLDÁVEL, COM VOLANTE, DN 25 MM - FORNECIMENTO E INSTALAÇÃO. AF_08/2021</t>
  </si>
  <si>
    <t>REGISTRO DE ESFERA, PVC, SOLDÁVEL, COM VOLANTE, DN 40 MM - FORNECIMENTO E INSTALAÇÃO. AF_08/2021</t>
  </si>
  <si>
    <t>TORNEIRA DE BOIA PARA CAIXA D'ÁGUA, ROSCÁVEL, 3/4" - FORNECIMENTO E INSTALAÇÃO. AF_08/2021</t>
  </si>
  <si>
    <t>FURO EM CAIXA D'ÁGUA COM ESPESSURA DE 2 ATÉ 5 MM E DIÂMETRO DE 25 MM. AF_06/2021</t>
  </si>
  <si>
    <t>FURO EM CAIXA D'ÁGUA COM ESPESSURA DE 2 ATÉ 5 MM E DIÂMETRO DE 40 MM. AF_06/2021</t>
  </si>
  <si>
    <t>CAIXA D'AGUA EM POLIETILENO 1500 LITROS, COM TAMPA</t>
  </si>
  <si>
    <t>CAIXA D´ÁGUA EM POLIETILENO, 1500 LITROS (INCLUSOS TUBOS, CONEXÕES E TORNEIRA DE BÓIA) - FORNECIMENTO E INSTALAÇÃO.</t>
  </si>
  <si>
    <t>JOELHO 90 GRAUS, PVC, SERIE NORMAL, ESGOTO PREDIAL, DN 50 MM, JUNTA ELÁSTICA, FORNECIDO E INSTALADO EM PRUMADA DE ESGOTO SANITÁRIO OU VENTILAÇÃO. AF_08/2022</t>
  </si>
  <si>
    <t>TERMINAL DE VENTILAÇÃO, PVC, SÉRIE NORMAL, ESGOTO PREDIAL, DN 50 MM, JUNTA SOLDÁVEL, FORNECIDO E INSTALADO EM PRUMADA DE ESGOTO SANITÁRIO OU VENTILAÇÃO. AF_08/2022</t>
  </si>
  <si>
    <t>CAIXA DE GORDURA SIMPLES RETANGULAR EM ALVENARIA COM TIJOLOS CERÂMICOS MACIÇOS, DIMENSÕES INTERNAS: 0,4X0,4X0,4 M PARA REDE DE ESGOTO. AF_12/2020</t>
  </si>
  <si>
    <t>ARGAMASSA TRAÇO 1:3 (EM VOLUME DE CIMENTO E AREIA MÉDIA ÚMIDA) COM ADIÇÃO DE IMPERMEABILIZANTE, PREPARO MECÂNICO COM BETONEIRA 400 L. AF_08/2019</t>
  </si>
  <si>
    <t>TABUA  NAO  APARELHADA  *2,5 X 20* CM, EM MACARANDUBA, ANGELIM OU EQUIVALENTE DA REGIAO - BRUTA</t>
  </si>
  <si>
    <t>TIJOLO CERAMICO MACICO COMUM *5 X 10 X 20* CM (L X A X C)</t>
  </si>
  <si>
    <t>6.2</t>
  </si>
  <si>
    <t>6.3</t>
  </si>
  <si>
    <t>EXECUÇÃO DE PASSEIO EM PISO INTERTRAVADO, COM BLOCO RETANGULAR COR NATURAL DE 20 X 10 CM, ESPESSURA 6 CM. AF_10/2022</t>
  </si>
  <si>
    <t>CHAPISCO APLICADO EM ALVENARIAS E ESTRUTURAS DE CONCRETO INTERNAS, COM COLHER DE PEDREIRO. ARGAMASSA TRAÇO 1:3 COM PREPARO MANUAL. AF_10/2022</t>
  </si>
  <si>
    <t>SEM ADM LOCAL</t>
  </si>
  <si>
    <t>Peso (%)</t>
  </si>
  <si>
    <t>,</t>
  </si>
  <si>
    <t>CAIXA ENTERRADA HIDRÁULICA RETANGULAR EM ALVENARIA COM TIJOLOS CERÂMICOS MACIÇOS, DIMENSÕES INTERNAS: 0,3X0,3X0,3 M PARA REDE DE DRENAGEM. AF_12/2020</t>
  </si>
  <si>
    <t>10.5</t>
  </si>
  <si>
    <t>REDE DE AR CONDICIONADO</t>
  </si>
  <si>
    <t>TUBO, PVC, SOLDÁVEL, DN 32 MM, INSTALADO EM DRENO DE AR CONDICIONADO - FORNECIMENTO E INSTALAÇÃO. AF_08/2022</t>
  </si>
  <si>
    <t>TUBO, PVC, SOLDÁVEL, DN 25MM, INSTALADO EM DRENO DE AR-CONDICIONADO - FORNECIMENTO E INSTALAÇÃO. AF_08/2022</t>
  </si>
  <si>
    <t>TE, PVC, SOLDÁVEL, DN 25MM, INSTALADO EM DRENO DE AR-CONDICIONADO - FORNECIMENTO E INSTALAÇÃO. AF_08/2022</t>
  </si>
  <si>
    <t>TE, PVC, SOLDÁVEL, DN 32 MM, INSTALADO EM DRENO DE AR CONDICIONADO - FORNECIMENTO E INSTALAÇÃO. AF_08/2022</t>
  </si>
  <si>
    <t>JOELHO 45 GRAUS, PVC, SOLDÁVEL, DN 25MM, INSTALADO EM DRENO DE AR-CONDICIONADO - FORNECIMENTO E INSTALAÇÃO. AF_08/2022</t>
  </si>
  <si>
    <t>JOELHO 90 GRAUS, PVC, SOLDÁVEL, DN 25MM, INSTALADO EM DRENO DE AR-CONDICIONADO - FORNECIMENTO E INSTALAÇÃO. AF_08/2022</t>
  </si>
  <si>
    <t>LUVA DE REDUÇÃO, PVC, SOLDÁVEL, DN 32MM X 25MM, INSTALADO EM PRUMADA DE ÁGUA - FORNECIMENTO E INSTALAÇÃO. AF_06/2022</t>
  </si>
  <si>
    <t>SINAPI - I</t>
  </si>
  <si>
    <t xml:space="preserve"> 2.2</t>
  </si>
  <si>
    <t>QUANTIDADE DE ACORDO COM O PROJETO ARQUITETÔNICO</t>
  </si>
  <si>
    <t>PORTA 1</t>
  </si>
  <si>
    <t>PORTA 2</t>
  </si>
  <si>
    <t>PORTA 3</t>
  </si>
  <si>
    <t>Área</t>
  </si>
  <si>
    <t>Faces</t>
  </si>
  <si>
    <t>11.2</t>
  </si>
  <si>
    <t>QUANTIDADE DE ACORDO COM O PROJETO ELÉTRICO</t>
  </si>
  <si>
    <t>QUANTIDADE DE ACORDO COM O PROJETO ELÉTRICO -  VERMELHO</t>
  </si>
  <si>
    <t>QUANTIDADE DE ACORDO COM O PROJETO HIDROSANITÁRIO</t>
  </si>
  <si>
    <t xml:space="preserve">QUANTIDADE DE ACORDO COM O PROJETO ESTRUTURAL </t>
  </si>
  <si>
    <t>QUANTIDADE DE ACORDO COM O PROJETO ARQUITETÔNICO - JANELA 02</t>
  </si>
  <si>
    <t>QUANTIDADE DE ACORDO COM O PROJETO ARQUITETÔNICO - JANELA 01</t>
  </si>
  <si>
    <t>JANELA 03</t>
  </si>
  <si>
    <t>JANELA 04</t>
  </si>
  <si>
    <t>JANELA 05</t>
  </si>
  <si>
    <t xml:space="preserve">MARQUISE </t>
  </si>
  <si>
    <t>Seção</t>
  </si>
  <si>
    <t xml:space="preserve">Peso exp. Aço Astm A 572 </t>
  </si>
  <si>
    <t>Quantidade</t>
  </si>
  <si>
    <t>W250X38.5</t>
  </si>
  <si>
    <t>L - 1.1/2''</t>
  </si>
  <si>
    <t>1 1/4"</t>
  </si>
  <si>
    <t>COBERTA ÁREA DE CONVIVÊNCIA</t>
  </si>
  <si>
    <t xml:space="preserve">PISO PODOTÁTIL DE ALERTA OU DIRECIONAL, DE BORRACHA, ASSENTADO SOBRE ARGAMASSA. AF_05/2020 </t>
  </si>
  <si>
    <t>TUBO, PVC, SOLDÁVEL, DN 60MM, INSTALADO EM PRUMADA DE ÁGUA - FORNECIMENTO E INSTALAÇÃO. AF_06/2022</t>
  </si>
  <si>
    <t>BUCHA DE REDUÇÃO, CURTA, PVC, SOLDÁVEL, DN 50 X 40 MM, INSTALADO EM RAMAL DE DISTRIBUIÇÃO DE ÁGUA - FORNECIMENTO E INSTALAÇÃO. AF_06/2022</t>
  </si>
  <si>
    <t>BUCHA DE REDUÇÃO, LONGA, PVC, SOLDÁVEL, DN 60 X 50 MM, INSTALADO EM PRUMADA DE ÁGUA - FORNECIMENTO E INSTALAÇÃO. AF_06/2022</t>
  </si>
  <si>
    <t>JOELHO 90 GRAUS, PVC, SOLDÁVEL, DN 60MM, INSTALADO EM PRUMADA DE ÁGUA - FORNECIMENTO E INSTALAÇÃO. AF_06/2022</t>
  </si>
  <si>
    <t>JOELHO 45 GRAUS, PVC, SOLDÁVEL, DN 32 MM, INSTALADO EM DRENO DE AR CONDICIONADO - FORNECIMENTO E INSTALAÇÃO. AF_08/2022</t>
  </si>
  <si>
    <t>JOELHO 90 GRAUS, PVC, SERIE R, ÁGUA PLUVIAL, DN 100 MM, JUNTA ELÁSTICA, FORNECIDO E INSTALADO EM CONDUTORES VERTICAIS DE ÁGUAS PLUVIAIS. AF_06/2022</t>
  </si>
  <si>
    <t>REGISTRO DE GAVETA BRUTO, LATÃO, ROSCÁVEL, 1 1/2" - FORNECIMENTO E INSTALAÇÃO. AF_08/2021</t>
  </si>
  <si>
    <t>TÊ DE REDUÇÃO, PVC, SOLDÁVEL, DN 50MM X 25MM, INSTALADO EM RAMAL DE DISTRIBUIÇÃO DE ÁGUA - FORNECIMENTO E INSTALAÇÃO. AF_06/2022</t>
  </si>
  <si>
    <t xml:space="preserve">TE 90° REDUÇÃO PVC RIGIDO SOLDAVEL, MARROM, D = 40 X 25 MM </t>
  </si>
  <si>
    <t>COMPOSIÇÃO 08</t>
  </si>
  <si>
    <t xml:space="preserve">PORTA LATERAL ( 2 FOLHAS) </t>
  </si>
  <si>
    <t xml:space="preserve">PORTA DOS RESÍDUOS (2 FOLHAS) </t>
  </si>
  <si>
    <t>PORTA DOS RESÍDUOS</t>
  </si>
  <si>
    <t>com</t>
  </si>
  <si>
    <t>JOELHO 90 GRAUS, PVC, SOLDÁVEL, DN 32MM, INSTALADO EM RAMAL OU SUB-RAMAL DE ÁGUA - FORNECIMENTO E INSTALAÇÃO. AF_06/2022</t>
  </si>
  <si>
    <t>BUCHA DE REDUÇÃO, LONGA, PVC, SOLDÁVEL, DN 40 X 25 MM, INSTALADO EM RAMAL DE DISTRIBUIÇÃO DE ÁGUA - FORNECIMENTO E INSTALAÇÃO. AF_06/2022</t>
  </si>
  <si>
    <t>TE, PVC, SOLDÁVEL, DN 40MM, INSTALADO EM RAMAL DE DISTRIBUIÇÃO DE ÁGUA - FORNECIMENTO E INSTALAÇÃO. AF_06/2022</t>
  </si>
  <si>
    <t>TÊ DE REDUÇÃO, 90° PVC RIGIFO SOLDÁVEL, D = 40 X 25 MM</t>
  </si>
  <si>
    <t>LUVA, PVC, ROSCÁVEL, 1/2", PARA LIGAÇÃO PREDIAL DE ÁGUA. AF_06/2022</t>
  </si>
  <si>
    <t>LUVA SOLDÁVEL E COM ROSCA, PVC, SOLDÁVEL, DN 25MM X 3/4 , INSTALADO EM RAMAL OU SUB-RAMAL DE ÁGUA - FORNECIMENTO E INSTALAÇÃO. AF_06/2022</t>
  </si>
  <si>
    <t>TÊ DE REDUÇÃO, 90° PVC RIGIDO SOLDÁVEL, D = 40 X 25 MM</t>
  </si>
  <si>
    <t xml:space="preserve">QUANTIDADE DE ACORDO COM O PROJETO HIDROSANITÁRIO </t>
  </si>
  <si>
    <t>BUCHA DE REDUÇÃO LONGA, PVC, SÉRIE NORMAL, ESGOTO PREDIAL, DN 50 X 40 MM, JUNTA SOLDÁVEL E ELÁSTICA, FORNECIDO E INSTALADO EM RAMAL DE DESCARGA OU RAMAL DE ESGOTO SANITÁRIO. AF_08/2022</t>
  </si>
  <si>
    <t>TUBO PVC, SERIE NORMAL, ESGOTO PREDIAL, DN 50 MM, FORNECIDO E INSTALADO EM PRUMADA DE ESGOTO SANITÁRIO OU VENTILAÇÃO. AF_08/2022</t>
  </si>
  <si>
    <t>TUBO PVC, SERIE NORMAL, ESGOTO PREDIAL, DN 75 MM, FORNECIDO E INSTALADO EM RAMAL DE DESCARGA OU RAMAL DE ESGOTO SANITÁRIO. AF_08/2022</t>
  </si>
  <si>
    <t>BUCHA DE REDUÇÃO, CURTA, PVC, SOLDÁVEL, DN 32 X 25 MM, INSTALADO EM PRUMADA DE ÁGUA - FORNECIMENTO E INSTALAÇÃO. AF_06/2022</t>
  </si>
  <si>
    <t>ÁREA CONSTRUÍDA - QUANTIDADE DE ACORDO COM PROJETO ARQUITÔNICO</t>
  </si>
  <si>
    <t>CHOR - CUSTOS HORÁRIOS DE MÁQUINAS E EQUIPAMENTOS</t>
  </si>
  <si>
    <t xml:space="preserve">CHP </t>
  </si>
  <si>
    <t>COMPOSIÇÃO 09</t>
  </si>
  <si>
    <t>5.2</t>
  </si>
  <si>
    <t>5.3</t>
  </si>
  <si>
    <t>ALVENARIA - VEDAÇÃO E MURIO EXTERNO</t>
  </si>
  <si>
    <t>5.4</t>
  </si>
  <si>
    <t>5.5</t>
  </si>
  <si>
    <t>5.6</t>
  </si>
  <si>
    <t>5.7</t>
  </si>
  <si>
    <t>5.8</t>
  </si>
  <si>
    <t>CONCRETAGEM DE PILARES, FCK = 25 MPA, COM USO DE BOMBA - LANÇAMENTO, ADENSAMENTO E ACABAMENTO. AF_02/2022_PS</t>
  </si>
  <si>
    <t>Quant. de pilares</t>
  </si>
  <si>
    <t>QUANTIDADE DE ACORDO COM O PROJETO ESTRUTURAL</t>
  </si>
  <si>
    <t>5.9</t>
  </si>
  <si>
    <t>EMBOÇO OU MASSA ÚNICA EM ARGAMASSA TRAÇO 1:2:8, PREPARO MANUAL, APLICADA MANUALMENTE EM PANOS CEGOS DE FACHADA (SEM PRESENÇA DE VÃOS), ESPESSURA DE 25 MM. AF_09/2022</t>
  </si>
  <si>
    <t>PINTURA LÁTEX ACRÍLICA PREMIUM, APLICAÇÃO MANUAL EM PAREDES, DUAS DEMÃOS. AF_04/2023</t>
  </si>
  <si>
    <t xml:space="preserve">TEXTURA ACRÍLICA, APLICAÇÃO MANUAL EM PAREDE, UMA DEMÃO. AF_04/2023 </t>
  </si>
  <si>
    <t>EMASSAMENTO COM MASSA LÁTEX, APLICAÇÃO EM TETO, DUAS DEMÃOS, LIXAMENTO MANUAL. AF_04/2023</t>
  </si>
  <si>
    <t>PINTURA LÁTEX ACRÍLICA PREMIUM, APLICAÇÃO MANUAL EM TETO, DUAS DEMÃOS. AF_04/2023</t>
  </si>
  <si>
    <t>TOMADA BAIXA DE EMBUTIR (1 MÓDULO), 2P+T 10 A, INCLUINDO SUPORTE E PLACA - FORNECIMENTO E INSTALAÇÃO. AF_03/2023</t>
  </si>
  <si>
    <t>TOMADA BAIXA DE EMBUTIR (2 MÓDULOS), 2P+T 20 A, INCLUINDO SUPORTE E PLACA - FORNECIMENTO E INSTALAÇÃO. AF_03/2023</t>
  </si>
  <si>
    <t>TOMADA MÉDIA DE EMBUTIR (1 MÓDULO), 2P+T 10 A, INCLUINDO SUPORTE E PLACA - FORNECIMENTO E INSTALAÇÃO. AF_03/2023</t>
  </si>
  <si>
    <t>TOMADA MÉDIA DE EMBUTIR (2 MÓDULOS), 2P+T 10 A, INCLUINDO SUPORTE E PLACA - FORNECIMENTO E INSTALAÇÃO. AF_03/2023</t>
  </si>
  <si>
    <t>INTERRUPTOR SIMPLES (1 MÓDULO), 10A/250V, INCLUINDO SUPORTE E PLACA - FORNECIMENTO E INSTALAÇÃO. AF_03/2023</t>
  </si>
  <si>
    <t>INTERRUPTOR SIMPLES (1 MÓDULO) COM 1 TOMADA DE EMBUTIR 2P+T 10 A, INCLUINDO SUPORTE E PLACA - FORNECIMENTO E INSTALAÇÃO. AF_03/2023</t>
  </si>
  <si>
    <t>INTERRUPTOR SIMPLES (1 MÓDULO) COM 2 TOMADAS DE EMBUTIR 2P+T 10 A, INCLUINDO SUPORTE E PLACA - FORNECIMENTO E INSTALAÇÃO. AF_03/2023</t>
  </si>
  <si>
    <t>ELETRODUTO FLEXÍVEL CORRUGADO, PVC, DN 25 MM (3/4"), PARA CIRCUITOS TERMINAIS, INSTALADO EM PAREDE - FORNECIMENTO E INSTALAÇÃO. AF_03/2023</t>
  </si>
  <si>
    <t>ELETRODUTO FLEXÍVEL CORRUGADO, PVC, DN 32 MM (1"), PARA CIRCUITOS TERMINAIS, INSTALADO EM PAREDE - FORNECIMENTO E INSTALAÇÃO. AF_03/2023</t>
  </si>
  <si>
    <t>CABO DE COBRE FLEXÍVEL ISOLADO, 2,5 MM², ANTI-CHAMA 450/750 V, PARA CIRCUITOS TERMINAIS - FORNECIMENTO E INSTALAÇÃO. AF_03/2023</t>
  </si>
  <si>
    <t>CABO DE COBRE FLEXÍVEL ISOLADO, 16 MM², ANTI-CHAMA 0,6/1,0 KV, PARA CIRCUITOS TERMINAIS - FORNECIMENTO E INSTALAÇÃO. AF_03/2023</t>
  </si>
  <si>
    <t>CAIXA OCTOGONAL 4" X 4", PVC, INSTALADA EM LAJE - FORNECIMENTO E INSTALAÇÃO. AF_03/2023</t>
  </si>
  <si>
    <t>CAIXA RETANGULAR 4" X 2" MÉDIA (1,30 M DO PISO), PVC, INSTALADA EM PAREDE - FORNECIMENTO E INSTALAÇÃO. AF_03/2023</t>
  </si>
  <si>
    <t>11.3</t>
  </si>
  <si>
    <t xml:space="preserve">ADESIVO PVC EM FRASCO DE 850 GRAMAS </t>
  </si>
  <si>
    <t xml:space="preserve">LOTEAMENTO GULANDIM S/N, MALVINAS,  DISTRITO DE PONTA DE PEDRAS, MUNICIPIO DE GOIANA - PE. </t>
  </si>
  <si>
    <t>EXECUÇÃO DE PASSEIO (CALÇADA) OU PISO DE CONCRETO COM CONCRETO MOLDADO IN LOCO, USINADO, ACABAMENTO CONVENCIONAL, ESPESSURA 8 CM, ARMADO. AF_08/2022</t>
  </si>
  <si>
    <t>LUMINÁRIA 2 PÉTALAS EM POSTE DE CONCRETO CIRCULAR H=12M, ALTURA LIVRE 10,20M, LÂMPADA VAPOR METÁLICO DE 400W, INCLUSIVE O POSTE</t>
  </si>
  <si>
    <t>CJ</t>
  </si>
  <si>
    <t>ARMAÇÃO DE LAJE DE ESTRUTURA CONVENCIONAL DE CONCRETO ARMADO UTILIZANDO AÇO CA-60 DE 4,2 MM - MONTAGEM. AF_06/2022</t>
  </si>
  <si>
    <t>UM</t>
  </si>
  <si>
    <t>1.2</t>
  </si>
  <si>
    <t>SECRETARIA DE SAÚDE</t>
  </si>
  <si>
    <t>FEVEREIRO DE 2026</t>
  </si>
  <si>
    <t>SECRETARIA DE OBRAS</t>
  </si>
  <si>
    <t>3.5</t>
  </si>
  <si>
    <t>3.6</t>
  </si>
  <si>
    <t>3.7</t>
  </si>
  <si>
    <t>3.8</t>
  </si>
  <si>
    <t>3.9</t>
  </si>
  <si>
    <t>lembrar de adicionar emboço para corrigir as imperfeiççoes</t>
  </si>
  <si>
    <t>pintrua do muro</t>
  </si>
  <si>
    <t>ar condicionado</t>
  </si>
  <si>
    <t>ÁREA EXTERNA (MURO) FECHAMENTO DA LATERAL ESQUERDA</t>
  </si>
  <si>
    <t>EMBASAMENTO</t>
  </si>
  <si>
    <t>PLATIBANDA A SER FEITA NO NÍVEL DA CAIXA DÁGUA</t>
  </si>
  <si>
    <t>INSTALAÇÃO PROVISÓRIA DE A´GUA E ESGOTO</t>
  </si>
  <si>
    <t>ALVENARIA - VEDAÇÃO E MURO EXTERNO</t>
  </si>
  <si>
    <t>PARA 4 PILARES</t>
  </si>
  <si>
    <t>CONCRETAGEM DE BLOCO DE COROAMENTO OU VIGA BALDRAME, FCK 30 MPA, COM USO DE JERICA - LANÇAMENTO, ADENSAMENTO E ACABAMENTO. AF_01/2024</t>
  </si>
  <si>
    <t>ARMAÇÃO DE PILAR OU VIGA DE ESTRUTURA DE CONCRETO ARMADO EMBUTIDA EM ALVENARIA DE VEDAÇÃO UTILIZANDO AÇO CA-50 DE 8,0 MM - MONTAGEM. AF_06/2022</t>
  </si>
  <si>
    <t>QUANTIDADE DE ACORDO COM O PROJETO ARQUITETÔNICO - QUANTITATIVO ESTIMADO PARA SUBSTITUIÇÃO POR PERCA OU DREGADAÇÃO DO TEMPO</t>
  </si>
  <si>
    <t>TELHAMENTO COM TELHA METÁLICA TERMOACÚSTICA E = 30 MM, COM ATÉ 2 ÁGUAS, INCLUSO IÇAMENTO. AF_07/2019</t>
  </si>
  <si>
    <t>QUANTIDADE DE ACORDO COM O PROJETO ARQUITETÔNICO - ÁREA DE CONVIVÊNCIA</t>
  </si>
  <si>
    <t>QUANTIDADE DE ACORDO COM O PROJETO ARQUITETÔNICO - MARQUISE FRONTAL</t>
  </si>
  <si>
    <t>chapim em cima DA PLATIBANDA E DO MURO</t>
  </si>
  <si>
    <t>GRADE?</t>
  </si>
  <si>
    <t>PORTA DE FERRO, DE ABRIR, TIPO GRADE COM CHAPA, COM GUARNIÇÕES. AF_10/2025</t>
  </si>
  <si>
    <t>PORTÃO DA LATERAL ESQUERDA E DA LATERAL DIREITA</t>
  </si>
  <si>
    <t>CALHA EM CHAPA DE AÇO GALVANIZADO NÚMERO 24, DESENVOLVIMENTO DE 100 CM, INCLUSO TRANSPORTE VERTICAL. AF_07/2019</t>
  </si>
  <si>
    <t>CALHA MEIO</t>
  </si>
  <si>
    <t>CALHA ACESSO CAIXA DÁGUA</t>
  </si>
  <si>
    <t>CALHA LATERAL ESQUERDA</t>
  </si>
  <si>
    <t>CALHA LATERAL DIREITA</t>
  </si>
  <si>
    <t>RUFO DO LIXEIRO</t>
  </si>
  <si>
    <t>RUFO DO MESANINO FRONTAL</t>
  </si>
  <si>
    <t>RUFO DO MESANINO LATERAL</t>
  </si>
  <si>
    <t>PINTURA?</t>
  </si>
  <si>
    <t>AREA 1</t>
  </si>
  <si>
    <t>AREA 2</t>
  </si>
  <si>
    <t>FABRICAÇÃO E INSTALAÇÃO DE PONTALETES DE MADEIRA NÃO APARELHADA PARA TELHADOS COM ATÉ 2 ÁGUAS E COM TELHA ONDULADA DE FIBROCIMENTO, ALUMÍNIO OU PLÁSTICA EM EDIFÍCIO INSTITUCIONAL TÉRREO, INCLUSO TRANSPORTE VERTICAL. AF_10/2025</t>
  </si>
  <si>
    <t>REMOÇÃO DE TRAMA DE MADEIRA PARA COBERTURA, DE FORMA MANUAL, SEM REAPROVEITAMENTO. AF_09/2023</t>
  </si>
  <si>
    <t>QUANTIDADE DE ACORDO COM O PROJETO ARQUITETÔNICO - REMOÇÃO DE TRAMA PARA ACESSO E POSSÍVEL SUBSTITUIÇÃO DAS TRAMAS E TELHAS</t>
  </si>
  <si>
    <t>QUANTIDADE DE ACORDO COM O PROJETO ARQUITETÔNICO -PLATIBANDA E MURO EXTERNO</t>
  </si>
  <si>
    <t>PLATIBANDA</t>
  </si>
  <si>
    <t>MURO</t>
  </si>
  <si>
    <t>Administração</t>
  </si>
  <si>
    <t>Almoxarifado</t>
  </si>
  <si>
    <t>Área de convivência</t>
  </si>
  <si>
    <t>Banheiro dos funcionários</t>
  </si>
  <si>
    <t>Banheiro PDC</t>
  </si>
  <si>
    <t>Circulação 1</t>
  </si>
  <si>
    <t>Circulação 2</t>
  </si>
  <si>
    <t>Consultório de enfermagem</t>
  </si>
  <si>
    <t>Consultório médico</t>
  </si>
  <si>
    <t>Consultório odontológico</t>
  </si>
  <si>
    <t>Copa</t>
  </si>
  <si>
    <t>Depósitos de lixo</t>
  </si>
  <si>
    <t>Esterilização</t>
  </si>
  <si>
    <t>Estocagem de medicamentos</t>
  </si>
  <si>
    <t>Expurgo</t>
  </si>
  <si>
    <t>Recepção</t>
  </si>
  <si>
    <t>Sala de atividades coletivas</t>
  </si>
  <si>
    <t>Sala de curativos</t>
  </si>
  <si>
    <t>Sala de inalação coletiva</t>
  </si>
  <si>
    <t>Sala de observação/ procedimento/ coleta</t>
  </si>
  <si>
    <t>Sala de reunião</t>
  </si>
  <si>
    <t>Sala de vacinas</t>
  </si>
  <si>
    <t>Sanitário PDC 1</t>
  </si>
  <si>
    <t>Sanitário PDC 2</t>
  </si>
  <si>
    <t>Sanitário PDC 3</t>
  </si>
  <si>
    <t>Sanitário PDC 4</t>
  </si>
  <si>
    <t>Triagem</t>
  </si>
  <si>
    <t>REVESTIMENTO CERÂMICO PARA PISO COM PLACAS TIPO PORCELANATO DE DIMENSÕES 60X60 CM APLICADA EM AMBIENTES DE ÁREA MENOR QUE 5 M². AF_02/2023_PE</t>
  </si>
  <si>
    <t>REVESTIMENTO CERÂMICO PARA PISO COM PLACAS TIPO PORCELANATO DE DIMENSÕES 60X60 CM APLICADA EM AMBIENTES DE ÁREA ENTRE 5 M² E 10 M². AF_02/2023_PE</t>
  </si>
  <si>
    <t>REVESTIMENTO CERÂMICO PARA PISO COM PLACAS TIPO PORCELANATO DE DIMENSÕES 60X60 CM APLICADA EM AMBIENTES DE ÁREA MAIOR QUE 10 M². AF_02/2023_PE</t>
  </si>
  <si>
    <t>LADO EXTERNO DO MURO DA DIREITA</t>
  </si>
  <si>
    <t>FUNDO DO MURO DOS FUNDOS</t>
  </si>
  <si>
    <t>LADOS</t>
  </si>
  <si>
    <t>NOVA ALVENARIA</t>
  </si>
  <si>
    <t>ESTIMATIVA POR DEGRADAÇÃO E CAPIAÇOS</t>
  </si>
  <si>
    <t>ÁREA</t>
  </si>
  <si>
    <t>PERIMETRO</t>
  </si>
  <si>
    <t>MEIA PAREDE</t>
  </si>
  <si>
    <t>PAREDE INTEIRA</t>
  </si>
  <si>
    <t>C3002</t>
  </si>
  <si>
    <t>PORCELANATO RETIFICADO POLIDO C/ ARG. PRÉ-FABRICADA - P/ PISO</t>
  </si>
  <si>
    <t>FUNDO SELADOR ACRÍLICO, APLICAÇÃO MANUAL EM PAREDE, UMA DEMÃO. AF_04/2023</t>
  </si>
  <si>
    <t>QUANTIDADE DE ACORDO COM O PROJETO ARQUITETÔNICO - CONSIDERANDO ÁREA IGUAL A PINTURA</t>
  </si>
  <si>
    <t>P10</t>
  </si>
  <si>
    <t>ARMAÇÃO SAPATA DO MURO</t>
  </si>
  <si>
    <t>TAPUME?</t>
  </si>
  <si>
    <t>INSTALAÇÕES ELÉTRICAS  E DE LÓGICA</t>
  </si>
  <si>
    <t>INSTALAÇÕES ELÉTRICAS E DE LÓGICA</t>
  </si>
  <si>
    <t>FERRAGEM SAPATA DO MURO</t>
  </si>
  <si>
    <t>FERRAGENS CASINHAS</t>
  </si>
  <si>
    <t>DIVISÓRIA FIXA EM VIDRO TEMPERADO 10 MM, SEM ABERTURA. AF_10/2025_PS</t>
  </si>
  <si>
    <t>PAINEL FRONTAL</t>
  </si>
  <si>
    <t>PAINEL INTERNO</t>
  </si>
  <si>
    <t>PAINEL DE ATENDIMENTO</t>
  </si>
  <si>
    <t>DESCONTO DE PORTA FRONTAL</t>
  </si>
  <si>
    <t>DESCONTO DE PORTA INTERNA</t>
  </si>
  <si>
    <t>TOMADAS MEDIAS SIMPLES</t>
  </si>
  <si>
    <t>TOMADAS MEDIAS DUPLAS</t>
  </si>
  <si>
    <t>TOMADAS COM INTERRUPTOR</t>
  </si>
  <si>
    <t>INTERRUPTOR SIMPLES</t>
  </si>
  <si>
    <t>TOMADA DE LÓGICA MÉDIA</t>
  </si>
  <si>
    <t>ENTRADA DE ENERGIA ELÉTRICA, AÉREA, TRIFÁSICA, COM CAIXA DE EMBUTIR, CABO DE 25 MM2 E DISJUNTOR DIN 50A (NÃO INCLUSO O POSTE DE CONCRETO). AF_12/2025</t>
  </si>
  <si>
    <t>ORSE</t>
  </si>
  <si>
    <t>QUADRO DE DISTRIBUIÇÃO DE EMBUTIR, EM CHAPA DE AÇO, PARA ATÉ 48 DISJUNTORES, COM BARRAMENTO, PADRÃO DIN, EXCLUSIVE DISJUNTORES</t>
  </si>
  <si>
    <t>DE ACORDO COM O PROJETO ELÉTRICO</t>
  </si>
  <si>
    <t xml:space="preserve"> 92984 </t>
  </si>
  <si>
    <t>CABO DE COBRE FLEXÍVEL ISOLADO, 25 MM², ANTI-CHAMA 0,6/1,0 KV, PARA REDE ENTERRADA DE DISTRIBUIÇÃO DE ENERGIA ELÉTRICA - FORNECIMENTO E INSTALAÇÃO. AF_12/2021</t>
  </si>
  <si>
    <t>DE ACORDO COM RELATÓRIO DE MATERIAL ELÉTRICO</t>
  </si>
  <si>
    <t xml:space="preserve"> 91941 </t>
  </si>
  <si>
    <t>CAIXA RETANGULAR 4" X 2" BAIXA (0,30 M DO PISO), PVC, INSTALADA EM PAREDE - FORNECIMENTO E INSTALAÇÃO. AF_03/2023</t>
  </si>
  <si>
    <t>TOMADAS BAIXAS</t>
  </si>
  <si>
    <t xml:space="preserve"> 91939 </t>
  </si>
  <si>
    <t>CAIXA RETANGULAR 4" X 2" ALTA (2,00 M DO PISO), PVC, INSTALADA EM PAREDE - FORNECIMENTO E INSTALAÇÃO. AF_03/2023</t>
  </si>
  <si>
    <t>TOMADAS ALTAS</t>
  </si>
  <si>
    <t>CAIXA PARA REFLETORES</t>
  </si>
  <si>
    <t>TOMADAS DE LÓGICA ALTA</t>
  </si>
  <si>
    <t>CAIXA PARA CÂMERAS</t>
  </si>
  <si>
    <t xml:space="preserve"> 90447 </t>
  </si>
  <si>
    <t>CONSIDERANDO 0,35% DA QUANTIDADE DE ELETRODUTO</t>
  </si>
  <si>
    <t xml:space="preserve"> 91863 </t>
  </si>
  <si>
    <t>ELETRODUTO RÍGIDO ROSCÁVEL, PVC, DN 25 MM (3/4"), PARA CIRCUITOS TERMINAIS, INSTALADO EM FORRO - FORNECIMENTO E INSTALAÇÃO. AF_03/2023</t>
  </si>
  <si>
    <t xml:space="preserve"> 95817 </t>
  </si>
  <si>
    <t>LUMINÁRIAS EXTERNAS</t>
  </si>
  <si>
    <t xml:space="preserve"> 93654 </t>
  </si>
  <si>
    <t xml:space="preserve"> 93655 </t>
  </si>
  <si>
    <t xml:space="preserve"> 91931 </t>
  </si>
  <si>
    <t>CABO DE COBRE FLEXÍVEL ISOLADO, 6 MM², ANTI-CHAMA 0,6/1,0 KV, PARA CIRCUITOS TERMINAIS - FORNECIMENTO E INSTALAÇÃO. AF_03/2023</t>
  </si>
  <si>
    <t xml:space="preserve"> 93658 </t>
  </si>
  <si>
    <t xml:space="preserve"> 97891 </t>
  </si>
  <si>
    <t>CAIXA ENTERRADA ELÉTRICA RETANGULAR, EM ALVENARIA COM BLOCOS DE CONCRETO, FUNDO COM BRITA, DIMENSÕES INTERNAS: 0,4X0,4X0,4 M. AF_12/2020</t>
  </si>
  <si>
    <t>ELÉTRICA</t>
  </si>
  <si>
    <t>LÓGICA</t>
  </si>
  <si>
    <t>QUADRO DE COMANDO PARA 2 BOMBAS DE RECALQUES DE 1/3 A 2 CV, TRIFÁSICA, 220 VOLTS, COM CHAVE SELETORA, ACIONAMENTO MANUAL/AUTOMÁTICO, RELÉ DE SOBRECARGA E CONTATORA</t>
  </si>
  <si>
    <t>DE ACORDO COM PROJETO ELÉTRICO</t>
  </si>
  <si>
    <t xml:space="preserve"> 8359 </t>
  </si>
  <si>
    <t>FORNECIMENTO E INSTALAÇÃO DE ELETROCALHA PERFURADA 100 X   50 X 3000 MM (REF. MOPA OU SIMILAR) COM TAMPA</t>
  </si>
  <si>
    <t>DE ACORDO COM PROJETO DE CABEAMENTO ESTRUTURADO</t>
  </si>
  <si>
    <t xml:space="preserve"> 10850 </t>
  </si>
  <si>
    <t>ACOPLAMENTO PARA ELETROCALHA METÁLICA 38 X 38MM</t>
  </si>
  <si>
    <t>ACOPLAMENTO ENTRE RACK E ELETROCALHA</t>
  </si>
  <si>
    <t xml:space="preserve"> 8701 </t>
  </si>
  <si>
    <t>CURVA DE INVERSÃO 100X100 MM PARA ELETROCALHA METÁLICA - REV 01</t>
  </si>
  <si>
    <t>CURVA VERTICAL DA ELETROCALHA DE LÓGICA</t>
  </si>
  <si>
    <t xml:space="preserve"> 12525 </t>
  </si>
  <si>
    <t>TAMPA DE ENCAIXE PARA CURVA DE INVERSÃO, 100MM, ZINCADA, PARA ELETROCALHA METÁLICA</t>
  </si>
  <si>
    <t>TAMPA DE CURVA VERTICAL DA ELETROCALHA DE LÓGICA</t>
  </si>
  <si>
    <t xml:space="preserve"> 11831 </t>
  </si>
  <si>
    <t>REDUÇÃO CONCÊNTRICA 100 X 50MM PARA ELETROCALHA METÁLICA (REF. MOPA OU SIMILAR)</t>
  </si>
  <si>
    <t>REDUÇÃO DE 100 PARA 50 DA ELETROCALHA DE LÓGICA</t>
  </si>
  <si>
    <t xml:space="preserve"> 12588 </t>
  </si>
  <si>
    <t>TAMPA DE ENCAIXE PARA REDUÇÃO CONCÊNTRICA 100 X 75MM, ZINCADA, PARA ELETROCALHA METÁLICA DE ELETROCALHA</t>
  </si>
  <si>
    <t>TAMPA REDUÇÃO DE 100 PARA 50 DA ELETROCALHA DE LÓGICA</t>
  </si>
  <si>
    <t xml:space="preserve"> 12530 </t>
  </si>
  <si>
    <t>TAMPA DE ENCAIXE 100MM PARA TÊ HORIZONTAL, ZINCADA, PARA ELETROCALHA METÁLICA (REF.: MOPA OU SIMILAR)</t>
  </si>
  <si>
    <t>ELETROCALHA DE ELÉTRICA</t>
  </si>
  <si>
    <t>ELETROCALHA DE LÓGICA</t>
  </si>
  <si>
    <t xml:space="preserve"> 8113 </t>
  </si>
  <si>
    <t>TÊ HORIZONTAL 100 X 50 MM COM BASE LISA PERFURADA PARA ELETROCALHA METÁLICA (REF. MOPA OU SIMILAR)</t>
  </si>
  <si>
    <t xml:space="preserve"> 8443 </t>
  </si>
  <si>
    <t>CURVA VERTICAL 100 X 50 MM PARA ELETROCALHA METÁLICA, COM ÂNGULO 90° (REF.: MOPA OU SIMILAR)</t>
  </si>
  <si>
    <t xml:space="preserve"> 12527 </t>
  </si>
  <si>
    <t>TAMPA DE ENCAIXE PARA CURVA 90º, VERTICAL, 100MM, ZINCADA, PARA ELETROCALHA METÁLICA</t>
  </si>
  <si>
    <t xml:space="preserve"> 8318 </t>
  </si>
  <si>
    <t>TERMINAL 100 X 50 MM PARA ELETROCALHA METALICA (REF. MOPA OU SIMILAR)</t>
  </si>
  <si>
    <t xml:space="preserve"> 723 </t>
  </si>
  <si>
    <t>FORNECIMENTO E INSTALAÇÃO DE SAÍDA HORIZONTAL PARA ELETRODUTO 3/4" (REF. VL 33 VALEMAM OU SIMILAR)</t>
  </si>
  <si>
    <t>ELETROCALHAS DE ELÉTRICA</t>
  </si>
  <si>
    <t xml:space="preserve"> 724 </t>
  </si>
  <si>
    <t>FORNECIMENTO E INSTALAÇÃO DE SAÍDA HORIZONTAL PARA ELETRODUTO 1" (REF. VL 33 VALEMAM OU SIMILAR)</t>
  </si>
  <si>
    <t>ELETROCALHAS DE LÓGICA</t>
  </si>
  <si>
    <t>ENTRADA DE 5 ELETRODUTOS DE 2" NA ELETROCALHA E NO QUADRO</t>
  </si>
  <si>
    <t xml:space="preserve"> 11816 </t>
  </si>
  <si>
    <t>BOX RETO EM ALUMÍNIO DE 3/4"</t>
  </si>
  <si>
    <t xml:space="preserve"> 11817 </t>
  </si>
  <si>
    <t>BOX RETO EM ALUMÍNIO DE 1"</t>
  </si>
  <si>
    <t>BOX RETO EM ALUMÍNIO DE 2"</t>
  </si>
  <si>
    <t xml:space="preserve"> 9524 </t>
  </si>
  <si>
    <t>TALA PLANA PERFURADA 50MM PARA ELETROCALHA METÁLICA (REF.: MOPA OU SIMILAR) - REV 01</t>
  </si>
  <si>
    <t>TALA DE COMPONENTE PARA EMENDA COMO EXECUTADO</t>
  </si>
  <si>
    <t xml:space="preserve"> 7878 </t>
  </si>
  <si>
    <t>EMENDA INTERNA 100 X 50 MM COM BASE LISA PERFURADA PARA ELETROCALHA METÁLICA (REF. MOPA OU SIMILAR)</t>
  </si>
  <si>
    <t>EMENDA DE ELETROCALHAS COMO EXECUTADO</t>
  </si>
  <si>
    <t xml:space="preserve"> 7384 </t>
  </si>
  <si>
    <t>FIXAÇÃO DE ELETROCALHAS COM VERGALHÃO (TIRANTE) COM ROSCA TOTAL Ø 1/4"X1000MM (MARVITEC REF. 1431 OU SIMILAR)</t>
  </si>
  <si>
    <t>TIRANTE DE SUSTENTAÇÃO DE ELETROCALHAS COMO EXECUTADO</t>
  </si>
  <si>
    <t xml:space="preserve"> 7819 </t>
  </si>
  <si>
    <t>SUPORTE DE SUSTENTAÇÃO DE ELETROCALHA METÁLICA 100MM(REF. MOPA OU SIMILAR)</t>
  </si>
  <si>
    <t>SUPORTE DE SUSTENTAÇÃO COMO EXECUTADO</t>
  </si>
  <si>
    <t xml:space="preserve"> 685 </t>
  </si>
  <si>
    <t>FORNECIMENTO E INSTALAÇÃO DE PARAFUSO CABEÇA LENTILHA 3/8" X 3/4" (REF. VL 1.68 VALEMAM OU SIMILAR)</t>
  </si>
  <si>
    <t>PARAFUSO PARA FIXAÇÃO DE ACESSÓRIOS DE ELETROCALHA CMO EXECUTADO</t>
  </si>
  <si>
    <t xml:space="preserve"> 12506 </t>
  </si>
  <si>
    <t>ARRUELA DE LISA 3/8"</t>
  </si>
  <si>
    <t>ARRUELA PARA PARAFUSO CABEÇA DE LENTILHA</t>
  </si>
  <si>
    <t>ARRUELA PARA PORCA SEXTAVADA</t>
  </si>
  <si>
    <t xml:space="preserve"> 12614 </t>
  </si>
  <si>
    <t>PORCA SEXTAVADA 3/8", BICROMATIZADA</t>
  </si>
  <si>
    <t>PORCA PARA FIXAÇÃO DE ELETROCALHA</t>
  </si>
  <si>
    <t xml:space="preserve"> 12495 </t>
  </si>
  <si>
    <t>PORCA SEXTAVADA 1/4", BICROMATIZADA</t>
  </si>
  <si>
    <t>PORCA PARA FIXAÇÃO DOS TIRANTES E SUPORTES</t>
  </si>
  <si>
    <t xml:space="preserve"> 9816 </t>
  </si>
  <si>
    <t>ARRUELA LISA ZINCADA D=1/4"</t>
  </si>
  <si>
    <t>ARRUELA PARA PARAFUSO DE 1/4"</t>
  </si>
  <si>
    <t>ARRUELA PARA PORCA DE 1/4"</t>
  </si>
  <si>
    <t xml:space="preserve"> 704 </t>
  </si>
  <si>
    <t>FORNECIMENTO E INSTALAÇÃO DE BUCHA DE NYLON S10 (REF. VL - 1.80 VALEMAM OU SIMILAR)</t>
  </si>
  <si>
    <t>BUCHA PARA PARAFUSO CABEÇA SEXTAVADA PARA FIXAÇÃO NO TETO CONFORME EXECUTADO</t>
  </si>
  <si>
    <t xml:space="preserve"> 9831 </t>
  </si>
  <si>
    <t>PARAFUSO CABEÇA SEXTAVADA 1/4" X 1" (FORNECIMENTO E COLOCAÇÃO)</t>
  </si>
  <si>
    <t>PARAFUSO PARA FIXAÇÃO NO TETO</t>
  </si>
  <si>
    <t>CANTONEIRA 2X</t>
  </si>
  <si>
    <t>ABRAÇADEIRA 3/4"</t>
  </si>
  <si>
    <t>ABRAÇADEIRA 1"</t>
  </si>
  <si>
    <t xml:space="preserve"> 12500 </t>
  </si>
  <si>
    <t>CANTONEIRA "ZZ" PARA FIXAÇÃO DE  PERFILADO, REF. MOPA OU SIMILAR</t>
  </si>
  <si>
    <t>CANTONEIRA DE FIXAÇÃO NO TETO PARA SUPORTE DE TIRANTE</t>
  </si>
  <si>
    <t xml:space="preserve"> 8441 </t>
  </si>
  <si>
    <t>ABRAÇADEIRA METÁLICA TIPO "D" DE 3/4"</t>
  </si>
  <si>
    <t>ABRAÇADEIRA PARA FIXAÇÃO DE ELETRODUTO 3/4" NO TETO COMO EXECUTADO</t>
  </si>
  <si>
    <t xml:space="preserve"> 12140 </t>
  </si>
  <si>
    <t>ABRAÇADEIRA METÁLICA TIPO "D" DE 1"</t>
  </si>
  <si>
    <t>ABRAÇADEIRA PARA FIXAÇÃO DE ELETRODUTO 1" NO TETO COMO EXECUTADO</t>
  </si>
  <si>
    <t xml:space="preserve"> 98295 </t>
  </si>
  <si>
    <t>DE ACORDO COM LISTA DE MATERIAL DE CABEAMENTO ESTRUTURADO</t>
  </si>
  <si>
    <t xml:space="preserve"> 91836 </t>
  </si>
  <si>
    <t>ELETRODUTO FLEXÍVEL CORRUGADO, PVC, DN 32 MM (1"), PARA CIRCUITOS TERMINAIS, INSTALADO EM FORRO - FORNECIMENTO E INSTALAÇÃO. AF_03/2023</t>
  </si>
  <si>
    <t xml:space="preserve"> C3763 </t>
  </si>
  <si>
    <t>RACK FECHADO 36 U'S, 670MM, PROFUNDIDADE PADRÃO 19"</t>
  </si>
  <si>
    <t xml:space="preserve"> C4794 </t>
  </si>
  <si>
    <t>TOMADA PARA LÓGICA, COM 2 CONECTORES RJ45, 8 FIOS, CAT-5E, COMPLETA PARA CAIXA 4"X2" (NÃO INCLUSA)</t>
  </si>
  <si>
    <t xml:space="preserve"> C4921 </t>
  </si>
  <si>
    <t>TOMADA PARA LÓGICA, COM 1 CONECTOR RJ45, 8 FIOS, CAT-5E, COMPLETA PARA CAIXA 4"X2" (NÃO INCLUSA)</t>
  </si>
  <si>
    <t xml:space="preserve"> 9534 </t>
  </si>
  <si>
    <t>FORNECIMENTO E INSTALAÇÃO DE PATCH CORDS CAT.5E, CONECTOR RJ-45 MACHO, C/1,50M - REV 01</t>
  </si>
  <si>
    <t>SOMA DE QUANTIDADES DE PONTOS</t>
  </si>
  <si>
    <t>PROGRAMADOR HORÁRIO ALIMENTAÇÃO DE 100ª 240VAC, UMA SAÍDA A RELE SPDT 16A  250V, COM LED PARA IDENTIFICAÇÃO DO STATUS, FUNÇÃO HORÁRIO DE VERÃO, CAIXA EM ABX, PARA FIXAÇÃO EM TRILHO, COM 40 MEMORIAS PARA PROGRAMAÇÃO</t>
  </si>
  <si>
    <t>RELÉ DE COMANDO PARA PROGRAMAÇÃO DE ACIONAMENTO DE ILUMINAÇÃO EXTERNA</t>
  </si>
  <si>
    <t>CONTATOR 32 A, BOBINA DE 24 A 220VAC, COM CONTATO NA-NF , PARA FIXAÇÃO EM TRILHO.</t>
  </si>
  <si>
    <t>CONTATOR PARA CIRCUITO DE ILUMINAÇÃO EXTERNA</t>
  </si>
  <si>
    <t>TOMADA 2P+T, ABNT, 10 A, PARA PISO, COM PLACA EM METAL AMARELO E CAIXA PVC</t>
  </si>
  <si>
    <t>DE ACORDO COM O PROJETO ELÉTRICO - MESANINOS</t>
  </si>
  <si>
    <t>CAIXA RETANGULAR 4" X 4" BAIXA (0,30 M DO PISO), PVC, INSTALADA EM PAREDE - FORNECIMENTO E INSTALAÇÃO. AF_03/2023</t>
  </si>
  <si>
    <t>DE ACORDO COM O PROJETO DE CABEAMENTO ESTRUTURADO</t>
  </si>
  <si>
    <t xml:space="preserve">Descrição </t>
  </si>
  <si>
    <t>DISJUNTOR TRIPOLAR  80 A COM CAIXA MOLDADA 10 KA</t>
  </si>
  <si>
    <t>FORNECIMENTO E INSTALAÇÃO DE SAÍDA HORIZONTAL PARA ELETRODUTO 2" (REF. VL 33 GE VALEMAM OU SIMILAR)</t>
  </si>
  <si>
    <t xml:space="preserve"> 4394 </t>
  </si>
  <si>
    <t>DUCHA MANUAL MOD. 1972 LINHA C OU SIMILAR</t>
  </si>
  <si>
    <t xml:space="preserve"> C4000 </t>
  </si>
  <si>
    <t>TORNEIRA TIPO JARDIM CROMADA</t>
  </si>
  <si>
    <t>DE ACORDO COM O PLANTA DE LOUÇAS E METAIS DO PROJETO ARQUITETÔNICO - BARRAS PARA APOIO NA VERTICAL</t>
  </si>
  <si>
    <t>BARRA DE APOIO PARA APOIO AO ACESSO DA CAIXA DÁGUA</t>
  </si>
  <si>
    <t>DUCHAS DO BANHEIRO E DA SALA DE CURATIVO</t>
  </si>
  <si>
    <t>TORNEIRA NO LIXO</t>
  </si>
  <si>
    <t>SINAPI  - JANEIRO 2026 (DESONERADA) , ORSE - I DEZ/2025 e SEINFRA - 028.1</t>
  </si>
  <si>
    <t>1.4</t>
  </si>
  <si>
    <t>1.5</t>
  </si>
  <si>
    <t>1.6</t>
  </si>
  <si>
    <t>1.7</t>
  </si>
  <si>
    <t>TAPUME COM TELHA METÁLICA. AF_03/2024</t>
  </si>
  <si>
    <t>ÁREA A RECEBER NOVO TAPUME APÓS RETIRADA DO TAPUME DETERIORADO (CONSIDERANDO MURO EXTERNO AGORA EXISTENTE)</t>
  </si>
  <si>
    <t>REMOÇÃO DE TAPUME/ CHAPAS METÁLICAS E DE MADEIRA, DE FORMA MANUAL, SEM REAPROVEITAMENTO. AF_09/2023</t>
  </si>
  <si>
    <t>INSTALAÇÕES PROVISÓRIAS DE ÁGUA</t>
  </si>
  <si>
    <t>C2851</t>
  </si>
  <si>
    <t>INSTALAÇÕES PROVISÓRIAS DE ESGOTO</t>
  </si>
  <si>
    <t>C2849</t>
  </si>
  <si>
    <t>SENFRA</t>
  </si>
  <si>
    <t>958,1 - 350,47</t>
  </si>
  <si>
    <t>1.8</t>
  </si>
  <si>
    <t>RASPAGEM E LIMPEZA DO TERRENO</t>
  </si>
  <si>
    <t>C2102</t>
  </si>
  <si>
    <t>ÁREA CONSTRUÍDA</t>
  </si>
  <si>
    <t>ÁREA DO TERRENO</t>
  </si>
  <si>
    <t>FORNECIMENTO E INSTALAÇÃO DE PLACA DE OBRA COM CHAPA GALVANIZADA E ESTRUTURA DE MADEIRA. AF_03/2022_PS</t>
  </si>
  <si>
    <t>ALIMENTAÇÃO</t>
  </si>
  <si>
    <t>ÁGUA FRIA</t>
  </si>
  <si>
    <t>SUBSTITUIÇÃO DE CURVAS</t>
  </si>
  <si>
    <t>Fator</t>
  </si>
  <si>
    <t xml:space="preserve"> 89353 </t>
  </si>
  <si>
    <t>REGISTRO DE GAVETA BRUTO, LATÃO, ROSCÁVEL, 3/4" - FORNECIMENTO E INSTALAÇÃO. AF_08/2021</t>
  </si>
  <si>
    <t xml:space="preserve"> 94794 </t>
  </si>
  <si>
    <t>REGISTRO DE GAVETA BRUTO, LATÃO, ROSCÁVEL, 1 1/2", COM ACABAMENTO E CANOPLA CROMADOS - FORNECIMENTO E INSTALAÇÃO. AF_08/2021</t>
  </si>
  <si>
    <t xml:space="preserve"> 99622 </t>
  </si>
  <si>
    <t>VÁLVULA DE RETENÇÃO HORIZONTAL, DE BRONZE, ROSCÁVEL, 1 1/2"  - FORNECIMENTO E INSTALAÇÃO. AF_08/2021</t>
  </si>
  <si>
    <t xml:space="preserve"> 89383 </t>
  </si>
  <si>
    <t>ADAPTADOR CURTO COM BOLSA E ROSCA PARA REGISTRO, PVC, SOLDÁVEL, DN 25MM X 3/4 , INSTALADO EM RAMAL OU SUB-RAMAL DE ÁGUA - FORNECIMENTO E INSTALAÇÃO. AF_06/2022</t>
  </si>
  <si>
    <t xml:space="preserve"> 103966 </t>
  </si>
  <si>
    <t>BUCHA DE REDUÇÃO, LONGA, PVC, SOLDÁVEL, DN 50 X 25 MM, INSTALADO EM PRUMADA DE ÁGUA - FORNECIMENTO E INSTALAÇÃO. AF_06/2022</t>
  </si>
  <si>
    <t xml:space="preserve"> 103995 </t>
  </si>
  <si>
    <t>LUVA, PVC, SOLDÁVEL, DN 50MM, INSTALADO EM RAMAL DE DISTRIBUIÇÃO DE ÁGUA - FORNECIMENTO E INSTALAÇÃO. AF_06/2022</t>
  </si>
  <si>
    <t xml:space="preserve"> 104004 </t>
  </si>
  <si>
    <t>TE, PVC, SOLDÁVEL, DN 50MM, INSTALADO EM RAMAL DE DISTRIBUIÇÃO DE ÁGUA - FORNECIMENTO E INSTALAÇÃO. AF_06/2022</t>
  </si>
  <si>
    <t>JOELHO 90 GRAUS COM BUCHA DE LATÃO, PVC, SOLDÁVEL, DN 25MM, X 1/2  INSTALADO EM RAMAL OU SUB-RAMAL DE ÁGUA - FORNECIMENTO E INSTALAÇÃO. AF_06/2022</t>
  </si>
  <si>
    <t>C1475</t>
  </si>
  <si>
    <t>IMPERMEABILIZAÇÃO DE SUPERFÍCIES INTERNAS DE RESERVATÓRIOS ENTERRADOS</t>
  </si>
  <si>
    <t>PISO DO RESERVATÓRIO</t>
  </si>
  <si>
    <t>PAREDE LADO MAIOR</t>
  </si>
  <si>
    <t>PAREDE LADO MENOR</t>
  </si>
  <si>
    <t>LIGAÇÃO PARA RUA</t>
  </si>
  <si>
    <t>SIFÃO DO TIPO FLEXÍVEL EM PVC 1  X 1.1/2  - FORNECIMENTO E INSTALAÇÃO. AF_01/2020</t>
  </si>
  <si>
    <t>VÁLVULA EM PLÁSTICO 1 PARA PIA, TANQUE OU LAVATÓRIO, COM OU SEM LADRÃO - FORNECIMENTO E INSTALAÇÃO. AF_01/2020</t>
  </si>
  <si>
    <t>CURVA CURTA 90 GRAUS, PVC, SERIE NORMAL, ESGOTO PREDIAL, DN 40 MM, JUNTA SOLDÁVEL, FORNECIDO E INSTALADO EM RAMAL DE DESCARGA OU RAMAL DE ESGOTO SANITÁRIO. AF_08/2022</t>
  </si>
  <si>
    <t>JOELHO DE 90°COM BOLSA PARA ANEL, EM PVC RÍGIDO C/ ANÉIS, PARA ESGOTO SECUNDÁRIO, DIÂM = 40MM</t>
  </si>
  <si>
    <t>un</t>
  </si>
  <si>
    <t>JOELHO 45 GRAUS, PVC, SERIE NORMAL, ESGOTO PREDIAL, DN 50 MM, JUNTA ELÁSTICA, FORNECIDO E INSTALADO EM PRUMADA DE ESGOTO SANITÁRIO OU VENTILAÇÃO. AF_08/2022</t>
  </si>
  <si>
    <t>JUNÇÃO SIMPLES, PVC, SERIE NORMAL, ESGOTO PREDIAL, DN 50 X 50 MM, JUNTA ELÁSTICA, FORNECIDO E INSTALADO EM RAMAL DE DESCARGA OU RAMAL DE ESGOTO SANITÁRIO. AF_08/2022</t>
  </si>
  <si>
    <t>TUBO PVC, SERIE NORMAL, ESGOTO PREDIAL, DN 150 MM, FORNECIDO E INSTALADO EM SUBCOLETOR AÉREO DE ESGOTO SANITÁRIO. AF_08/2022</t>
  </si>
  <si>
    <t>LUVA SIMPLES, PVC, SERIE NORMAL, ESGOTO PREDIAL, DN 100 MM, JUNTA ELÁSTICA, FORNECIDO E INSTALADO EM RAMAL DE DESCARGA OU RAMAL DE ESGOTO SANITÁRIO. AF_08/2022</t>
  </si>
  <si>
    <t>LUVA SIMPLES, PVC, SERIE NORMAL, ESGOTO PREDIAL, DN 50 MM, JUNTA ELÁSTICA, FORNECIDO E INSTALADO EM RAMAL DE DESCARGA OU RAMAL DE ESGOTO SANITÁRIO. AF_08/2022</t>
  </si>
  <si>
    <t>VEDAÇÃO PARA SAÍDA DE VASO SANITÁRIO EM  PVC RÍGIDO SOLDÁVEL, PARA ESGOTO PRIMÁRIO, DIÂM = 100MM</t>
  </si>
  <si>
    <t>CURVA LONGA 90 GRAUS, PVC, SERIE NORMAL, ESGOTO PREDIAL, DN 50 MM, JUNTA ELÁSTICA, FORNECIDO E INSTALADO EM PRUMADA DE ESGOTO SANITÁRIO OU VENTILAÇÃO. AF_08/2022</t>
  </si>
  <si>
    <t>TE, PVC, SÉRIE NORMAL, ESGOTO PREDIAL, DN 100 X 50 MM, JUNTA ELÁSTICA, FORNECIDO E INSTALADO EM PRUMADA DE ESGOTO SANITÁRIO OU VENTILAÇÃO. AF_08/2022</t>
  </si>
  <si>
    <t>TE, PVC, SERIE NORMAL, ESGOTO PREDIAL, DN 50 X 50 MM, JUNTA ELÁSTICA, FORNECIDO E INSTALADO EM PRUMADA DE ESGOTO SANITÁRIO OU VENTILAÇÃO. AF_08/2022</t>
  </si>
  <si>
    <t xml:space="preserve"> 86883 </t>
  </si>
  <si>
    <t>CUBAS</t>
  </si>
  <si>
    <t xml:space="preserve"> 86879 </t>
  </si>
  <si>
    <t>LAVATÓRIOS</t>
  </si>
  <si>
    <t>TANQUE</t>
  </si>
  <si>
    <t xml:space="preserve"> 89728 </t>
  </si>
  <si>
    <t>DE ACORDO COM PROJETO DE ESGOTO</t>
  </si>
  <si>
    <t xml:space="preserve"> 1672 </t>
  </si>
  <si>
    <t xml:space="preserve"> 89802 </t>
  </si>
  <si>
    <t>ESGOTO</t>
  </si>
  <si>
    <t>VENTILAÇÃO</t>
  </si>
  <si>
    <t xml:space="preserve"> 89785 </t>
  </si>
  <si>
    <t xml:space="preserve"> 89778 </t>
  </si>
  <si>
    <t>LUVA PARA CONEXÕES</t>
  </si>
  <si>
    <t>CURVA LONGA 100</t>
  </si>
  <si>
    <t>JOELHO 45 100</t>
  </si>
  <si>
    <t>JUNÇÃO SIMPLES 100-50</t>
  </si>
  <si>
    <t>JUNÇÃO SIMPLES 100-100</t>
  </si>
  <si>
    <t>TÊ 100-50</t>
  </si>
  <si>
    <t xml:space="preserve"> 89753 </t>
  </si>
  <si>
    <t>JOELHO 45 50</t>
  </si>
  <si>
    <t>JOELHO 90 50</t>
  </si>
  <si>
    <t>JUNÇÃO SIMPLES 50-50</t>
  </si>
  <si>
    <t>CURVA LONGA 90 50</t>
  </si>
  <si>
    <t>TÊ 50-50</t>
  </si>
  <si>
    <t xml:space="preserve"> 1595 </t>
  </si>
  <si>
    <t xml:space="preserve"> 89804 </t>
  </si>
  <si>
    <t xml:space="preserve"> 89798 </t>
  </si>
  <si>
    <t>DE ACORDO COM PROJETO DE ESGOTO - VENTILAÇÃO</t>
  </si>
  <si>
    <t xml:space="preserve"> 104352 </t>
  </si>
  <si>
    <t xml:space="preserve"> 89825 </t>
  </si>
  <si>
    <t xml:space="preserve"> 89743 </t>
  </si>
  <si>
    <t>CURVA LONGA 90 GRAUS, PVC, SERIE NORMAL, ESGOTO PREDIAL, DN 75 MM, JUNTA ELÁSTICA, FORNECIDO E INSTALADO EM RAMAL DE DESCARGA OU RAMAL DE ESGOTO SANITÁRIO. AF_08/2022</t>
  </si>
  <si>
    <t xml:space="preserve"> 4283 </t>
  </si>
  <si>
    <t>RALO HEMISFÉRICO EM Fº Fº, TIPO ABACAXI Ø 100MM</t>
  </si>
  <si>
    <t xml:space="preserve"> 89495 </t>
  </si>
  <si>
    <t>RALO SIFONADO, PVC, DN 100 X 40 MM, JUNTA SOLDÁVEL, FORNECIDO E INSTALADO EM RAMAIS DE ENCAMINHAMENTO DE ÁGUA PLUVIAL. AF_06/2022</t>
  </si>
  <si>
    <t>JUNÇÃO SIMPLES, PVC, SERIE R, ÁGUA PLUVIAL, DN 150 X 100 MM, JUNTA ELÁSTICA, FORNECIDO E INSTALADO EM CONDUTORES VERTICAIS DE ÁGUAS PLUVIAIS. AF_06/2022</t>
  </si>
  <si>
    <t>LUVA SIMPLES, PVC, SERIE R, ÁGUA PLUVIAL, DN 100 MM, JUNTA ELÁSTICA, FORNECIDO E INSTALADO EM CONDUTORES VERTICAIS DE ÁGUAS PLUVIAIS. AF_06/2022</t>
  </si>
  <si>
    <t>TÊ, PVC, SERIE R, ÁGUA PLUVIAL, DN 100 X 100 MM, JUNTA ELÁSTICA, FORNECIDO E INSTALADO EM CONDUTORES VERTICAIS DE ÁGUAS PLUVIAIS. AF_06/2022</t>
  </si>
  <si>
    <t>DE ACORDO COM PROJETO DE ÁGUAS PLUVIAIS</t>
  </si>
  <si>
    <t xml:space="preserve"> 89699 </t>
  </si>
  <si>
    <t xml:space="preserve"> 89669 </t>
  </si>
  <si>
    <t>CONEXÕES</t>
  </si>
  <si>
    <t>JOELHO 45</t>
  </si>
  <si>
    <t>JOELHO 90</t>
  </si>
  <si>
    <t>TÊ 100-100</t>
  </si>
  <si>
    <t xml:space="preserve"> 89693 </t>
  </si>
  <si>
    <t xml:space="preserve"> 103291 </t>
  </si>
  <si>
    <t>TUBO EM COBRE FLEXÍVEL, DN 1/2", COM ISOLAMENTO, INSTALADO EM FORRO, PARA RAMAL DE ALIMENTAÇÃO DE AR CONDICIONADO, INCLUSO FIXADOR. AF_11/2021</t>
  </si>
  <si>
    <t xml:space="preserve"> 103292 </t>
  </si>
  <si>
    <t>TUBO EM COBRE FLEXÍVEL, DN 5/8", COM ISOLAMENTO, INSTALADO EM FORRO, PARA RAMAL DE ALIMENTAÇÃO DE AR CONDICIONADO, INCLUSO FIXADOR. AF_11/2021</t>
  </si>
  <si>
    <t xml:space="preserve"> 11412 </t>
  </si>
  <si>
    <t>CABO DE COBRE PP CORDPLAST 4 X 2,5 MM2, 450/750V - FORNECIMENTO E INSTALAÇÃO</t>
  </si>
  <si>
    <t xml:space="preserve"> 4179 </t>
  </si>
  <si>
    <t>CABO DE COBRE PP CORDPLAST 3 X 2,5 MM2, 450/750V - FORNECIMENTO</t>
  </si>
  <si>
    <t xml:space="preserve"> C0863 </t>
  </si>
  <si>
    <t>CONJUNTO ARSTOP COMPLETO (15 A 30A)</t>
  </si>
  <si>
    <t>DE ACORDO COM LISTA DE MATERIAL DE CLIMATIZAÇÃO</t>
  </si>
  <si>
    <t>DE ACORDO COM LISTA DE MATERIAL DE CLIMATIZAÇÃO - CAIXA CENTRAL DE AR-CONDICIONADO</t>
  </si>
  <si>
    <t>AR CONDICIONADO SPLIT INVERTER, HI-WALL (PAREDE), 12000 BTU/H, CICLO FRIO - FORNECIMENTO E INSTALAÇÃO. AF_11/2021_PE</t>
  </si>
  <si>
    <t>AR CONDICIONADO SPLIT ON/OFF, HI-WALL (PAREDE), 18000 BTUS/H, CICLO QUENTE/FRIO - FORNECIMENTO E INSTALAÇÃO. AF_11/2021_PE</t>
  </si>
  <si>
    <t>11.4</t>
  </si>
  <si>
    <t>CHAPISCO</t>
  </si>
  <si>
    <t>MASSA ACRILICA</t>
  </si>
  <si>
    <t>PINTURA</t>
  </si>
  <si>
    <t>SELADOR</t>
  </si>
  <si>
    <t>TRAMA</t>
  </si>
  <si>
    <t>TELHA</t>
  </si>
  <si>
    <t>FORRO</t>
  </si>
  <si>
    <t>TANQUE SÉPTICO RETANGULAR, EM ALVENARIA COM TIJOLOS CERÂMICOS MACIÇOS, DIMENSÕES INTERNAS: 1,6 X 4,4 X H=1,8 M, VOLUME ÚTIL: 9856 L (PARA 68 CONTRIBUINTES). AF_12/2020</t>
  </si>
  <si>
    <t>PLACA DE INAUGURAÇÃO DE OBRA EM ALUMÍNIO 0,60 X 0,80 M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</si>
  <si>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</si>
  <si>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</si>
  <si>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</si>
  <si>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</si>
  <si>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</si>
  <si>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</si>
  <si>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</si>
  <si>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</si>
  <si>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</si>
  <si>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</si>
  <si>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</si>
  <si>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</si>
  <si>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</si>
  <si>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</si>
  <si>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</si>
  <si>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</si>
  <si>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</si>
  <si>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</si>
  <si>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</si>
  <si>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</si>
  <si>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</si>
  <si>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</si>
  <si>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6.2.1</t>
  </si>
  <si>
    <t>6.2.2</t>
  </si>
  <si>
    <t>6.2.3</t>
  </si>
  <si>
    <t>6.2.4</t>
  </si>
  <si>
    <t>6.2.5</t>
  </si>
  <si>
    <t>6.2.6</t>
  </si>
  <si>
    <t>6.2.7</t>
  </si>
  <si>
    <t>6.2.8</t>
  </si>
  <si>
    <t>6.3.1</t>
  </si>
  <si>
    <t>6.3.2</t>
  </si>
  <si>
    <t>6.3.3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</si>
  <si>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</si>
  <si>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</si>
  <si>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</si>
  <si>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</si>
  <si>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</si>
  <si>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</si>
  <si>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</si>
  <si>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</si>
  <si>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</si>
  <si>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</si>
  <si>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</si>
  <si>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</si>
  <si>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</si>
  <si>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</si>
  <si>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</si>
  <si>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</si>
  <si>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</si>
  <si>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</si>
  <si>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</si>
  <si>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</si>
  <si>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</si>
  <si>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</si>
  <si>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</si>
  <si>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</si>
  <si>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</si>
  <si>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</si>
  <si>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</si>
  <si>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</si>
  <si>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</si>
  <si>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</si>
  <si>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</si>
  <si>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</si>
  <si>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8.36</t>
  </si>
  <si>
    <t>8.37</t>
  </si>
  <si>
    <t>8.38</t>
  </si>
  <si>
    <t>8.39</t>
  </si>
  <si>
    <t>8.40</t>
  </si>
  <si>
    <t>8.41</t>
  </si>
  <si>
    <t>8.42</t>
  </si>
  <si>
    <t>8.43</t>
  </si>
  <si>
    <t>8.44</t>
  </si>
  <si>
    <t>8.45</t>
  </si>
  <si>
    <t>8.46</t>
  </si>
  <si>
    <t>8.47</t>
  </si>
  <si>
    <t>8.48</t>
  </si>
  <si>
    <t>8.49</t>
  </si>
  <si>
    <t>8.50</t>
  </si>
  <si>
    <t>8.51</t>
  </si>
  <si>
    <t>8.52</t>
  </si>
  <si>
    <t>8.53</t>
  </si>
  <si>
    <t>8.54</t>
  </si>
  <si>
    <t>8.55</t>
  </si>
  <si>
    <t>8.56</t>
  </si>
  <si>
    <t>8.57</t>
  </si>
  <si>
    <t>8.58</t>
  </si>
  <si>
    <t>8.59</t>
  </si>
  <si>
    <t>8.60</t>
  </si>
  <si>
    <t>8.61</t>
  </si>
  <si>
    <t>8.62</t>
  </si>
  <si>
    <t>8.63</t>
  </si>
  <si>
    <t>8.64</t>
  </si>
  <si>
    <t>8.65</t>
  </si>
  <si>
    <t>8.66</t>
  </si>
  <si>
    <t>8.67</t>
  </si>
  <si>
    <t>8.68</t>
  </si>
  <si>
    <t>8.69</t>
  </si>
  <si>
    <t>8.70</t>
  </si>
  <si>
    <t>8.71</t>
  </si>
  <si>
    <t>8.72</t>
  </si>
  <si>
    <t>8.73</t>
  </si>
  <si>
    <t>8.74</t>
  </si>
  <si>
    <t>8.75</t>
  </si>
  <si>
    <t>8.76</t>
  </si>
  <si>
    <t>8.77</t>
  </si>
  <si>
    <t>8.78</t>
  </si>
  <si>
    <t xml:space="preserve"> 8.1</t>
  </si>
  <si>
    <t xml:space="preserve"> 8.2</t>
  </si>
  <si>
    <t xml:space="preserve"> 8.3</t>
  </si>
  <si>
    <t xml:space="preserve"> 8.4</t>
  </si>
  <si>
    <t xml:space="preserve"> 8.5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</si>
  <si>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</si>
  <si>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</si>
  <si>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</si>
  <si>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</si>
  <si>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</si>
  <si>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</si>
  <si>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</si>
  <si>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</si>
  <si>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</si>
  <si>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9.1.10</t>
  </si>
  <si>
    <t>9.1.11</t>
  </si>
  <si>
    <t>9.1.12</t>
  </si>
  <si>
    <t>9.1.13</t>
  </si>
  <si>
    <t>9.1.14</t>
  </si>
  <si>
    <t>9.1.15</t>
  </si>
  <si>
    <t>9.1.16</t>
  </si>
  <si>
    <t>9.1.17</t>
  </si>
  <si>
    <t xml:space="preserve">9.1.1 </t>
  </si>
  <si>
    <t>9.2.1</t>
  </si>
  <si>
    <t>9.2.2</t>
  </si>
  <si>
    <t>9.2.3</t>
  </si>
  <si>
    <t>9.2.4</t>
  </si>
  <si>
    <t>9.2.5</t>
  </si>
  <si>
    <t>9.2.6</t>
  </si>
  <si>
    <t>9.2.7</t>
  </si>
  <si>
    <t>9.2.8</t>
  </si>
  <si>
    <t>9.2.9</t>
  </si>
  <si>
    <t>9.2.10</t>
  </si>
  <si>
    <t>9.2.11</t>
  </si>
  <si>
    <t>9.2.12</t>
  </si>
  <si>
    <t>9.2.13</t>
  </si>
  <si>
    <t>9.2.14</t>
  </si>
  <si>
    <t>9.2.15</t>
  </si>
  <si>
    <t>9.2.16</t>
  </si>
  <si>
    <t>9.2.17</t>
  </si>
  <si>
    <t>9.2.18</t>
  </si>
  <si>
    <t>9.2.19</t>
  </si>
  <si>
    <t>9.2.20</t>
  </si>
  <si>
    <t>9.2.21</t>
  </si>
  <si>
    <t>9.2.22</t>
  </si>
  <si>
    <t>9.2.23</t>
  </si>
  <si>
    <t>9.2.24</t>
  </si>
  <si>
    <t>9.2.25</t>
  </si>
  <si>
    <t>9.2.26</t>
  </si>
  <si>
    <t>9.2.27</t>
  </si>
  <si>
    <t>9.2.28</t>
  </si>
  <si>
    <t>9.2.29</t>
  </si>
  <si>
    <t>9.2.30</t>
  </si>
  <si>
    <t>9.2.31</t>
  </si>
  <si>
    <t>9.2.32</t>
  </si>
  <si>
    <t>9.2.33</t>
  </si>
  <si>
    <t>9.2.34</t>
  </si>
  <si>
    <t>9.2.35</t>
  </si>
  <si>
    <t>9.2.36</t>
  </si>
  <si>
    <t>9.2.37</t>
  </si>
  <si>
    <t>9.2.38</t>
  </si>
  <si>
    <t>9.2.39</t>
  </si>
  <si>
    <t>9.2.40</t>
  </si>
  <si>
    <t>9.2.41</t>
  </si>
  <si>
    <t>9.2.42</t>
  </si>
  <si>
    <t>9.2.43</t>
  </si>
  <si>
    <t>9.2.44</t>
  </si>
  <si>
    <t>9.2.45</t>
  </si>
  <si>
    <t>9.2.46</t>
  </si>
  <si>
    <t>9.2.47</t>
  </si>
  <si>
    <t>9.2.48</t>
  </si>
  <si>
    <t>9.2.49</t>
  </si>
  <si>
    <t>9.3.1</t>
  </si>
  <si>
    <t>9.3.2</t>
  </si>
  <si>
    <t>9.3.3</t>
  </si>
  <si>
    <t>9.3.4</t>
  </si>
  <si>
    <t>9.3.5</t>
  </si>
  <si>
    <t>9.3.6</t>
  </si>
  <si>
    <t>9.3.7</t>
  </si>
  <si>
    <t>9.3.8</t>
  </si>
  <si>
    <t>9.3.9</t>
  </si>
  <si>
    <t>9.3.10</t>
  </si>
  <si>
    <t>9.3.11</t>
  </si>
  <si>
    <t>9.3.12</t>
  </si>
  <si>
    <t>9.3.13</t>
  </si>
  <si>
    <t>9.3.14</t>
  </si>
  <si>
    <t>9.3.15</t>
  </si>
  <si>
    <t>9.3.16</t>
  </si>
  <si>
    <t>9.3.17</t>
  </si>
  <si>
    <t>9.3.18</t>
  </si>
  <si>
    <t>9.3.19</t>
  </si>
  <si>
    <t>9.3.20</t>
  </si>
  <si>
    <t>9.3.21</t>
  </si>
  <si>
    <t>9.3.22</t>
  </si>
  <si>
    <t>9.3.23</t>
  </si>
  <si>
    <t>9.3.24</t>
  </si>
  <si>
    <t>9.3.25</t>
  </si>
  <si>
    <t>9.3.26</t>
  </si>
  <si>
    <t>9.3.27</t>
  </si>
  <si>
    <t>9.3.28</t>
  </si>
  <si>
    <t>9.3.29</t>
  </si>
  <si>
    <t>9.3.30</t>
  </si>
  <si>
    <t>9.3.31</t>
  </si>
  <si>
    <t>9.3.32</t>
  </si>
  <si>
    <t>9.3.33</t>
  </si>
  <si>
    <t>9.3.34</t>
  </si>
  <si>
    <t>9.3.35</t>
  </si>
  <si>
    <t>9.4.1</t>
  </si>
  <si>
    <t>9.4.2</t>
  </si>
  <si>
    <t>9.4.3</t>
  </si>
  <si>
    <t>9.4.4</t>
  </si>
  <si>
    <t>9.4.5</t>
  </si>
  <si>
    <t>9.4.6</t>
  </si>
  <si>
    <t>9.4.7</t>
  </si>
  <si>
    <t>9.4.8</t>
  </si>
  <si>
    <t>9.4.9</t>
  </si>
  <si>
    <t>9.4.10</t>
  </si>
  <si>
    <t>9.4.11</t>
  </si>
  <si>
    <t>9.4.12</t>
  </si>
  <si>
    <t>9.4.13</t>
  </si>
  <si>
    <t>9.4.14</t>
  </si>
  <si>
    <t>9.4.15</t>
  </si>
  <si>
    <t>9.4.16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</si>
  <si>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</si>
  <si>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</si>
  <si>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</si>
  <si>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</si>
  <si>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</si>
  <si>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</si>
  <si>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</si>
  <si>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</si>
  <si>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</si>
  <si>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</si>
  <si>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</si>
  <si>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</si>
  <si>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PLACA PARA INAUGURAÇÃO DA OBRA</t>
  </si>
  <si>
    <t>SINAPI  - JANEIRO 2026 (DESONERADA) , ORSE  DEZEMBRO 2025 e SEINFRA - 028.1</t>
  </si>
  <si>
    <t>LASTRO</t>
  </si>
  <si>
    <t>PINTURA TETO FORRO</t>
  </si>
  <si>
    <t>PILAR CONCRETAGEM</t>
  </si>
  <si>
    <t>BALDRAME CONCRETAGEM</t>
  </si>
  <si>
    <t>VIGA METÁLICA EM PERFIL LAMINADO OU SOLDADO EM AÇO ESTRUTURAL, COM CONEXÕES SOLDADAS, INCLUSOS MÃO DE OBRA, TRANSPORTE E IÇAMENTO UTILIZANDO GUINDASTE - FORNECIMENTO E INSTALAÇÃO.</t>
  </si>
  <si>
    <t>AJUDANTE DE ESTRUTURA METÁLICA COM ENCARGOS COMPLEMENTARES</t>
  </si>
  <si>
    <t>MONTADOR DE ESTRUTURAS METÁLICAS COM ENCARGOS COMPLEMENTARES</t>
  </si>
  <si>
    <t>SOLDADOR COM ENCARGOS COMPLEMENTARES</t>
  </si>
  <si>
    <t>GUINDASTE HIDRÁULICO AUTOPROPELIDO, COM LANÇA TELESCÓPICA 40 M, CAPACIDADE MÁXIMA 60 T, POTÊNCIA 260 KW - CHP DIURNO. AF_03/2016</t>
  </si>
  <si>
    <t>GUINDASTE HIDRÁULICO AUTOPROPELIDO, COM LANÇA TELESCÓPICA 40 M, CAPACIDADE MÁXIMA 60 T, POTÊNCIA 260 KW - CHI DIURNO. AF_03/2016</t>
  </si>
  <si>
    <t>JATEAMENTO ABRASIVO COM GRANALHA DE AÇO EM PERFIL METÁLICO EM FÁBRICA. AF_01/2020</t>
  </si>
  <si>
    <t>PINTURA COM TINTA ALQUÍDICA DE FUNDO (TIPO ZARCÃO) PULVERIZADA SOBRE PERFIL METÁLICO EXECUTADO EM FÁBRICA (POR DEMÃO). AF_01/2020_PE</t>
  </si>
  <si>
    <t>ELETRODO REVESTIDO AWS - E7018, DIAMETRO IGUAL A 4,00 MM</t>
  </si>
  <si>
    <t>PILAR METÁLICO PERFIL LAMINADO OU SOLDADO EM AÇO ESTRUTURAL, COM CONEXÕES SOLDADAS, INCLUSOS MÃO DE OBRA, TRANSPORTE E IÇAMENTO UTILIZANDO GUINDASTE - FORNECIMENTO E INSTALAÇÃO.</t>
  </si>
  <si>
    <t xml:space="preserve">	CHAPA DE ACO GROSSA, ASTM A36, E = 1/2" (12,70 MM) 99,59 KG/M2</t>
  </si>
  <si>
    <t>COMPOSIÇÃO 10</t>
  </si>
  <si>
    <t>3.10</t>
  </si>
  <si>
    <t>EXECUÇÃO DE LONGARINA, PARA TIRANTES PERMANENTES, COM PERFIL METÁLICO, INCLUINDO CUNHA E SOLIDARIZAÇÃO. AF_11/2023</t>
  </si>
  <si>
    <t>EXECUÇÃO DE PROTEÇÃO DA CABEÇA DO TIRANTE COM USO DE FÔRMAS METÁLICAS, 50 UTILIZAÇÕES, E CONCRETO FCK =15 MPA. AF_11/2023</t>
  </si>
  <si>
    <t>ALVENARIA DE VEDAÇÃO DE BLOCOS CERÂMICOS FURADOS NA VERTICAL DE 14X19X29 CM (ESPESSURA 14 CM) E ARGAMASSA DE ASSENTAMENTO COM PREPARO EM BETONEIRA. AF_12/2021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</si>
  <si>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</si>
  <si>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LASTRO DE CONCRETO MAGRO, APLICADO EM BLOCOS DE COROAMENTO OU SAPATAS, ESPESSURA DE 5 CM. AF_01/2024</t>
  </si>
  <si>
    <t>ARMAÇÃO DE BLOCO UTILIZANDO AÇO CA-60 DE 5 MM - MONTAGEM. AF_01/2024</t>
  </si>
  <si>
    <t>ARMAÇÃO DE BLOCO UTILIZANDO AÇO CA-50 DE 8 MM - MONTAGEM. AF_01/2024</t>
  </si>
  <si>
    <t>CONCRETAGEM DE SAPATA, FCK 30 MPA, COM USO DE BOMBA - LANÇAMENTO, ADENSAMENTO E ACABAMENTO. AF_01/2024</t>
  </si>
  <si>
    <t>TRAMA DE MADEIRA COMPOSTA POR TERÇAS PARA TELHADOS DE ATÉ 2 ÁGUAS PARA TELHA ONDULADA DE FIBROCIMENTO, METÁLICA, PLÁSTICA OU TERMOACÚSTICA, INCLUSO TRANSPORTE VERTICAL. AF_10/2025</t>
  </si>
  <si>
    <t>TELHAMENTO COM TELHA DE AÇO/ALUMÍNIO E = 0,5 MM, COM ATÉ 2 ÁGUAS, INCLUSO IÇAMENTO. AF_07/2019</t>
  </si>
  <si>
    <t>ASSENTAMENTO DE GUIA (MEIO-FIO) EM TRECHO RETO, CONFECCIONADA EM CONCRETO PRÉ-FABRICADO, DIMENSÕES 100X15X13X30 CM (COMPRIMENTO X BASE INFERIOR X BASE SUPERIOR X ALTURA). AF_01/2024</t>
  </si>
  <si>
    <t>PLANTIO DE GRAMA ESMERALDA OU SÃO CARLOS OU CURITIBANA, EM PLACAS. AF_07/2024</t>
  </si>
  <si>
    <t>CHAPISCO APLICADO EM ALVENARIA (SEM PRESENÇA DE VÃOS) E ESTRUTURAS DE CONCRETO DE FACHADA, COM COLHER DE PEDREIRO. ARGAMASSA TRAÇO 1:3 COM PREPARO EM BETONEIRA 400L. AF_10/2022</t>
  </si>
  <si>
    <t>MASSA ACRILICA PARA SUPERFICIES INTERNAS E EXTERNAS</t>
  </si>
  <si>
    <t>kg</t>
  </si>
  <si>
    <t>FORRO EM PLACAS DE GESSO, PARA AMBIENTES RESIDENCIAIS. AF_08/2023_PS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</si>
  <si>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</si>
  <si>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</si>
  <si>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PORTA EM ALUMÍNIO DE ABRIR TIPO VENEZIANA COM GUARNIÇÃO, FIXAÇÃO COM PARAFUSOS - FORNECIMENTO E INSTALAÇÃO. AF_10/2025</t>
  </si>
  <si>
    <t>LUMINÁRIA TIPO PLAFON CIRCULAR, DE SOBREPOR, COM LED DE 12/13 W - FORNECIMENTO E INSTALAÇÃO. AF_09/2024</t>
  </si>
  <si>
    <t>REFLETOR SLIM LED 100W DE POTÊNCIA BRANCO FRIO, 6500K,  AUTOVOLT, MARCA G-LIGHT OU SIMILAR</t>
  </si>
  <si>
    <t>SENSOR DE PRESENÇA SEM FOTOCÉLULA, FIXAÇÃO EM TETO - FORNECIMENTO E INSTALAÇÃO. AF_09/2024</t>
  </si>
  <si>
    <t>SOLUÇÃO LIMPADORA PVC</t>
  </si>
  <si>
    <t>CORDOALHA DE COBRE NU 35 MM², NÃO ENTERRADA, COM ISOLADOR - FORNECIMENTO E INSTALAÇÃO. AF_08/2023</t>
  </si>
  <si>
    <t>HASTE DE ATERRAMENTO, DIÂMETRO 3/4", COM 3 METROS - FORNECIMENTO E INSTALAÇÃO. AF_08/2023</t>
  </si>
  <si>
    <t>RASGO LINEAR MANUAL EM ALVENARIA, PARA ELETRODUTOS, DIÂMETROS MENORES OU IGUAIS A 40 MM. AF_09/2023</t>
  </si>
  <si>
    <t>CONDULETE DE PVC, TIPO X, PARA ELETRODUTO DE PVC SOLDÁVEL DN 25 MM (3/4"), APARENTE - FORNECIMENTO E INSTALAÇÃO. AF_01/2026</t>
  </si>
  <si>
    <t>DISJUNTOR MONOPOLAR TIPO DIN, CORRENTE NOMINAL DE 16A - FORNECIMENTO E INSTALAÇÃO. AF_07/2025</t>
  </si>
  <si>
    <t>DISJUNTOR MONOPOLAR TIPO DIN, CORRENTE NOMINAL DE 20A - FORNECIMENTO E INSTALAÇÃO. AF_07/2025</t>
  </si>
  <si>
    <t>DISJUNTOR MONOPOLAR TIPO DIN, CORRENTE NOMINAL DE 40A - FORNECIMENTO E INSTALAÇÃO. AF_07/2025</t>
  </si>
  <si>
    <t>CABO ELETRÔNICO CATEGORIA 5E, INSTALADO EM EDIFICAÇÃO INSTITUCIONAL - FORNECIMENTO E INSTALAÇÃO. AF_08/2025</t>
  </si>
  <si>
    <t>ARANDELA DE SOBREPOR CORPO EM ALUMINIO, SOQUETE E-27, DIFUSOR EM VIDRO TEMPERADO FOSCO, COM DUAS LÂMPADAS ELETRÔNICAS COMPACTAS DE 20W COMPLETA</t>
  </si>
  <si>
    <t>C4828</t>
  </si>
  <si>
    <t>GUARDA-CORPO DE AÇO GALVANIZADO DE 1,10M, MONTANTES TUBULARES DE 1.1/4" ESPAÇADOS 1,20M, TRAVESSA SUPERIOR DE 1.1/2", GRADIL FORMADO POR TUBOS HORIZONTAIS DE 1" E VERTICAIS DE 3/4", FIXADO COM ADESIVO ESTRUTURAL EPOXI. AF_10/2025_PS</t>
  </si>
  <si>
    <t>ADAPTADOR COM FLANGE E ANEL DE VEDAÇÃO, PVC, SOLDÁVEL, DN 20 MM X 1/2", INSTALADO EM RESERVAÇÃO PREDIAL DE ÁGUA - FORNECIMENTO E INSTALAÇÃO. AF_04/2024</t>
  </si>
  <si>
    <t>ADAPTADOR COM FLANGE E ANEL DE VEDAÇÃO, PVC, SOLDÁVEL, DN 40 MM X 1 1/4", INSTALADO EM RESERVAÇÃO PREDIAL DE ÁGUA - FORNECIMENTO E INSTALAÇÃO. AF_04/2024</t>
  </si>
  <si>
    <t>ADAPTADOR COM FLANGE E ANEL DE VEDAÇÃO, PVC, SOLDÁVEL, DN 50 MM X 1 1/2", INSTALADO EM RESERVAÇÃO PREDIAL DE ÁGUA - FORNECIMENTO E INSTALAÇÃO. AF_04/2024</t>
  </si>
  <si>
    <t>ADAPTADOR COM FLANGE E ANEL DE VEDAÇÃO, PVC, SOLDÁVEL, DN 60 MM X 2", INSTALADO EM RESERVAÇÃO PREDIAL DE ÁGUA - FORNECIMENTO E INSTALAÇÃO. AF_04/2024</t>
  </si>
  <si>
    <t>BOMBA CENTRÍFUGA, MONOFÁSICA, 0,5 CV OU 0,49 HP, HM 6 A 20 M, Q 1,2 A 8,3 M3/H - FORNECIMENTO E INSTALAÇÃO. AF_11/2025_PS</t>
  </si>
  <si>
    <t>TUBO, PVC, SOLDÁVEL, DE 25MM, INSTALADO EM RESERVAÇÃO PREDIAL DE ÁGUA - FORNECIMENTO E INSTALAÇÃO. AF_04/2024</t>
  </si>
  <si>
    <t>TUBO, PVC, SOLDÁVEL, DE 40MM, INSTALADO EM RESERVAÇÃO PREDIAL DE ÁGUA - FORNECIMENTO E INSTALAÇÃO. AF_04/2024</t>
  </si>
  <si>
    <t>JOELHO 90 GRAUS COM BUCHA DE LATÃO, PVC, SOLDÁVEL, DN 25 MM X 3/4", INSTALADO EM RESERVAÇÃO PREDIAL DE ÁGUA - FORNECIMENTO E INSTALAÇÃO. AF_04/2024</t>
  </si>
  <si>
    <t>JOELHO 90 GRAUS, PVC, SOLDÁVEL, DN 40 MM INSTALADO EM RESERVAÇÃO PREDIAL DE ÁGUA - FORNECIMENTO E INSTALAÇÃO. AF_04/2024</t>
  </si>
  <si>
    <t>TÊ, PVC, SOLDÁVEL, DN 25 MM INSTALADO EM RESERVAÇÃO PREDIAL DE ÁGUA - FORNECIMENTO E INSTALAÇÃO. AF_04/2024</t>
  </si>
  <si>
    <t>TÊ, PVC, SOLDÁVEL, DN 40 MM INSTALADO EM RESERVAÇÃO PREDIAL DE ÁGUA - FORNECIMENTO E INSTALAÇÃO. AF_04/2024</t>
  </si>
  <si>
    <t>ADAPTADOR COM FLANGE E ANEL DE VEDAÇÃO, PVC, SOLDÁVEL, DN 25 MM X 3/4", INSTALADO EM RESERVAÇÃO PREDIAL DE ÁGUA - FORNECIMENTO E INSTALAÇÃO. AF_04/2024</t>
  </si>
  <si>
    <t>FABRICAÇÃO, MONTAGEM E DESMONTAGEM DE FÔRMA PARA VIGA BALDRAME, EM MADEIRA SERRADA, E=25 MM, 4 UTILIZAÇÕES. AF_01/2024</t>
  </si>
  <si>
    <t>PEÇA RETANGULAR PRÉ-MOLDADA, VOLUME DE CONCRETO DE 10 A 30 LITROS, TAXA DE AÇO APROXIMADA DE 30KG/M³. AF_03/2024</t>
  </si>
  <si>
    <t>PREPARO DE FUNDO DE VALA COM LARGURA MENOR QUE 1,5 M (ACERTO DO SOLO NATURAL), EM LOCAL COM NÍVEL BAIXO DE INTERFERÊNCIA. AF_01/2026</t>
  </si>
  <si>
    <t>ESCAVAÇÃO MANUAL DE VALA. AF_09/2024</t>
  </si>
  <si>
    <t>LASTRO DE CONCRETO MAGRO, APLICADO EM PISOS, LAJES SOBRE SOLO OU RADIERS, ESPESSURA DE 3 CM. AF_01/2024</t>
  </si>
  <si>
    <t>REATERRO MANUAL DE VALAS, COM COMPACTADOR DE SOLOS DE PERCUSSÃO. AF_08/2023</t>
  </si>
  <si>
    <t>IMPERMEABILIZAÇÃO DE SUPERFÍCIE COM ARGAMASSA POLIMÉRICA / MEMBRANA ACRÍLICA, 3 DEMÃOS. AF_09/2023</t>
  </si>
  <si>
    <t>CHAPIM DE CONCRETO PRÉ-MOLDADO</t>
  </si>
  <si>
    <t>% ACUMULADA</t>
  </si>
  <si>
    <t>I8685</t>
  </si>
  <si>
    <t>SEINFRA - I</t>
  </si>
  <si>
    <t>PERFIL METÁLICO "I" OU "H"</t>
  </si>
  <si>
    <t>CANTONEIRA EM AÇO (6 x 6 x 1/2")</t>
  </si>
  <si>
    <t>I8231</t>
  </si>
  <si>
    <t>COMPOSIÇÃO  09</t>
  </si>
  <si>
    <t>ATERRO MANUAL DE VALAS COM SOLO ARGILO-ARENOSO. AF_08/2023</t>
  </si>
  <si>
    <t xml:space="preserve"> - ÁREA A SER ATERRADA (LATERAIS DA BALDRAME QUE ESTA DESCOBERTA MAIS LATERAL DO PR[EDIO)</t>
  </si>
  <si>
    <t>IVONIC TAVARES DE OLIVEIRA CAMPOS NETO</t>
  </si>
  <si>
    <t>____________________________________________________________________________________</t>
  </si>
  <si>
    <t>ENGENHEIRO CIVIL - CREA-PE nº 181994931-1</t>
  </si>
  <si>
    <t>VALOR ACUMULADO</t>
  </si>
  <si>
    <t>CONTRATAÇÃO DE EMPRESA ESPECIALIZADA PARA EXECUÇÃO DOS SERVIÇOS REMANESCENTES E COMPLEMENTARES VISANDO À RETOMADA E CONCLUSÃO DA OBRA DE CONSTRUÇÃO DA UNIDADE BÁSICA DE SAÚDE – UBS MALVINAS</t>
  </si>
  <si>
    <t>UM MILHÃO, SETENTA E SETE MIL, OITOCENTOS E SETENTA E QUATRO REAIS E TRINTA CENTAVOS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</si>
</sst>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"/>
    <numFmt numFmtId="165" formatCode="_(* #,##0.00_);_(* \(#,##0.00\);_(* \-??_);_(@_)"/>
    <numFmt numFmtId="166" formatCode="0.000%"/>
    <numFmt numFmtId="167" formatCode="0.00000"/>
  </numFmts>
  <fonts count="61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8"/>
      <name val="Arial"/>
      <family val="1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1"/>
      <name val="Arial"/>
      <family val="2"/>
    </font>
    <font>
      <sz val="11"/>
      <name val="Arial"/>
      <family val="1"/>
    </font>
    <font>
      <sz val="11"/>
      <name val="Arial"/>
      <family val="2"/>
    </font>
    <font>
      <sz val="8"/>
      <color rgb="FF000000"/>
      <name val="Arial"/>
      <family val="1"/>
    </font>
    <font>
      <b/>
      <sz val="14"/>
      <name val="Arial"/>
      <family val="1"/>
    </font>
    <font>
      <sz val="14"/>
      <name val="Arial"/>
      <family val="1"/>
    </font>
    <font>
      <b/>
      <sz val="18"/>
      <name val="Arial"/>
      <family val="1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sz val="12"/>
      <name val="Arial"/>
      <family val="2"/>
    </font>
    <font>
      <b/>
      <sz val="12"/>
      <name val="Arial"/>
      <family val="2"/>
      <charset val="1"/>
    </font>
    <font>
      <b/>
      <sz val="12"/>
      <name val="Arial"/>
      <family val="1"/>
    </font>
    <font>
      <sz val="14"/>
      <name val="Arial"/>
      <family val="2"/>
    </font>
    <font>
      <sz val="16"/>
      <name val="Arial"/>
      <family val="2"/>
    </font>
    <font>
      <b/>
      <sz val="11"/>
      <color rgb="FF000000"/>
      <name val="Arial"/>
      <family val="1"/>
    </font>
    <font>
      <sz val="11"/>
      <color rgb="FF000000"/>
      <name val="Arial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8.5"/>
      <name val="Calibri"/>
      <family val="2"/>
    </font>
    <font>
      <b/>
      <sz val="8.5"/>
      <name val="Calibri"/>
      <family val="1"/>
    </font>
    <font>
      <b/>
      <sz val="7.5"/>
      <name val="Calibri"/>
      <family val="2"/>
    </font>
    <font>
      <b/>
      <sz val="7.5"/>
      <name val="Calibri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7.5"/>
      <name val="Calibri"/>
      <family val="2"/>
    </font>
    <font>
      <sz val="7.5"/>
      <name val="Calibri"/>
      <family val="1"/>
    </font>
    <font>
      <sz val="7.5"/>
      <color rgb="FF000000"/>
      <name val="Calibri"/>
      <family val="2"/>
    </font>
    <font>
      <sz val="7"/>
      <color rgb="FF000000"/>
      <name val="Times New Roman"/>
      <family val="2"/>
    </font>
    <font>
      <sz val="9"/>
      <color rgb="FF333333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u/>
      <sz val="11"/>
      <color theme="10"/>
      <name val="Arial"/>
      <family val="1"/>
    </font>
    <font>
      <sz val="11"/>
      <color theme="1"/>
      <name val="Arial"/>
      <family val="1"/>
    </font>
    <font>
      <sz val="10"/>
      <color rgb="FFFF0000"/>
      <name val="Arial"/>
      <family val="2"/>
    </font>
    <font>
      <b/>
      <sz val="12"/>
      <color rgb="FF000000"/>
      <name val="Arial"/>
      <family val="2"/>
    </font>
    <font>
      <sz val="8"/>
      <color rgb="FF21242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rgb="FFE6E0EC"/>
      </patternFill>
    </fill>
    <fill>
      <patternFill patternType="solid">
        <fgColor theme="4" tint="0.79998168889431442"/>
        <bgColor rgb="FFE6E0EC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BFBFBF"/>
      </patternFill>
    </fill>
    <fill>
      <patternFill patternType="solid">
        <fgColor theme="2"/>
        <bgColor indexed="64"/>
      </patternFill>
    </fill>
  </fills>
  <borders count="8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medium">
        <color theme="2"/>
      </bottom>
      <diagonal/>
    </border>
    <border>
      <left style="thin">
        <color theme="2"/>
      </left>
      <right style="medium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medium">
        <color theme="2"/>
      </right>
      <top style="thin">
        <color theme="2"/>
      </top>
      <bottom style="medium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rgb="FFCCCCCC"/>
      </right>
      <top style="medium">
        <color theme="2"/>
      </top>
      <bottom style="thin">
        <color rgb="FFCCCCCC"/>
      </bottom>
      <diagonal/>
    </border>
    <border>
      <left/>
      <right/>
      <top style="medium">
        <color theme="2"/>
      </top>
      <bottom style="thin">
        <color rgb="FFCCCCCC"/>
      </bottom>
      <diagonal/>
    </border>
    <border>
      <left style="thin">
        <color auto="1"/>
      </left>
      <right/>
      <top/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medium">
        <color theme="2"/>
      </right>
      <top style="thin">
        <color theme="2"/>
      </top>
      <bottom/>
      <diagonal/>
    </border>
    <border>
      <left style="thin">
        <color auto="1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medium">
        <color theme="2"/>
      </right>
      <top/>
      <bottom style="thin">
        <color theme="2"/>
      </bottom>
      <diagonal/>
    </border>
    <border>
      <left style="thin">
        <color theme="2"/>
      </left>
      <right style="medium">
        <color theme="2"/>
      </right>
      <top/>
      <bottom/>
      <diagonal/>
    </border>
    <border>
      <left/>
      <right/>
      <top style="thin">
        <color theme="2"/>
      </top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/>
      <right/>
      <top/>
      <bottom style="medium">
        <color theme="2"/>
      </bottom>
      <diagonal/>
    </border>
    <border>
      <left/>
      <right style="thin">
        <color theme="2"/>
      </right>
      <top/>
      <bottom style="medium">
        <color theme="2"/>
      </bottom>
      <diagonal/>
    </border>
    <border>
      <left style="thin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/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2"/>
      </right>
      <top style="medium">
        <color indexed="64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medium">
        <color indexed="64"/>
      </top>
      <bottom style="thin">
        <color theme="2"/>
      </bottom>
      <diagonal/>
    </border>
    <border>
      <left style="thin">
        <color theme="2"/>
      </left>
      <right style="medium">
        <color theme="2"/>
      </right>
      <top style="medium">
        <color indexed="64"/>
      </top>
      <bottom style="thin">
        <color theme="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medium">
        <color indexed="64"/>
      </left>
      <right/>
      <top style="thin">
        <color theme="2"/>
      </top>
      <bottom style="thin">
        <color theme="2"/>
      </bottom>
      <diagonal/>
    </border>
    <border>
      <left style="medium">
        <color indexed="64"/>
      </left>
      <right style="thin">
        <color theme="2"/>
      </right>
      <top style="thin">
        <color theme="2"/>
      </top>
      <bottom/>
      <diagonal/>
    </border>
    <border>
      <left style="medium">
        <color indexed="64"/>
      </left>
      <right style="thin">
        <color theme="2"/>
      </right>
      <top/>
      <bottom/>
      <diagonal/>
    </border>
    <border>
      <left style="medium">
        <color indexed="64"/>
      </left>
      <right style="thin">
        <color theme="2"/>
      </right>
      <top/>
      <bottom style="thin">
        <color theme="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theme="2"/>
      </top>
      <bottom/>
      <diagonal/>
    </border>
    <border>
      <left style="medium">
        <color indexed="64"/>
      </left>
      <right/>
      <top/>
      <bottom style="medium">
        <color theme="2"/>
      </bottom>
      <diagonal/>
    </border>
    <border>
      <left style="medium">
        <color indexed="64"/>
      </left>
      <right/>
      <top style="medium">
        <color theme="2"/>
      </top>
      <bottom style="thin">
        <color rgb="FFCCCCCC"/>
      </bottom>
      <diagonal/>
    </border>
  </borders>
  <cellStyleXfs count="7">
    <xf numFmtId="0" fontId="0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8" fillId="0" borderId="0"/>
    <xf numFmtId="0" fontId="1" fillId="17" borderId="0" applyNumberFormat="0" applyBorder="0" applyAlignment="0" applyProtection="0"/>
    <xf numFmtId="43" fontId="21" fillId="0" borderId="0" applyFont="0" applyFill="0" applyBorder="0" applyAlignment="0" applyProtection="0"/>
    <xf numFmtId="0" fontId="56" fillId="0" borderId="0" applyNumberFormat="0" applyFill="0" applyBorder="0" applyAlignment="0" applyProtection="0"/>
  </cellStyleXfs>
  <cellXfs count="698">
    <xf numFmtId="0" fontId="0" fillId="0" borderId="0" xfId="0"/>
    <xf numFmtId="0" fontId="14" fillId="5" borderId="0" xfId="0" applyFont="1" applyFill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6" fillId="9" borderId="4" xfId="0" applyFont="1" applyFill="1" applyBorder="1" applyAlignment="1">
      <alignment horizontal="left" vertical="top" wrapText="1"/>
    </xf>
    <xf numFmtId="0" fontId="7" fillId="9" borderId="5" xfId="0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1" fillId="10" borderId="9" xfId="0" applyFont="1" applyFill="1" applyBorder="1" applyAlignment="1">
      <alignment horizontal="right" vertical="top" wrapText="1"/>
    </xf>
    <xf numFmtId="0" fontId="0" fillId="10" borderId="0" xfId="0" applyFill="1"/>
    <xf numFmtId="0" fontId="9" fillId="0" borderId="1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right" vertical="top" wrapText="1"/>
    </xf>
    <xf numFmtId="0" fontId="10" fillId="0" borderId="11" xfId="0" applyFont="1" applyBorder="1" applyAlignment="1">
      <alignment horizontal="center" vertical="top" wrapText="1"/>
    </xf>
    <xf numFmtId="0" fontId="13" fillId="8" borderId="0" xfId="0" applyFont="1" applyFill="1" applyAlignment="1">
      <alignment horizontal="right" vertical="top" wrapText="1"/>
    </xf>
    <xf numFmtId="4" fontId="13" fillId="8" borderId="0" xfId="0" applyNumberFormat="1" applyFont="1" applyFill="1" applyAlignment="1">
      <alignment horizontal="right" vertical="top" wrapText="1"/>
    </xf>
    <xf numFmtId="4" fontId="18" fillId="8" borderId="0" xfId="0" applyNumberFormat="1" applyFont="1" applyFill="1" applyAlignment="1">
      <alignment horizontal="right" vertical="top" wrapText="1"/>
    </xf>
    <xf numFmtId="0" fontId="9" fillId="10" borderId="11" xfId="0" applyFont="1" applyFill="1" applyBorder="1" applyAlignment="1">
      <alignment horizontal="left" vertical="top" wrapText="1"/>
    </xf>
    <xf numFmtId="0" fontId="9" fillId="10" borderId="11" xfId="0" applyFont="1" applyFill="1" applyBorder="1" applyAlignment="1">
      <alignment horizontal="right" vertical="top" wrapText="1"/>
    </xf>
    <xf numFmtId="0" fontId="9" fillId="10" borderId="11" xfId="0" applyFont="1" applyFill="1" applyBorder="1" applyAlignment="1">
      <alignment horizontal="center" vertical="top" wrapText="1"/>
    </xf>
    <xf numFmtId="0" fontId="20" fillId="10" borderId="0" xfId="0" applyFont="1" applyFill="1"/>
    <xf numFmtId="0" fontId="14" fillId="5" borderId="0" xfId="0" applyFont="1" applyFill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9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164" fontId="18" fillId="8" borderId="0" xfId="0" applyNumberFormat="1" applyFont="1" applyFill="1" applyAlignment="1">
      <alignment horizontal="right" vertical="top" wrapText="1"/>
    </xf>
    <xf numFmtId="164" fontId="0" fillId="0" borderId="0" xfId="0" applyNumberFormat="1"/>
    <xf numFmtId="0" fontId="20" fillId="0" borderId="0" xfId="0" applyFont="1"/>
    <xf numFmtId="0" fontId="3" fillId="0" borderId="1" xfId="0" applyFont="1" applyBorder="1" applyAlignment="1">
      <alignment horizontal="center" vertical="top" wrapText="1"/>
    </xf>
    <xf numFmtId="0" fontId="9" fillId="10" borderId="7" xfId="0" applyFont="1" applyFill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44" fontId="12" fillId="0" borderId="11" xfId="1" applyFont="1" applyFill="1" applyBorder="1" applyAlignment="1">
      <alignment horizontal="right" vertical="top" wrapText="1"/>
    </xf>
    <xf numFmtId="44" fontId="0" fillId="0" borderId="0" xfId="1" applyFont="1"/>
    <xf numFmtId="44" fontId="12" fillId="10" borderId="11" xfId="1" applyFont="1" applyFill="1" applyBorder="1" applyAlignment="1">
      <alignment horizontal="right" vertical="top" wrapText="1"/>
    </xf>
    <xf numFmtId="0" fontId="20" fillId="9" borderId="0" xfId="0" applyFont="1" applyFill="1"/>
    <xf numFmtId="44" fontId="0" fillId="0" borderId="0" xfId="0" applyNumberFormat="1"/>
    <xf numFmtId="0" fontId="9" fillId="0" borderId="11" xfId="0" applyFont="1" applyBorder="1" applyAlignment="1">
      <alignment horizontal="right" vertical="top" wrapText="1"/>
    </xf>
    <xf numFmtId="2" fontId="0" fillId="0" borderId="0" xfId="0" applyNumberFormat="1"/>
    <xf numFmtId="2" fontId="2" fillId="0" borderId="3" xfId="1" applyNumberFormat="1" applyFont="1" applyFill="1" applyBorder="1" applyAlignment="1">
      <alignment horizontal="center" vertical="top" wrapText="1"/>
    </xf>
    <xf numFmtId="2" fontId="2" fillId="0" borderId="3" xfId="1" applyNumberFormat="1" applyFont="1" applyFill="1" applyBorder="1" applyAlignment="1">
      <alignment horizontal="right" vertical="top" wrapText="1"/>
    </xf>
    <xf numFmtId="2" fontId="6" fillId="9" borderId="4" xfId="1" applyNumberFormat="1" applyFont="1" applyFill="1" applyBorder="1" applyAlignment="1">
      <alignment horizontal="left" vertical="top" wrapText="1"/>
    </xf>
    <xf numFmtId="2" fontId="6" fillId="9" borderId="11" xfId="1" applyNumberFormat="1" applyFont="1" applyFill="1" applyBorder="1" applyAlignment="1">
      <alignment horizontal="left" vertical="top" wrapText="1"/>
    </xf>
    <xf numFmtId="2" fontId="8" fillId="9" borderId="6" xfId="1" applyNumberFormat="1" applyFont="1" applyFill="1" applyBorder="1" applyAlignment="1">
      <alignment horizontal="right" vertical="top" wrapText="1"/>
    </xf>
    <xf numFmtId="2" fontId="12" fillId="0" borderId="10" xfId="1" applyNumberFormat="1" applyFont="1" applyFill="1" applyBorder="1" applyAlignment="1">
      <alignment horizontal="right" vertical="top" wrapText="1"/>
    </xf>
    <xf numFmtId="2" fontId="12" fillId="0" borderId="11" xfId="1" applyNumberFormat="1" applyFont="1" applyFill="1" applyBorder="1" applyAlignment="1">
      <alignment horizontal="right" vertical="top" wrapText="1"/>
    </xf>
    <xf numFmtId="2" fontId="9" fillId="0" borderId="11" xfId="1" applyNumberFormat="1" applyFont="1" applyFill="1" applyBorder="1" applyAlignment="1">
      <alignment horizontal="right" vertical="top" wrapText="1"/>
    </xf>
    <xf numFmtId="2" fontId="19" fillId="10" borderId="11" xfId="1" applyNumberFormat="1" applyFont="1" applyFill="1" applyBorder="1" applyAlignment="1">
      <alignment horizontal="right" vertical="top" wrapText="1"/>
    </xf>
    <xf numFmtId="2" fontId="19" fillId="9" borderId="10" xfId="1" applyNumberFormat="1" applyFont="1" applyFill="1" applyBorder="1" applyAlignment="1">
      <alignment horizontal="right" vertical="top" wrapText="1"/>
    </xf>
    <xf numFmtId="2" fontId="19" fillId="9" borderId="11" xfId="1" applyNumberFormat="1" applyFont="1" applyFill="1" applyBorder="1" applyAlignment="1">
      <alignment horizontal="right" vertical="top" wrapText="1"/>
    </xf>
    <xf numFmtId="2" fontId="12" fillId="9" borderId="11" xfId="1" applyNumberFormat="1" applyFont="1" applyFill="1" applyBorder="1" applyAlignment="1">
      <alignment horizontal="right" vertical="top" wrapText="1"/>
    </xf>
    <xf numFmtId="2" fontId="12" fillId="10" borderId="11" xfId="1" applyNumberFormat="1" applyFont="1" applyFill="1" applyBorder="1" applyAlignment="1">
      <alignment horizontal="right" vertical="top" wrapText="1"/>
    </xf>
    <xf numFmtId="0" fontId="23" fillId="0" borderId="11" xfId="0" applyFont="1" applyBorder="1" applyAlignment="1">
      <alignment horizontal="right" vertical="top" wrapText="1"/>
    </xf>
    <xf numFmtId="2" fontId="19" fillId="0" borderId="11" xfId="1" applyNumberFormat="1" applyFont="1" applyFill="1" applyBorder="1" applyAlignment="1">
      <alignment horizontal="right" vertical="top" wrapText="1"/>
    </xf>
    <xf numFmtId="2" fontId="12" fillId="10" borderId="10" xfId="1" applyNumberFormat="1" applyFont="1" applyFill="1" applyBorder="1" applyAlignment="1">
      <alignment horizontal="right" vertical="top" wrapText="1"/>
    </xf>
    <xf numFmtId="0" fontId="11" fillId="10" borderId="9" xfId="0" applyFont="1" applyFill="1" applyBorder="1" applyAlignment="1">
      <alignment horizontal="center" vertical="top" wrapText="1"/>
    </xf>
    <xf numFmtId="0" fontId="6" fillId="12" borderId="4" xfId="0" applyFont="1" applyFill="1" applyBorder="1" applyAlignment="1">
      <alignment horizontal="left" vertical="top" wrapText="1"/>
    </xf>
    <xf numFmtId="0" fontId="6" fillId="12" borderId="4" xfId="0" applyFont="1" applyFill="1" applyBorder="1" applyAlignment="1">
      <alignment horizontal="center" vertical="top" wrapText="1"/>
    </xf>
    <xf numFmtId="0" fontId="7" fillId="12" borderId="5" xfId="0" applyFont="1" applyFill="1" applyBorder="1" applyAlignment="1">
      <alignment horizontal="right" vertical="top" wrapText="1"/>
    </xf>
    <xf numFmtId="2" fontId="6" fillId="12" borderId="4" xfId="1" applyNumberFormat="1" applyFont="1" applyFill="1" applyBorder="1" applyAlignment="1">
      <alignment horizontal="left" vertical="top" wrapText="1"/>
    </xf>
    <xf numFmtId="2" fontId="6" fillId="12" borderId="11" xfId="1" applyNumberFormat="1" applyFont="1" applyFill="1" applyBorder="1" applyAlignment="1">
      <alignment horizontal="left" vertical="top" wrapText="1"/>
    </xf>
    <xf numFmtId="2" fontId="8" fillId="12" borderId="6" xfId="1" applyNumberFormat="1" applyFont="1" applyFill="1" applyBorder="1" applyAlignment="1">
      <alignment horizontal="right" vertical="top" wrapText="1"/>
    </xf>
    <xf numFmtId="0" fontId="0" fillId="12" borderId="0" xfId="0" applyFill="1"/>
    <xf numFmtId="2" fontId="19" fillId="12" borderId="6" xfId="1" applyNumberFormat="1" applyFont="1" applyFill="1" applyBorder="1" applyAlignment="1">
      <alignment horizontal="right" vertical="top" wrapText="1"/>
    </xf>
    <xf numFmtId="44" fontId="12" fillId="10" borderId="10" xfId="1" applyFont="1" applyFill="1" applyBorder="1" applyAlignment="1">
      <alignment horizontal="right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2" fontId="20" fillId="0" borderId="0" xfId="0" applyNumberFormat="1" applyFont="1"/>
    <xf numFmtId="2" fontId="19" fillId="9" borderId="6" xfId="1" applyNumberFormat="1" applyFont="1" applyFill="1" applyBorder="1" applyAlignment="1">
      <alignment horizontal="right" vertical="top" wrapText="1"/>
    </xf>
    <xf numFmtId="2" fontId="20" fillId="0" borderId="11" xfId="1" applyNumberFormat="1" applyFont="1" applyFill="1" applyBorder="1" applyAlignment="1">
      <alignment horizontal="right" vertical="top" wrapText="1"/>
    </xf>
    <xf numFmtId="0" fontId="14" fillId="5" borderId="15" xfId="0" applyFont="1" applyFill="1" applyBorder="1" applyAlignment="1">
      <alignment vertical="top" wrapText="1"/>
    </xf>
    <xf numFmtId="0" fontId="26" fillId="5" borderId="0" xfId="0" applyFont="1" applyFill="1" applyAlignment="1">
      <alignment vertical="center" wrapText="1"/>
    </xf>
    <xf numFmtId="2" fontId="19" fillId="9" borderId="16" xfId="1" applyNumberFormat="1" applyFont="1" applyFill="1" applyBorder="1" applyAlignment="1">
      <alignment horizontal="right" vertical="top" wrapText="1"/>
    </xf>
    <xf numFmtId="0" fontId="14" fillId="5" borderId="0" xfId="0" applyFont="1" applyFill="1" applyAlignment="1">
      <alignment vertical="top" wrapText="1"/>
    </xf>
    <xf numFmtId="0" fontId="30" fillId="0" borderId="0" xfId="3" applyFont="1"/>
    <xf numFmtId="0" fontId="9" fillId="0" borderId="12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right" vertical="top" wrapText="1"/>
    </xf>
    <xf numFmtId="0" fontId="9" fillId="0" borderId="13" xfId="0" applyFont="1" applyBorder="1" applyAlignment="1">
      <alignment horizontal="left" vertical="top" wrapText="1"/>
    </xf>
    <xf numFmtId="2" fontId="9" fillId="0" borderId="13" xfId="1" applyNumberFormat="1" applyFont="1" applyFill="1" applyBorder="1" applyAlignment="1">
      <alignment horizontal="right" vertical="top" wrapText="1"/>
    </xf>
    <xf numFmtId="2" fontId="12" fillId="0" borderId="13" xfId="1" applyNumberFormat="1" applyFont="1" applyFill="1" applyBorder="1" applyAlignment="1">
      <alignment horizontal="right" vertical="top" wrapText="1"/>
    </xf>
    <xf numFmtId="2" fontId="9" fillId="10" borderId="11" xfId="1" applyNumberFormat="1" applyFont="1" applyFill="1" applyBorder="1" applyAlignment="1">
      <alignment horizontal="right" vertical="top" wrapText="1"/>
    </xf>
    <xf numFmtId="0" fontId="18" fillId="0" borderId="0" xfId="3" applyFont="1"/>
    <xf numFmtId="44" fontId="20" fillId="0" borderId="0" xfId="1" applyFont="1"/>
    <xf numFmtId="44" fontId="18" fillId="0" borderId="0" xfId="1" applyFont="1"/>
    <xf numFmtId="43" fontId="0" fillId="0" borderId="0" xfId="0" applyNumberFormat="1"/>
    <xf numFmtId="44" fontId="20" fillId="9" borderId="0" xfId="1" applyFont="1" applyFill="1"/>
    <xf numFmtId="44" fontId="0" fillId="12" borderId="0" xfId="1" applyFont="1" applyFill="1"/>
    <xf numFmtId="44" fontId="22" fillId="12" borderId="0" xfId="1" applyFont="1" applyFill="1"/>
    <xf numFmtId="0" fontId="22" fillId="12" borderId="0" xfId="0" applyFont="1" applyFill="1"/>
    <xf numFmtId="43" fontId="0" fillId="12" borderId="0" xfId="0" applyNumberFormat="1" applyFill="1"/>
    <xf numFmtId="0" fontId="27" fillId="0" borderId="24" xfId="3" applyFont="1" applyBorder="1"/>
    <xf numFmtId="0" fontId="31" fillId="0" borderId="15" xfId="3" applyFont="1" applyBorder="1" applyAlignment="1">
      <alignment horizontal="center"/>
    </xf>
    <xf numFmtId="44" fontId="27" fillId="0" borderId="15" xfId="1" applyFont="1" applyBorder="1" applyAlignment="1">
      <alignment horizontal="right"/>
    </xf>
    <xf numFmtId="0" fontId="31" fillId="0" borderId="15" xfId="3" applyFont="1" applyBorder="1"/>
    <xf numFmtId="0" fontId="31" fillId="0" borderId="28" xfId="3" applyFont="1" applyBorder="1"/>
    <xf numFmtId="0" fontId="27" fillId="0" borderId="24" xfId="3" applyFont="1" applyBorder="1" applyAlignment="1">
      <alignment horizontal="center"/>
    </xf>
    <xf numFmtId="10" fontId="31" fillId="0" borderId="15" xfId="3" applyNumberFormat="1" applyFont="1" applyBorder="1"/>
    <xf numFmtId="44" fontId="27" fillId="0" borderId="15" xfId="1" applyFont="1" applyFill="1" applyBorder="1"/>
    <xf numFmtId="165" fontId="31" fillId="0" borderId="15" xfId="3" applyNumberFormat="1" applyFont="1" applyBorder="1"/>
    <xf numFmtId="9" fontId="31" fillId="0" borderId="15" xfId="3" applyNumberFormat="1" applyFont="1" applyBorder="1"/>
    <xf numFmtId="0" fontId="27" fillId="0" borderId="0" xfId="3" applyFont="1"/>
    <xf numFmtId="0" fontId="31" fillId="0" borderId="0" xfId="3" applyFont="1"/>
    <xf numFmtId="44" fontId="27" fillId="0" borderId="0" xfId="1" applyFont="1"/>
    <xf numFmtId="44" fontId="27" fillId="0" borderId="26" xfId="1" applyFont="1" applyFill="1" applyBorder="1"/>
    <xf numFmtId="44" fontId="27" fillId="0" borderId="29" xfId="1" applyFont="1" applyFill="1" applyBorder="1"/>
    <xf numFmtId="44" fontId="27" fillId="0" borderId="21" xfId="1" applyFont="1" applyFill="1" applyBorder="1"/>
    <xf numFmtId="16" fontId="0" fillId="0" borderId="0" xfId="0" applyNumberFormat="1"/>
    <xf numFmtId="10" fontId="0" fillId="0" borderId="0" xfId="2" applyNumberFormat="1" applyFont="1"/>
    <xf numFmtId="0" fontId="29" fillId="0" borderId="0" xfId="3" applyFont="1" applyAlignment="1">
      <alignment horizontal="center" vertical="center"/>
    </xf>
    <xf numFmtId="0" fontId="18" fillId="13" borderId="0" xfId="3" applyFont="1" applyFill="1" applyAlignment="1">
      <alignment horizontal="center"/>
    </xf>
    <xf numFmtId="0" fontId="31" fillId="12" borderId="0" xfId="3" applyFont="1" applyFill="1"/>
    <xf numFmtId="10" fontId="31" fillId="12" borderId="0" xfId="2" applyNumberFormat="1" applyFont="1" applyFill="1" applyBorder="1"/>
    <xf numFmtId="44" fontId="27" fillId="0" borderId="0" xfId="1" applyFont="1" applyFill="1" applyBorder="1"/>
    <xf numFmtId="9" fontId="31" fillId="12" borderId="0" xfId="3" applyNumberFormat="1" applyFont="1" applyFill="1"/>
    <xf numFmtId="165" fontId="31" fillId="0" borderId="0" xfId="3" applyNumberFormat="1" applyFont="1"/>
    <xf numFmtId="10" fontId="31" fillId="12" borderId="0" xfId="3" applyNumberFormat="1" applyFont="1" applyFill="1"/>
    <xf numFmtId="10" fontId="0" fillId="0" borderId="0" xfId="0" applyNumberFormat="1"/>
    <xf numFmtId="10" fontId="31" fillId="0" borderId="15" xfId="2" applyNumberFormat="1" applyFont="1" applyFill="1" applyBorder="1"/>
    <xf numFmtId="0" fontId="31" fillId="0" borderId="15" xfId="0" applyFont="1" applyBorder="1"/>
    <xf numFmtId="10" fontId="27" fillId="0" borderId="26" xfId="3" applyNumberFormat="1" applyFont="1" applyBorder="1"/>
    <xf numFmtId="10" fontId="30" fillId="0" borderId="0" xfId="3" applyNumberFormat="1" applyFont="1"/>
    <xf numFmtId="10" fontId="31" fillId="0" borderId="0" xfId="3" applyNumberFormat="1" applyFont="1"/>
    <xf numFmtId="2" fontId="11" fillId="0" borderId="11" xfId="0" applyNumberFormat="1" applyFont="1" applyBorder="1" applyAlignment="1">
      <alignment horizontal="right" vertical="top" wrapText="1"/>
    </xf>
    <xf numFmtId="0" fontId="11" fillId="0" borderId="13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right" vertical="top" wrapText="1"/>
    </xf>
    <xf numFmtId="0" fontId="10" fillId="0" borderId="13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right" vertical="top" wrapText="1"/>
    </xf>
    <xf numFmtId="2" fontId="19" fillId="0" borderId="14" xfId="1" applyNumberFormat="1" applyFont="1" applyFill="1" applyBorder="1" applyAlignment="1">
      <alignment horizontal="right" vertical="top" wrapText="1"/>
    </xf>
    <xf numFmtId="49" fontId="27" fillId="10" borderId="15" xfId="3" applyNumberFormat="1" applyFont="1" applyFill="1" applyBorder="1"/>
    <xf numFmtId="0" fontId="27" fillId="10" borderId="15" xfId="3" applyFont="1" applyFill="1" applyBorder="1"/>
    <xf numFmtId="44" fontId="27" fillId="10" borderId="15" xfId="1" applyFont="1" applyFill="1" applyBorder="1"/>
    <xf numFmtId="0" fontId="18" fillId="14" borderId="22" xfId="3" applyFont="1" applyFill="1" applyBorder="1" applyAlignment="1">
      <alignment horizontal="center"/>
    </xf>
    <xf numFmtId="0" fontId="18" fillId="14" borderId="23" xfId="3" applyFont="1" applyFill="1" applyBorder="1" applyAlignment="1">
      <alignment horizontal="center"/>
    </xf>
    <xf numFmtId="44" fontId="18" fillId="14" borderId="23" xfId="1" applyFont="1" applyFill="1" applyBorder="1" applyAlignment="1">
      <alignment horizontal="right"/>
    </xf>
    <xf numFmtId="10" fontId="18" fillId="14" borderId="23" xfId="3" applyNumberFormat="1" applyFont="1" applyFill="1" applyBorder="1" applyAlignment="1">
      <alignment horizontal="center"/>
    </xf>
    <xf numFmtId="44" fontId="27" fillId="14" borderId="25" xfId="1" applyFont="1" applyFill="1" applyBorder="1"/>
    <xf numFmtId="0" fontId="0" fillId="16" borderId="0" xfId="0" applyFill="1"/>
    <xf numFmtId="44" fontId="0" fillId="16" borderId="0" xfId="1" applyFont="1" applyFill="1"/>
    <xf numFmtId="4" fontId="20" fillId="10" borderId="0" xfId="0" applyNumberFormat="1" applyFont="1" applyFill="1"/>
    <xf numFmtId="0" fontId="9" fillId="10" borderId="9" xfId="0" applyFont="1" applyFill="1" applyBorder="1" applyAlignment="1">
      <alignment horizontal="left" vertical="top" wrapText="1"/>
    </xf>
    <xf numFmtId="0" fontId="9" fillId="10" borderId="8" xfId="0" applyFont="1" applyFill="1" applyBorder="1" applyAlignment="1">
      <alignment horizontal="center" vertical="top" wrapText="1"/>
    </xf>
    <xf numFmtId="2" fontId="9" fillId="0" borderId="11" xfId="0" applyNumberFormat="1" applyFont="1" applyBorder="1" applyAlignment="1">
      <alignment horizontal="right" vertical="top" wrapText="1"/>
    </xf>
    <xf numFmtId="2" fontId="9" fillId="0" borderId="13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wrapText="1"/>
    </xf>
    <xf numFmtId="2" fontId="11" fillId="0" borderId="13" xfId="0" applyNumberFormat="1" applyFont="1" applyBorder="1" applyAlignment="1">
      <alignment horizontal="right" vertical="top" wrapText="1"/>
    </xf>
    <xf numFmtId="44" fontId="12" fillId="0" borderId="13" xfId="1" applyFont="1" applyFill="1" applyBorder="1" applyAlignment="1">
      <alignment horizontal="right" vertical="top" wrapText="1"/>
    </xf>
    <xf numFmtId="0" fontId="11" fillId="0" borderId="12" xfId="0" applyFont="1" applyBorder="1" applyAlignment="1">
      <alignment horizontal="center" vertical="top" wrapText="1"/>
    </xf>
    <xf numFmtId="2" fontId="40" fillId="0" borderId="14" xfId="1" applyNumberFormat="1" applyFont="1" applyFill="1" applyBorder="1" applyAlignment="1">
      <alignment horizontal="right" vertical="top" wrapText="1"/>
    </xf>
    <xf numFmtId="2" fontId="11" fillId="0" borderId="13" xfId="0" applyNumberFormat="1" applyFont="1" applyBorder="1" applyAlignment="1">
      <alignment horizontal="center" vertical="top" wrapText="1"/>
    </xf>
    <xf numFmtId="0" fontId="9" fillId="0" borderId="12" xfId="0" applyFont="1" applyBorder="1" applyAlignment="1">
      <alignment vertical="top" wrapText="1"/>
    </xf>
    <xf numFmtId="0" fontId="9" fillId="0" borderId="13" xfId="0" applyFont="1" applyBorder="1" applyAlignment="1">
      <alignment vertical="top" wrapText="1"/>
    </xf>
    <xf numFmtId="2" fontId="9" fillId="0" borderId="13" xfId="0" applyNumberFormat="1" applyFont="1" applyBorder="1" applyAlignment="1">
      <alignment vertical="top" wrapText="1"/>
    </xf>
    <xf numFmtId="2" fontId="19" fillId="0" borderId="14" xfId="0" applyNumberFormat="1" applyFont="1" applyBorder="1" applyAlignment="1">
      <alignment vertical="top" wrapText="1"/>
    </xf>
    <xf numFmtId="10" fontId="14" fillId="5" borderId="15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43" fillId="0" borderId="30" xfId="0" applyFont="1" applyBorder="1" applyAlignment="1">
      <alignment horizontal="center" vertical="top" wrapText="1"/>
    </xf>
    <xf numFmtId="0" fontId="46" fillId="0" borderId="15" xfId="0" applyFont="1" applyBorder="1" applyAlignment="1">
      <alignment horizontal="center" vertical="top"/>
    </xf>
    <xf numFmtId="0" fontId="0" fillId="0" borderId="15" xfId="0" applyBorder="1" applyAlignment="1">
      <alignment horizontal="left" vertical="top"/>
    </xf>
    <xf numFmtId="0" fontId="43" fillId="0" borderId="33" xfId="0" applyFont="1" applyBorder="1" applyAlignment="1">
      <alignment horizontal="center" vertical="top" wrapText="1"/>
    </xf>
    <xf numFmtId="0" fontId="43" fillId="0" borderId="33" xfId="0" applyFont="1" applyBorder="1" applyAlignment="1">
      <alignment horizontal="left" vertical="top" wrapText="1" indent="7"/>
    </xf>
    <xf numFmtId="10" fontId="0" fillId="0" borderId="15" xfId="2" applyNumberFormat="1" applyFont="1" applyFill="1" applyBorder="1" applyAlignment="1">
      <alignment horizontal="left" vertical="top"/>
    </xf>
    <xf numFmtId="0" fontId="47" fillId="0" borderId="34" xfId="0" applyFont="1" applyBorder="1" applyAlignment="1">
      <alignment horizontal="center" vertical="top" wrapText="1"/>
    </xf>
    <xf numFmtId="0" fontId="47" fillId="0" borderId="35" xfId="0" applyFont="1" applyBorder="1" applyAlignment="1">
      <alignment horizontal="left" vertical="top" wrapText="1"/>
    </xf>
    <xf numFmtId="10" fontId="49" fillId="0" borderId="36" xfId="2" applyNumberFormat="1" applyFont="1" applyBorder="1" applyAlignment="1">
      <alignment horizontal="left" vertical="top" indent="2" shrinkToFit="1"/>
    </xf>
    <xf numFmtId="0" fontId="47" fillId="0" borderId="37" xfId="0" applyFont="1" applyBorder="1" applyAlignment="1">
      <alignment horizontal="center" vertical="top" wrapText="1"/>
    </xf>
    <xf numFmtId="0" fontId="47" fillId="0" borderId="38" xfId="0" applyFont="1" applyBorder="1" applyAlignment="1">
      <alignment horizontal="left" vertical="top" wrapText="1"/>
    </xf>
    <xf numFmtId="0" fontId="45" fillId="0" borderId="15" xfId="0" applyFont="1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39" xfId="0" applyBorder="1" applyAlignment="1">
      <alignment horizontal="left" wrapText="1"/>
    </xf>
    <xf numFmtId="0" fontId="0" fillId="0" borderId="40" xfId="0" applyBorder="1" applyAlignment="1">
      <alignment horizontal="left" wrapText="1"/>
    </xf>
    <xf numFmtId="0" fontId="0" fillId="0" borderId="33" xfId="0" applyBorder="1" applyAlignment="1">
      <alignment horizontal="left" wrapText="1"/>
    </xf>
    <xf numFmtId="0" fontId="45" fillId="0" borderId="0" xfId="0" applyFont="1" applyAlignment="1">
      <alignment horizontal="left" vertical="top"/>
    </xf>
    <xf numFmtId="10" fontId="49" fillId="0" borderId="33" xfId="2" applyNumberFormat="1" applyFont="1" applyBorder="1" applyAlignment="1">
      <alignment horizontal="left" vertical="top" indent="2" shrinkToFit="1"/>
    </xf>
    <xf numFmtId="10" fontId="0" fillId="0" borderId="0" xfId="2" applyNumberFormat="1" applyFont="1" applyFill="1" applyBorder="1" applyAlignment="1">
      <alignment horizontal="left" vertical="top"/>
    </xf>
    <xf numFmtId="10" fontId="49" fillId="0" borderId="41" xfId="2" applyNumberFormat="1" applyFont="1" applyBorder="1" applyAlignment="1">
      <alignment horizontal="left" vertical="top" indent="2" shrinkToFit="1"/>
    </xf>
    <xf numFmtId="10" fontId="49" fillId="0" borderId="42" xfId="2" applyNumberFormat="1" applyFont="1" applyBorder="1" applyAlignment="1">
      <alignment horizontal="left" vertical="top" indent="2" shrinkToFit="1"/>
    </xf>
    <xf numFmtId="10" fontId="50" fillId="0" borderId="33" xfId="0" applyNumberFormat="1" applyFont="1" applyBorder="1" applyAlignment="1">
      <alignment horizontal="left" vertical="top" indent="4" shrinkToFit="1"/>
    </xf>
    <xf numFmtId="10" fontId="20" fillId="0" borderId="44" xfId="2" applyNumberFormat="1" applyFont="1" applyBorder="1"/>
    <xf numFmtId="10" fontId="20" fillId="0" borderId="26" xfId="2" applyNumberFormat="1" applyFont="1" applyBorder="1"/>
    <xf numFmtId="10" fontId="20" fillId="0" borderId="43" xfId="2" applyNumberFormat="1" applyFont="1" applyBorder="1"/>
    <xf numFmtId="44" fontId="20" fillId="0" borderId="44" xfId="0" applyNumberFormat="1" applyFont="1" applyBorder="1"/>
    <xf numFmtId="44" fontId="20" fillId="0" borderId="26" xfId="0" applyNumberFormat="1" applyFont="1" applyBorder="1"/>
    <xf numFmtId="44" fontId="20" fillId="0" borderId="43" xfId="0" applyNumberFormat="1" applyFont="1" applyBorder="1"/>
    <xf numFmtId="10" fontId="14" fillId="5" borderId="15" xfId="0" applyNumberFormat="1" applyFont="1" applyFill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top" wrapText="1"/>
    </xf>
    <xf numFmtId="0" fontId="5" fillId="0" borderId="46" xfId="0" applyFont="1" applyBorder="1" applyAlignment="1">
      <alignment horizontal="center" vertical="top" wrapText="1"/>
    </xf>
    <xf numFmtId="0" fontId="3" fillId="0" borderId="46" xfId="0" applyFont="1" applyBorder="1" applyAlignment="1">
      <alignment horizontal="center" vertical="top" wrapText="1"/>
    </xf>
    <xf numFmtId="0" fontId="2" fillId="0" borderId="46" xfId="0" applyFont="1" applyBorder="1" applyAlignment="1">
      <alignment horizontal="center" vertical="top" wrapText="1"/>
    </xf>
    <xf numFmtId="44" fontId="2" fillId="0" borderId="46" xfId="1" applyFont="1" applyFill="1" applyBorder="1" applyAlignment="1">
      <alignment horizontal="right" vertical="top" wrapText="1"/>
    </xf>
    <xf numFmtId="0" fontId="0" fillId="0" borderId="48" xfId="0" applyBorder="1"/>
    <xf numFmtId="0" fontId="14" fillId="5" borderId="48" xfId="0" applyFont="1" applyFill="1" applyBorder="1" applyAlignment="1">
      <alignment horizontal="left" vertical="top" wrapText="1"/>
    </xf>
    <xf numFmtId="10" fontId="14" fillId="5" borderId="48" xfId="0" applyNumberFormat="1" applyFont="1" applyFill="1" applyBorder="1" applyAlignment="1">
      <alignment horizontal="center" vertical="top" wrapText="1"/>
    </xf>
    <xf numFmtId="0" fontId="14" fillId="5" borderId="48" xfId="0" applyFont="1" applyFill="1" applyBorder="1" applyAlignment="1">
      <alignment horizontal="center" vertical="top" wrapText="1"/>
    </xf>
    <xf numFmtId="44" fontId="2" fillId="0" borderId="48" xfId="1" applyFont="1" applyFill="1" applyBorder="1" applyAlignment="1">
      <alignment horizontal="right" vertical="top" wrapText="1"/>
    </xf>
    <xf numFmtId="0" fontId="14" fillId="0" borderId="46" xfId="0" applyFont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right" vertical="top" wrapText="1"/>
    </xf>
    <xf numFmtId="0" fontId="14" fillId="5" borderId="19" xfId="0" applyFont="1" applyFill="1" applyBorder="1" applyAlignment="1">
      <alignment horizontal="right" vertical="top" wrapText="1"/>
    </xf>
    <xf numFmtId="0" fontId="14" fillId="5" borderId="15" xfId="0" applyFont="1" applyFill="1" applyBorder="1" applyAlignment="1">
      <alignment horizontal="center" vertical="center" wrapText="1"/>
    </xf>
    <xf numFmtId="0" fontId="14" fillId="5" borderId="15" xfId="0" applyFont="1" applyFill="1" applyBorder="1" applyAlignment="1">
      <alignment vertical="center" wrapText="1"/>
    </xf>
    <xf numFmtId="0" fontId="14" fillId="5" borderId="45" xfId="0" applyFont="1" applyFill="1" applyBorder="1" applyAlignment="1">
      <alignment vertical="top" wrapText="1"/>
    </xf>
    <xf numFmtId="0" fontId="14" fillId="5" borderId="15" xfId="0" applyFont="1" applyFill="1" applyBorder="1" applyAlignment="1">
      <alignment horizontal="center" vertical="top" wrapText="1"/>
    </xf>
    <xf numFmtId="0" fontId="14" fillId="5" borderId="15" xfId="0" applyFont="1" applyFill="1" applyBorder="1" applyAlignment="1">
      <alignment horizontal="left" vertical="top" wrapText="1"/>
    </xf>
    <xf numFmtId="0" fontId="44" fillId="0" borderId="33" xfId="0" applyFont="1" applyBorder="1" applyAlignment="1">
      <alignment horizontal="left" vertical="top" wrapText="1" indent="7"/>
    </xf>
    <xf numFmtId="0" fontId="47" fillId="0" borderId="35" xfId="0" applyFont="1" applyBorder="1" applyAlignment="1">
      <alignment vertical="top" wrapText="1"/>
    </xf>
    <xf numFmtId="0" fontId="47" fillId="0" borderId="38" xfId="0" applyFont="1" applyBorder="1" applyAlignment="1">
      <alignment vertical="top" wrapText="1"/>
    </xf>
    <xf numFmtId="0" fontId="48" fillId="0" borderId="34" xfId="0" applyFont="1" applyBorder="1" applyAlignment="1">
      <alignment horizontal="center" vertical="top" wrapText="1"/>
    </xf>
    <xf numFmtId="0" fontId="48" fillId="0" borderId="37" xfId="0" applyFont="1" applyBorder="1" applyAlignment="1">
      <alignment horizontal="center" vertical="top" wrapText="1"/>
    </xf>
    <xf numFmtId="2" fontId="9" fillId="0" borderId="11" xfId="1" quotePrefix="1" applyNumberFormat="1" applyFont="1" applyFill="1" applyBorder="1" applyAlignment="1">
      <alignment horizontal="right" vertical="top" wrapText="1"/>
    </xf>
    <xf numFmtId="0" fontId="18" fillId="8" borderId="0" xfId="0" applyFont="1" applyFill="1" applyAlignment="1">
      <alignment horizontal="right" vertical="top" wrapText="1"/>
    </xf>
    <xf numFmtId="44" fontId="27" fillId="10" borderId="15" xfId="3" applyNumberFormat="1" applyFont="1" applyFill="1" applyBorder="1"/>
    <xf numFmtId="44" fontId="27" fillId="0" borderId="15" xfId="3" applyNumberFormat="1" applyFont="1" applyBorder="1"/>
    <xf numFmtId="0" fontId="27" fillId="10" borderId="15" xfId="3" applyFont="1" applyFill="1" applyBorder="1" applyAlignment="1">
      <alignment wrapText="1"/>
    </xf>
    <xf numFmtId="0" fontId="14" fillId="5" borderId="46" xfId="0" applyFont="1" applyFill="1" applyBorder="1" applyAlignment="1">
      <alignment horizontal="center" vertical="top" wrapText="1"/>
    </xf>
    <xf numFmtId="0" fontId="14" fillId="5" borderId="15" xfId="0" applyFont="1" applyFill="1" applyBorder="1" applyAlignment="1">
      <alignment vertical="center"/>
    </xf>
    <xf numFmtId="0" fontId="27" fillId="10" borderId="15" xfId="3" applyFont="1" applyFill="1" applyBorder="1" applyAlignment="1">
      <alignment vertical="center" wrapText="1"/>
    </xf>
    <xf numFmtId="44" fontId="0" fillId="0" borderId="0" xfId="1" applyFont="1" applyBorder="1"/>
    <xf numFmtId="9" fontId="0" fillId="0" borderId="0" xfId="2" applyFont="1" applyBorder="1"/>
    <xf numFmtId="0" fontId="0" fillId="9" borderId="0" xfId="0" applyFill="1"/>
    <xf numFmtId="0" fontId="0" fillId="0" borderId="55" xfId="0" applyBorder="1"/>
    <xf numFmtId="2" fontId="35" fillId="0" borderId="0" xfId="0" applyNumberFormat="1" applyFont="1" applyAlignment="1">
      <alignment horizontal="center" vertical="center"/>
    </xf>
    <xf numFmtId="2" fontId="34" fillId="0" borderId="0" xfId="0" applyNumberFormat="1" applyFont="1" applyAlignment="1">
      <alignment horizontal="center" vertical="center"/>
    </xf>
    <xf numFmtId="0" fontId="16" fillId="0" borderId="55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2" fontId="16" fillId="0" borderId="0" xfId="0" applyNumberFormat="1" applyFont="1" applyAlignment="1">
      <alignment horizontal="center" vertical="top" wrapText="1"/>
    </xf>
    <xf numFmtId="44" fontId="16" fillId="0" borderId="0" xfId="1" applyFont="1" applyFill="1" applyBorder="1" applyAlignment="1">
      <alignment horizontal="center" vertical="top" wrapText="1"/>
    </xf>
    <xf numFmtId="0" fontId="15" fillId="6" borderId="55" xfId="0" applyFont="1" applyFill="1" applyBorder="1" applyAlignment="1">
      <alignment horizontal="center" vertical="top" wrapText="1"/>
    </xf>
    <xf numFmtId="0" fontId="15" fillId="6" borderId="0" xfId="0" applyFont="1" applyFill="1" applyAlignment="1">
      <alignment horizontal="center" vertical="top" wrapText="1"/>
    </xf>
    <xf numFmtId="0" fontId="2" fillId="6" borderId="0" xfId="0" applyFont="1" applyFill="1" applyAlignment="1">
      <alignment horizontal="center" vertical="top" wrapText="1"/>
    </xf>
    <xf numFmtId="2" fontId="15" fillId="6" borderId="0" xfId="0" applyNumberFormat="1" applyFont="1" applyFill="1" applyAlignment="1">
      <alignment horizontal="center" vertical="top" wrapText="1"/>
    </xf>
    <xf numFmtId="44" fontId="15" fillId="6" borderId="0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0" fillId="0" borderId="13" xfId="0" applyFont="1" applyBorder="1" applyAlignment="1">
      <alignment horizontal="right" vertical="top" wrapText="1"/>
    </xf>
    <xf numFmtId="0" fontId="40" fillId="0" borderId="11" xfId="0" applyFont="1" applyBorder="1" applyAlignment="1">
      <alignment horizontal="right" vertical="top" wrapText="1"/>
    </xf>
    <xf numFmtId="2" fontId="22" fillId="0" borderId="0" xfId="0" applyNumberFormat="1" applyFont="1"/>
    <xf numFmtId="0" fontId="27" fillId="10" borderId="24" xfId="3" applyFont="1" applyFill="1" applyBorder="1" applyAlignment="1">
      <alignment horizontal="center" vertical="center"/>
    </xf>
    <xf numFmtId="0" fontId="27" fillId="0" borderId="24" xfId="3" applyFont="1" applyBorder="1" applyAlignment="1">
      <alignment horizontal="center" vertical="center"/>
    </xf>
    <xf numFmtId="2" fontId="9" fillId="0" borderId="11" xfId="0" applyNumberFormat="1" applyFont="1" applyBorder="1" applyAlignment="1">
      <alignment horizontal="center" vertical="top" wrapText="1"/>
    </xf>
    <xf numFmtId="167" fontId="11" fillId="0" borderId="13" xfId="0" applyNumberFormat="1" applyFont="1" applyBorder="1" applyAlignment="1">
      <alignment horizontal="center" vertical="top" wrapText="1"/>
    </xf>
    <xf numFmtId="2" fontId="19" fillId="11" borderId="11" xfId="1" applyNumberFormat="1" applyFont="1" applyFill="1" applyBorder="1" applyAlignment="1">
      <alignment horizontal="right" vertical="top" wrapText="1"/>
    </xf>
    <xf numFmtId="0" fontId="9" fillId="0" borderId="11" xfId="0" applyFont="1" applyBorder="1" applyAlignment="1">
      <alignment horizontal="right" wrapText="1"/>
    </xf>
    <xf numFmtId="2" fontId="13" fillId="0" borderId="0" xfId="0" applyNumberFormat="1" applyFont="1" applyAlignment="1">
      <alignment horizontal="right" vertical="center"/>
    </xf>
    <xf numFmtId="0" fontId="9" fillId="10" borderId="9" xfId="0" applyFont="1" applyFill="1" applyBorder="1" applyAlignment="1">
      <alignment horizontal="center" vertical="top"/>
    </xf>
    <xf numFmtId="0" fontId="20" fillId="8" borderId="11" xfId="0" applyFont="1" applyFill="1" applyBorder="1" applyAlignment="1">
      <alignment horizontal="left" vertical="top" wrapText="1"/>
    </xf>
    <xf numFmtId="0" fontId="20" fillId="8" borderId="11" xfId="0" applyFont="1" applyFill="1" applyBorder="1" applyAlignment="1">
      <alignment horizontal="right" vertical="top" wrapText="1"/>
    </xf>
    <xf numFmtId="0" fontId="20" fillId="8" borderId="11" xfId="0" applyFont="1" applyFill="1" applyBorder="1" applyAlignment="1">
      <alignment horizontal="center" vertical="top" wrapText="1"/>
    </xf>
    <xf numFmtId="164" fontId="20" fillId="8" borderId="11" xfId="0" applyNumberFormat="1" applyFont="1" applyFill="1" applyBorder="1" applyAlignment="1">
      <alignment horizontal="right" vertical="top" wrapText="1"/>
    </xf>
    <xf numFmtId="0" fontId="38" fillId="10" borderId="11" xfId="0" applyFont="1" applyFill="1" applyBorder="1" applyAlignment="1">
      <alignment horizontal="left" vertical="top" wrapText="1"/>
    </xf>
    <xf numFmtId="0" fontId="38" fillId="10" borderId="11" xfId="0" applyFont="1" applyFill="1" applyBorder="1" applyAlignment="1">
      <alignment horizontal="right" vertical="top" wrapText="1"/>
    </xf>
    <xf numFmtId="0" fontId="39" fillId="10" borderId="11" xfId="0" applyFont="1" applyFill="1" applyBorder="1" applyAlignment="1">
      <alignment horizontal="left" vertical="top" wrapText="1"/>
    </xf>
    <xf numFmtId="0" fontId="38" fillId="10" borderId="11" xfId="0" applyFont="1" applyFill="1" applyBorder="1" applyAlignment="1">
      <alignment horizontal="center" vertical="top" wrapText="1"/>
    </xf>
    <xf numFmtId="164" fontId="38" fillId="10" borderId="11" xfId="0" applyNumberFormat="1" applyFont="1" applyFill="1" applyBorder="1" applyAlignment="1">
      <alignment horizontal="right" vertical="top" wrapText="1"/>
    </xf>
    <xf numFmtId="4" fontId="38" fillId="10" borderId="11" xfId="0" applyNumberFormat="1" applyFont="1" applyFill="1" applyBorder="1" applyAlignment="1">
      <alignment horizontal="right" vertical="top" wrapText="1"/>
    </xf>
    <xf numFmtId="4" fontId="39" fillId="10" borderId="11" xfId="0" applyNumberFormat="1" applyFont="1" applyFill="1" applyBorder="1" applyAlignment="1">
      <alignment horizontal="right" vertical="top" wrapText="1"/>
    </xf>
    <xf numFmtId="0" fontId="22" fillId="3" borderId="11" xfId="0" applyFont="1" applyFill="1" applyBorder="1" applyAlignment="1">
      <alignment horizontal="left" vertical="top" wrapText="1"/>
    </xf>
    <xf numFmtId="0" fontId="22" fillId="3" borderId="11" xfId="0" applyFont="1" applyFill="1" applyBorder="1" applyAlignment="1">
      <alignment horizontal="right" vertical="top" wrapText="1"/>
    </xf>
    <xf numFmtId="0" fontId="22" fillId="3" borderId="11" xfId="0" applyFont="1" applyFill="1" applyBorder="1" applyAlignment="1">
      <alignment horizontal="center" vertical="top" wrapText="1"/>
    </xf>
    <xf numFmtId="164" fontId="22" fillId="3" borderId="11" xfId="0" applyNumberFormat="1" applyFont="1" applyFill="1" applyBorder="1" applyAlignment="1">
      <alignment horizontal="right" vertical="top" wrapText="1"/>
    </xf>
    <xf numFmtId="4" fontId="22" fillId="3" borderId="11" xfId="0" applyNumberFormat="1" applyFont="1" applyFill="1" applyBorder="1" applyAlignment="1">
      <alignment horizontal="right" vertical="top" wrapText="1"/>
    </xf>
    <xf numFmtId="0" fontId="22" fillId="4" borderId="11" xfId="0" applyFont="1" applyFill="1" applyBorder="1" applyAlignment="1">
      <alignment horizontal="left" vertical="top" wrapText="1"/>
    </xf>
    <xf numFmtId="0" fontId="52" fillId="17" borderId="11" xfId="4" applyFont="1" applyBorder="1" applyAlignment="1">
      <alignment horizontal="right" vertical="top" wrapText="1"/>
    </xf>
    <xf numFmtId="0" fontId="52" fillId="17" borderId="11" xfId="4" applyFont="1" applyBorder="1" applyAlignment="1">
      <alignment horizontal="left" vertical="top" wrapText="1"/>
    </xf>
    <xf numFmtId="0" fontId="52" fillId="17" borderId="11" xfId="4" applyFont="1" applyBorder="1" applyAlignment="1">
      <alignment horizontal="center" vertical="top" wrapText="1"/>
    </xf>
    <xf numFmtId="164" fontId="52" fillId="17" borderId="11" xfId="4" applyNumberFormat="1" applyFont="1" applyBorder="1" applyAlignment="1">
      <alignment horizontal="right" vertical="top" wrapText="1"/>
    </xf>
    <xf numFmtId="4" fontId="52" fillId="17" borderId="11" xfId="4" applyNumberFormat="1" applyFont="1" applyBorder="1" applyAlignment="1">
      <alignment horizontal="right" vertical="top" wrapText="1"/>
    </xf>
    <xf numFmtId="0" fontId="22" fillId="4" borderId="11" xfId="0" applyFont="1" applyFill="1" applyBorder="1" applyAlignment="1">
      <alignment horizontal="right" vertical="top" wrapText="1"/>
    </xf>
    <xf numFmtId="0" fontId="22" fillId="4" borderId="11" xfId="0" applyFont="1" applyFill="1" applyBorder="1" applyAlignment="1">
      <alignment horizontal="center" vertical="top" wrapText="1"/>
    </xf>
    <xf numFmtId="164" fontId="22" fillId="4" borderId="11" xfId="0" applyNumberFormat="1" applyFont="1" applyFill="1" applyBorder="1" applyAlignment="1">
      <alignment horizontal="right" vertical="top" wrapText="1"/>
    </xf>
    <xf numFmtId="4" fontId="22" fillId="4" borderId="11" xfId="0" applyNumberFormat="1" applyFont="1" applyFill="1" applyBorder="1" applyAlignment="1">
      <alignment horizontal="right" vertical="top" wrapText="1"/>
    </xf>
    <xf numFmtId="0" fontId="22" fillId="8" borderId="0" xfId="0" applyFont="1" applyFill="1" applyAlignment="1">
      <alignment horizontal="right" vertical="top" wrapText="1"/>
    </xf>
    <xf numFmtId="4" fontId="22" fillId="8" borderId="0" xfId="0" applyNumberFormat="1" applyFont="1" applyFill="1" applyAlignment="1">
      <alignment horizontal="right" vertical="top" wrapText="1"/>
    </xf>
    <xf numFmtId="4" fontId="20" fillId="8" borderId="0" xfId="0" applyNumberFormat="1" applyFont="1" applyFill="1" applyAlignment="1">
      <alignment horizontal="right" vertical="top" wrapText="1"/>
    </xf>
    <xf numFmtId="0" fontId="39" fillId="10" borderId="11" xfId="0" applyFont="1" applyFill="1" applyBorder="1" applyAlignment="1">
      <alignment horizontal="center" vertical="top" wrapText="1"/>
    </xf>
    <xf numFmtId="164" fontId="39" fillId="10" borderId="11" xfId="0" applyNumberFormat="1" applyFont="1" applyFill="1" applyBorder="1" applyAlignment="1">
      <alignment horizontal="right" vertical="top" wrapText="1"/>
    </xf>
    <xf numFmtId="0" fontId="22" fillId="0" borderId="0" xfId="0" applyFont="1"/>
    <xf numFmtId="164" fontId="22" fillId="0" borderId="0" xfId="0" applyNumberFormat="1" applyFont="1"/>
    <xf numFmtId="0" fontId="20" fillId="8" borderId="0" xfId="0" applyFont="1" applyFill="1" applyAlignment="1">
      <alignment horizontal="right" vertical="top" wrapText="1"/>
    </xf>
    <xf numFmtId="0" fontId="39" fillId="10" borderId="11" xfId="0" applyFont="1" applyFill="1" applyBorder="1" applyAlignment="1">
      <alignment horizontal="right" vertical="top" wrapText="1"/>
    </xf>
    <xf numFmtId="0" fontId="20" fillId="0" borderId="0" xfId="0" applyFont="1" applyAlignment="1">
      <alignment vertical="top" wrapText="1"/>
    </xf>
    <xf numFmtId="4" fontId="20" fillId="0" borderId="0" xfId="0" applyNumberFormat="1" applyFont="1" applyAlignment="1">
      <alignment horizontal="right" vertical="top" wrapText="1"/>
    </xf>
    <xf numFmtId="0" fontId="0" fillId="0" borderId="15" xfId="0" applyBorder="1" applyAlignment="1">
      <alignment horizontal="center" vertical="top"/>
    </xf>
    <xf numFmtId="0" fontId="36" fillId="9" borderId="57" xfId="0" applyFont="1" applyFill="1" applyBorder="1" applyAlignment="1">
      <alignment horizontal="left" vertical="top" wrapText="1"/>
    </xf>
    <xf numFmtId="0" fontId="37" fillId="0" borderId="15" xfId="0" applyFont="1" applyBorder="1" applyAlignment="1">
      <alignment horizontal="left" vertical="top" wrapText="1"/>
    </xf>
    <xf numFmtId="0" fontId="37" fillId="0" borderId="15" xfId="0" applyFont="1" applyBorder="1" applyAlignment="1">
      <alignment horizontal="center" vertical="top" wrapText="1"/>
    </xf>
    <xf numFmtId="44" fontId="37" fillId="0" borderId="15" xfId="0" applyNumberFormat="1" applyFont="1" applyBorder="1" applyAlignment="1">
      <alignment horizontal="center" vertical="top" wrapText="1"/>
    </xf>
    <xf numFmtId="44" fontId="37" fillId="0" borderId="15" xfId="1" applyFont="1" applyFill="1" applyBorder="1" applyAlignment="1">
      <alignment horizontal="right" vertical="top" wrapText="1"/>
    </xf>
    <xf numFmtId="10" fontId="37" fillId="0" borderId="15" xfId="2" applyNumberFormat="1" applyFont="1" applyFill="1" applyBorder="1" applyAlignment="1">
      <alignment horizontal="right" vertical="top" wrapText="1"/>
    </xf>
    <xf numFmtId="166" fontId="0" fillId="0" borderId="15" xfId="2" applyNumberFormat="1" applyFont="1" applyBorder="1" applyAlignment="1">
      <alignment vertical="top"/>
    </xf>
    <xf numFmtId="0" fontId="0" fillId="0" borderId="15" xfId="0" applyBorder="1" applyAlignment="1">
      <alignment horizontal="left" vertical="top" wrapText="1"/>
    </xf>
    <xf numFmtId="0" fontId="36" fillId="9" borderId="56" xfId="0" applyFont="1" applyFill="1" applyBorder="1" applyAlignment="1">
      <alignment horizontal="left" vertical="top" wrapText="1"/>
    </xf>
    <xf numFmtId="0" fontId="0" fillId="0" borderId="15" xfId="0" applyBorder="1" applyAlignment="1">
      <alignment vertical="top" wrapText="1"/>
    </xf>
    <xf numFmtId="0" fontId="6" fillId="10" borderId="56" xfId="0" applyFont="1" applyFill="1" applyBorder="1" applyAlignment="1">
      <alignment horizontal="center" vertical="top" wrapText="1"/>
    </xf>
    <xf numFmtId="0" fontId="6" fillId="10" borderId="56" xfId="0" applyFont="1" applyFill="1" applyBorder="1" applyAlignment="1">
      <alignment horizontal="left" vertical="top" wrapText="1"/>
    </xf>
    <xf numFmtId="0" fontId="36" fillId="10" borderId="56" xfId="0" applyFont="1" applyFill="1" applyBorder="1" applyAlignment="1">
      <alignment horizontal="left" vertical="top" wrapText="1"/>
    </xf>
    <xf numFmtId="44" fontId="6" fillId="10" borderId="56" xfId="1" applyFont="1" applyFill="1" applyBorder="1" applyAlignment="1">
      <alignment horizontal="left" vertical="top" wrapText="1"/>
    </xf>
    <xf numFmtId="44" fontId="8" fillId="10" borderId="56" xfId="1" applyFont="1" applyFill="1" applyBorder="1" applyAlignment="1">
      <alignment horizontal="right" vertical="top" wrapText="1"/>
    </xf>
    <xf numFmtId="44" fontId="8" fillId="10" borderId="62" xfId="1" applyFont="1" applyFill="1" applyBorder="1" applyAlignment="1">
      <alignment horizontal="right" vertical="top" wrapText="1"/>
    </xf>
    <xf numFmtId="0" fontId="37" fillId="15" borderId="15" xfId="0" applyFont="1" applyFill="1" applyBorder="1" applyAlignment="1">
      <alignment horizontal="left" vertical="top" wrapText="1"/>
    </xf>
    <xf numFmtId="0" fontId="37" fillId="15" borderId="15" xfId="0" applyFont="1" applyFill="1" applyBorder="1" applyAlignment="1">
      <alignment horizontal="center" vertical="top" wrapText="1"/>
    </xf>
    <xf numFmtId="44" fontId="37" fillId="15" borderId="15" xfId="1" applyFont="1" applyFill="1" applyBorder="1" applyAlignment="1">
      <alignment horizontal="right" vertical="top" wrapText="1"/>
    </xf>
    <xf numFmtId="0" fontId="20" fillId="9" borderId="60" xfId="0" applyFont="1" applyFill="1" applyBorder="1" applyAlignment="1">
      <alignment vertical="top"/>
    </xf>
    <xf numFmtId="44" fontId="20" fillId="9" borderId="60" xfId="0" applyNumberFormat="1" applyFont="1" applyFill="1" applyBorder="1" applyAlignment="1">
      <alignment vertical="top"/>
    </xf>
    <xf numFmtId="44" fontId="20" fillId="9" borderId="61" xfId="0" applyNumberFormat="1" applyFont="1" applyFill="1" applyBorder="1" applyAlignment="1">
      <alignment vertical="top"/>
    </xf>
    <xf numFmtId="10" fontId="37" fillId="15" borderId="15" xfId="2" applyNumberFormat="1" applyFont="1" applyFill="1" applyBorder="1" applyAlignment="1">
      <alignment horizontal="right" vertical="top" wrapText="1"/>
    </xf>
    <xf numFmtId="0" fontId="20" fillId="9" borderId="56" xfId="0" applyFont="1" applyFill="1" applyBorder="1" applyAlignment="1">
      <alignment vertical="top"/>
    </xf>
    <xf numFmtId="44" fontId="20" fillId="9" borderId="56" xfId="0" applyNumberFormat="1" applyFont="1" applyFill="1" applyBorder="1" applyAlignment="1">
      <alignment vertical="top"/>
    </xf>
    <xf numFmtId="44" fontId="20" fillId="9" borderId="62" xfId="0" applyNumberFormat="1" applyFont="1" applyFill="1" applyBorder="1" applyAlignment="1">
      <alignment vertical="top"/>
    </xf>
    <xf numFmtId="0" fontId="6" fillId="10" borderId="57" xfId="0" applyFont="1" applyFill="1" applyBorder="1" applyAlignment="1">
      <alignment horizontal="center" vertical="top" wrapText="1"/>
    </xf>
    <xf numFmtId="0" fontId="6" fillId="10" borderId="57" xfId="0" applyFont="1" applyFill="1" applyBorder="1" applyAlignment="1">
      <alignment horizontal="left" vertical="top" wrapText="1"/>
    </xf>
    <xf numFmtId="0" fontId="36" fillId="10" borderId="57" xfId="0" applyFont="1" applyFill="1" applyBorder="1" applyAlignment="1">
      <alignment horizontal="left" vertical="top" wrapText="1"/>
    </xf>
    <xf numFmtId="44" fontId="6" fillId="10" borderId="57" xfId="1" applyFont="1" applyFill="1" applyBorder="1" applyAlignment="1">
      <alignment horizontal="left" vertical="top" wrapText="1"/>
    </xf>
    <xf numFmtId="44" fontId="8" fillId="10" borderId="57" xfId="1" applyFont="1" applyFill="1" applyBorder="1" applyAlignment="1">
      <alignment horizontal="right" vertical="top" wrapText="1"/>
    </xf>
    <xf numFmtId="44" fontId="8" fillId="10" borderId="58" xfId="1" applyFont="1" applyFill="1" applyBorder="1" applyAlignment="1">
      <alignment horizontal="right" vertical="top" wrapText="1"/>
    </xf>
    <xf numFmtId="44" fontId="0" fillId="0" borderId="15" xfId="1" applyFont="1" applyBorder="1" applyAlignment="1">
      <alignment vertical="top" wrapText="1"/>
    </xf>
    <xf numFmtId="0" fontId="0" fillId="0" borderId="15" xfId="0" applyBorder="1" applyAlignment="1">
      <alignment horizontal="center" vertical="top" wrapText="1"/>
    </xf>
    <xf numFmtId="0" fontId="0" fillId="10" borderId="56" xfId="0" applyFill="1" applyBorder="1"/>
    <xf numFmtId="0" fontId="18" fillId="10" borderId="56" xfId="0" applyFont="1" applyFill="1" applyBorder="1" applyAlignment="1">
      <alignment vertical="top"/>
    </xf>
    <xf numFmtId="44" fontId="20" fillId="10" borderId="56" xfId="0" applyNumberFormat="1" applyFont="1" applyFill="1" applyBorder="1" applyAlignment="1">
      <alignment vertical="top"/>
    </xf>
    <xf numFmtId="44" fontId="20" fillId="10" borderId="62" xfId="0" applyNumberFormat="1" applyFont="1" applyFill="1" applyBorder="1" applyAlignment="1">
      <alignment vertical="top"/>
    </xf>
    <xf numFmtId="44" fontId="0" fillId="0" borderId="15" xfId="1" applyFont="1" applyBorder="1" applyAlignment="1">
      <alignment vertical="top"/>
    </xf>
    <xf numFmtId="0" fontId="38" fillId="15" borderId="15" xfId="0" applyFont="1" applyFill="1" applyBorder="1" applyAlignment="1">
      <alignment horizontal="center" vertical="top" wrapText="1"/>
    </xf>
    <xf numFmtId="0" fontId="38" fillId="15" borderId="15" xfId="0" applyFont="1" applyFill="1" applyBorder="1" applyAlignment="1">
      <alignment horizontal="left" vertical="top" wrapText="1"/>
    </xf>
    <xf numFmtId="44" fontId="38" fillId="15" borderId="15" xfId="1" applyFont="1" applyFill="1" applyBorder="1" applyAlignment="1">
      <alignment horizontal="left" vertical="top" wrapText="1"/>
    </xf>
    <xf numFmtId="44" fontId="38" fillId="15" borderId="15" xfId="1" applyFont="1" applyFill="1" applyBorder="1" applyAlignment="1">
      <alignment horizontal="right" vertical="top" wrapText="1"/>
    </xf>
    <xf numFmtId="44" fontId="12" fillId="10" borderId="57" xfId="1" applyFont="1" applyFill="1" applyBorder="1" applyAlignment="1">
      <alignment horizontal="right" vertical="top" wrapText="1"/>
    </xf>
    <xf numFmtId="44" fontId="19" fillId="10" borderId="57" xfId="1" applyFont="1" applyFill="1" applyBorder="1" applyAlignment="1">
      <alignment horizontal="right" vertical="top" wrapText="1"/>
    </xf>
    <xf numFmtId="44" fontId="19" fillId="10" borderId="58" xfId="1" applyFont="1" applyFill="1" applyBorder="1" applyAlignment="1">
      <alignment horizontal="right" vertical="top" wrapText="1"/>
    </xf>
    <xf numFmtId="0" fontId="38" fillId="0" borderId="15" xfId="0" applyFont="1" applyBorder="1" applyAlignment="1">
      <alignment vertical="top" wrapText="1"/>
    </xf>
    <xf numFmtId="44" fontId="12" fillId="10" borderId="56" xfId="1" applyFont="1" applyFill="1" applyBorder="1" applyAlignment="1">
      <alignment horizontal="right" vertical="top" wrapText="1"/>
    </xf>
    <xf numFmtId="44" fontId="19" fillId="10" borderId="56" xfId="1" applyFont="1" applyFill="1" applyBorder="1" applyAlignment="1">
      <alignment horizontal="right" vertical="top" wrapText="1"/>
    </xf>
    <xf numFmtId="44" fontId="19" fillId="10" borderId="62" xfId="1" applyFont="1" applyFill="1" applyBorder="1" applyAlignment="1">
      <alignment horizontal="right" vertical="top" wrapText="1"/>
    </xf>
    <xf numFmtId="44" fontId="39" fillId="9" borderId="60" xfId="1" applyFont="1" applyFill="1" applyBorder="1" applyAlignment="1">
      <alignment horizontal="right" vertical="top" wrapText="1"/>
    </xf>
    <xf numFmtId="44" fontId="39" fillId="9" borderId="61" xfId="1" applyFont="1" applyFill="1" applyBorder="1" applyAlignment="1">
      <alignment horizontal="right" vertical="top" wrapText="1"/>
    </xf>
    <xf numFmtId="44" fontId="39" fillId="9" borderId="56" xfId="1" applyFont="1" applyFill="1" applyBorder="1" applyAlignment="1">
      <alignment horizontal="right" vertical="top" wrapText="1"/>
    </xf>
    <xf numFmtId="44" fontId="39" fillId="9" borderId="62" xfId="1" applyFont="1" applyFill="1" applyBorder="1" applyAlignment="1">
      <alignment horizontal="right" vertical="top" wrapText="1"/>
    </xf>
    <xf numFmtId="0" fontId="39" fillId="9" borderId="56" xfId="0" applyFont="1" applyFill="1" applyBorder="1" applyAlignment="1">
      <alignment horizontal="center" vertical="top" wrapText="1"/>
    </xf>
    <xf numFmtId="0" fontId="39" fillId="9" borderId="56" xfId="0" applyFont="1" applyFill="1" applyBorder="1" applyAlignment="1">
      <alignment horizontal="left" vertical="top" wrapText="1"/>
    </xf>
    <xf numFmtId="44" fontId="39" fillId="9" borderId="56" xfId="1" applyFont="1" applyFill="1" applyBorder="1" applyAlignment="1">
      <alignment horizontal="left" vertical="top" wrapText="1"/>
    </xf>
    <xf numFmtId="44" fontId="38" fillId="9" borderId="56" xfId="1" applyFont="1" applyFill="1" applyBorder="1" applyAlignment="1">
      <alignment horizontal="right" vertical="top" wrapText="1"/>
    </xf>
    <xf numFmtId="0" fontId="39" fillId="9" borderId="60" xfId="0" applyFont="1" applyFill="1" applyBorder="1" applyAlignment="1">
      <alignment horizontal="center" vertical="top" wrapText="1"/>
    </xf>
    <xf numFmtId="0" fontId="39" fillId="9" borderId="60" xfId="0" applyFont="1" applyFill="1" applyBorder="1" applyAlignment="1">
      <alignment horizontal="left" vertical="top" wrapText="1"/>
    </xf>
    <xf numFmtId="44" fontId="39" fillId="9" borderId="60" xfId="1" applyFont="1" applyFill="1" applyBorder="1" applyAlignment="1">
      <alignment horizontal="left" vertical="top" wrapText="1"/>
    </xf>
    <xf numFmtId="0" fontId="22" fillId="9" borderId="56" xfId="0" applyFont="1" applyFill="1" applyBorder="1"/>
    <xf numFmtId="0" fontId="22" fillId="9" borderId="60" xfId="0" applyFont="1" applyFill="1" applyBorder="1"/>
    <xf numFmtId="0" fontId="36" fillId="9" borderId="56" xfId="0" applyFont="1" applyFill="1" applyBorder="1" applyAlignment="1">
      <alignment horizontal="center" vertical="top" wrapText="1"/>
    </xf>
    <xf numFmtId="44" fontId="36" fillId="9" borderId="56" xfId="1" applyFont="1" applyFill="1" applyBorder="1" applyAlignment="1">
      <alignment horizontal="left" vertical="top" wrapText="1"/>
    </xf>
    <xf numFmtId="44" fontId="36" fillId="9" borderId="56" xfId="1" applyFont="1" applyFill="1" applyBorder="1" applyAlignment="1">
      <alignment horizontal="right" vertical="top" wrapText="1"/>
    </xf>
    <xf numFmtId="44" fontId="36" fillId="9" borderId="62" xfId="1" applyFont="1" applyFill="1" applyBorder="1" applyAlignment="1">
      <alignment horizontal="right" vertical="top" wrapText="1"/>
    </xf>
    <xf numFmtId="0" fontId="36" fillId="9" borderId="57" xfId="0" applyFont="1" applyFill="1" applyBorder="1" applyAlignment="1">
      <alignment horizontal="center" vertical="top" wrapText="1"/>
    </xf>
    <xf numFmtId="2" fontId="36" fillId="9" borderId="57" xfId="0" applyNumberFormat="1" applyFont="1" applyFill="1" applyBorder="1" applyAlignment="1">
      <alignment horizontal="right" vertical="top" wrapText="1"/>
    </xf>
    <xf numFmtId="44" fontId="36" fillId="9" borderId="57" xfId="1" applyFont="1" applyFill="1" applyBorder="1" applyAlignment="1">
      <alignment horizontal="left" vertical="top" wrapText="1"/>
    </xf>
    <xf numFmtId="44" fontId="36" fillId="9" borderId="57" xfId="1" applyFont="1" applyFill="1" applyBorder="1" applyAlignment="1">
      <alignment horizontal="right" vertical="top" wrapText="1"/>
    </xf>
    <xf numFmtId="44" fontId="36" fillId="9" borderId="58" xfId="1" applyFont="1" applyFill="1" applyBorder="1" applyAlignment="1">
      <alignment horizontal="right" vertical="top" wrapText="1"/>
    </xf>
    <xf numFmtId="0" fontId="2" fillId="8" borderId="11" xfId="0" applyFont="1" applyFill="1" applyBorder="1" applyAlignment="1">
      <alignment horizontal="left" vertical="top" wrapText="1"/>
    </xf>
    <xf numFmtId="0" fontId="2" fillId="8" borderId="11" xfId="0" applyFont="1" applyFill="1" applyBorder="1" applyAlignment="1">
      <alignment horizontal="right" vertical="top" wrapText="1"/>
    </xf>
    <xf numFmtId="0" fontId="2" fillId="8" borderId="11" xfId="0" applyFont="1" applyFill="1" applyBorder="1" applyAlignment="1">
      <alignment horizontal="center" vertical="top" wrapText="1"/>
    </xf>
    <xf numFmtId="164" fontId="2" fillId="8" borderId="11" xfId="0" applyNumberFormat="1" applyFont="1" applyFill="1" applyBorder="1" applyAlignment="1">
      <alignment horizontal="right" vertical="top" wrapText="1"/>
    </xf>
    <xf numFmtId="0" fontId="19" fillId="10" borderId="11" xfId="0" applyFont="1" applyFill="1" applyBorder="1" applyAlignment="1">
      <alignment horizontal="left" vertical="top" wrapText="1"/>
    </xf>
    <xf numFmtId="0" fontId="19" fillId="10" borderId="11" xfId="0" applyFont="1" applyFill="1" applyBorder="1" applyAlignment="1">
      <alignment horizontal="center" vertical="top" wrapText="1"/>
    </xf>
    <xf numFmtId="164" fontId="19" fillId="10" borderId="11" xfId="0" applyNumberFormat="1" applyFont="1" applyFill="1" applyBorder="1" applyAlignment="1">
      <alignment horizontal="right" vertical="top" wrapText="1"/>
    </xf>
    <xf numFmtId="4" fontId="9" fillId="10" borderId="11" xfId="0" applyNumberFormat="1" applyFont="1" applyFill="1" applyBorder="1" applyAlignment="1">
      <alignment horizontal="right" vertical="top" wrapText="1"/>
    </xf>
    <xf numFmtId="4" fontId="19" fillId="10" borderId="11" xfId="0" applyNumberFormat="1" applyFont="1" applyFill="1" applyBorder="1" applyAlignment="1">
      <alignment horizontal="right" vertical="top" wrapText="1"/>
    </xf>
    <xf numFmtId="0" fontId="13" fillId="3" borderId="11" xfId="0" applyFont="1" applyFill="1" applyBorder="1" applyAlignment="1">
      <alignment horizontal="left" vertical="top" wrapText="1"/>
    </xf>
    <xf numFmtId="0" fontId="13" fillId="3" borderId="11" xfId="0" applyFont="1" applyFill="1" applyBorder="1" applyAlignment="1">
      <alignment horizontal="right" vertical="top" wrapText="1"/>
    </xf>
    <xf numFmtId="0" fontId="13" fillId="3" borderId="11" xfId="0" applyFont="1" applyFill="1" applyBorder="1" applyAlignment="1">
      <alignment horizontal="center" vertical="top" wrapText="1"/>
    </xf>
    <xf numFmtId="164" fontId="13" fillId="3" borderId="11" xfId="0" applyNumberFormat="1" applyFont="1" applyFill="1" applyBorder="1" applyAlignment="1">
      <alignment horizontal="right" vertical="top" wrapText="1"/>
    </xf>
    <xf numFmtId="4" fontId="13" fillId="3" borderId="11" xfId="0" applyNumberFormat="1" applyFont="1" applyFill="1" applyBorder="1" applyAlignment="1">
      <alignment horizontal="right" vertical="top" wrapText="1"/>
    </xf>
    <xf numFmtId="0" fontId="13" fillId="4" borderId="11" xfId="0" applyFont="1" applyFill="1" applyBorder="1" applyAlignment="1">
      <alignment horizontal="left" vertical="top" wrapText="1"/>
    </xf>
    <xf numFmtId="0" fontId="53" fillId="17" borderId="11" xfId="4" applyFont="1" applyBorder="1" applyAlignment="1">
      <alignment horizontal="right" vertical="top" wrapText="1"/>
    </xf>
    <xf numFmtId="0" fontId="53" fillId="17" borderId="11" xfId="4" applyFont="1" applyBorder="1" applyAlignment="1">
      <alignment horizontal="left" vertical="top" wrapText="1"/>
    </xf>
    <xf numFmtId="0" fontId="53" fillId="17" borderId="11" xfId="4" applyFont="1" applyBorder="1" applyAlignment="1">
      <alignment horizontal="center" vertical="top" wrapText="1"/>
    </xf>
    <xf numFmtId="164" fontId="53" fillId="17" borderId="11" xfId="4" applyNumberFormat="1" applyFont="1" applyBorder="1" applyAlignment="1">
      <alignment horizontal="right" vertical="top" wrapText="1"/>
    </xf>
    <xf numFmtId="4" fontId="53" fillId="17" borderId="11" xfId="4" applyNumberFormat="1" applyFont="1" applyBorder="1" applyAlignment="1">
      <alignment horizontal="right" vertical="top" wrapText="1"/>
    </xf>
    <xf numFmtId="0" fontId="51" fillId="0" borderId="0" xfId="0" applyFont="1"/>
    <xf numFmtId="0" fontId="27" fillId="0" borderId="0" xfId="0" applyFont="1" applyAlignment="1">
      <alignment horizontal="center"/>
    </xf>
    <xf numFmtId="10" fontId="9" fillId="0" borderId="11" xfId="2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2" fontId="40" fillId="0" borderId="11" xfId="1" applyNumberFormat="1" applyFont="1" applyFill="1" applyBorder="1" applyAlignment="1">
      <alignment horizontal="right" vertical="top" wrapText="1"/>
    </xf>
    <xf numFmtId="2" fontId="40" fillId="0" borderId="14" xfId="1" applyNumberFormat="1" applyFont="1" applyFill="1" applyBorder="1" applyAlignment="1">
      <alignment horizontal="right" wrapText="1"/>
    </xf>
    <xf numFmtId="2" fontId="19" fillId="10" borderId="14" xfId="1" applyNumberFormat="1" applyFont="1" applyFill="1" applyBorder="1" applyAlignment="1">
      <alignment horizontal="right" vertical="top" wrapText="1"/>
    </xf>
    <xf numFmtId="0" fontId="14" fillId="5" borderId="0" xfId="0" applyFont="1" applyFill="1" applyAlignment="1">
      <alignment vertical="center" wrapText="1"/>
    </xf>
    <xf numFmtId="10" fontId="37" fillId="0" borderId="0" xfId="2" applyNumberFormat="1" applyFont="1" applyFill="1" applyBorder="1" applyAlignment="1">
      <alignment horizontal="right" vertical="top" wrapText="1"/>
    </xf>
    <xf numFmtId="166" fontId="0" fillId="0" borderId="0" xfId="2" applyNumberFormat="1" applyFont="1" applyBorder="1" applyAlignment="1">
      <alignment horizontal="right" vertical="top"/>
    </xf>
    <xf numFmtId="44" fontId="37" fillId="0" borderId="0" xfId="1" applyFont="1" applyFill="1" applyBorder="1" applyAlignment="1">
      <alignment horizontal="right" vertical="top" wrapText="1"/>
    </xf>
    <xf numFmtId="4" fontId="11" fillId="0" borderId="11" xfId="0" applyNumberFormat="1" applyFont="1" applyBorder="1" applyAlignment="1">
      <alignment horizontal="right" vertical="top" wrapText="1"/>
    </xf>
    <xf numFmtId="4" fontId="38" fillId="0" borderId="15" xfId="0" applyNumberFormat="1" applyFont="1" applyBorder="1" applyAlignment="1">
      <alignment horizontal="right" vertical="top" wrapText="1"/>
    </xf>
    <xf numFmtId="4" fontId="36" fillId="9" borderId="56" xfId="0" applyNumberFormat="1" applyFont="1" applyFill="1" applyBorder="1" applyAlignment="1">
      <alignment horizontal="right" vertical="top" wrapText="1"/>
    </xf>
    <xf numFmtId="4" fontId="37" fillId="0" borderId="15" xfId="0" applyNumberFormat="1" applyFont="1" applyBorder="1" applyAlignment="1">
      <alignment horizontal="right" vertical="top" wrapText="1"/>
    </xf>
    <xf numFmtId="4" fontId="39" fillId="9" borderId="60" xfId="0" applyNumberFormat="1" applyFont="1" applyFill="1" applyBorder="1" applyAlignment="1">
      <alignment horizontal="right" vertical="top" wrapText="1"/>
    </xf>
    <xf numFmtId="4" fontId="7" fillId="10" borderId="56" xfId="0" applyNumberFormat="1" applyFont="1" applyFill="1" applyBorder="1" applyAlignment="1">
      <alignment horizontal="right" vertical="top" wrapText="1"/>
    </xf>
    <xf numFmtId="4" fontId="37" fillId="15" borderId="15" xfId="0" applyNumberFormat="1" applyFont="1" applyFill="1" applyBorder="1" applyAlignment="1">
      <alignment horizontal="right" vertical="top" wrapText="1"/>
    </xf>
    <xf numFmtId="4" fontId="22" fillId="9" borderId="56" xfId="0" applyNumberFormat="1" applyFont="1" applyFill="1" applyBorder="1"/>
    <xf numFmtId="4" fontId="39" fillId="9" borderId="56" xfId="0" applyNumberFormat="1" applyFont="1" applyFill="1" applyBorder="1" applyAlignment="1">
      <alignment horizontal="right" vertical="top" wrapText="1"/>
    </xf>
    <xf numFmtId="4" fontId="22" fillId="9" borderId="60" xfId="0" applyNumberFormat="1" applyFont="1" applyFill="1" applyBorder="1"/>
    <xf numFmtId="4" fontId="7" fillId="10" borderId="57" xfId="0" applyNumberFormat="1" applyFont="1" applyFill="1" applyBorder="1" applyAlignment="1">
      <alignment horizontal="right" vertical="top" wrapText="1"/>
    </xf>
    <xf numFmtId="4" fontId="0" fillId="0" borderId="15" xfId="0" applyNumberFormat="1" applyBorder="1" applyAlignment="1">
      <alignment vertical="top" wrapText="1"/>
    </xf>
    <xf numFmtId="4" fontId="0" fillId="10" borderId="56" xfId="0" applyNumberFormat="1" applyFill="1" applyBorder="1"/>
    <xf numFmtId="4" fontId="0" fillId="0" borderId="15" xfId="0" applyNumberFormat="1" applyBorder="1" applyAlignment="1">
      <alignment vertical="top"/>
    </xf>
    <xf numFmtId="4" fontId="38" fillId="15" borderId="15" xfId="0" applyNumberFormat="1" applyFont="1" applyFill="1" applyBorder="1" applyAlignment="1">
      <alignment horizontal="right" vertical="top" wrapText="1"/>
    </xf>
    <xf numFmtId="4" fontId="11" fillId="0" borderId="13" xfId="0" applyNumberFormat="1" applyFont="1" applyBorder="1" applyAlignment="1">
      <alignment horizontal="right" vertical="top" wrapText="1"/>
    </xf>
    <xf numFmtId="2" fontId="2" fillId="0" borderId="46" xfId="0" applyNumberFormat="1" applyFont="1" applyBorder="1" applyAlignment="1">
      <alignment horizontal="right" vertical="top" wrapText="1"/>
    </xf>
    <xf numFmtId="166" fontId="0" fillId="9" borderId="15" xfId="2" applyNumberFormat="1" applyFont="1" applyFill="1" applyBorder="1" applyAlignment="1">
      <alignment vertical="top"/>
    </xf>
    <xf numFmtId="166" fontId="20" fillId="9" borderId="15" xfId="2" applyNumberFormat="1" applyFont="1" applyFill="1" applyBorder="1" applyAlignment="1">
      <alignment vertical="top"/>
    </xf>
    <xf numFmtId="166" fontId="20" fillId="10" borderId="15" xfId="2" applyNumberFormat="1" applyFont="1" applyFill="1" applyBorder="1" applyAlignment="1">
      <alignment vertical="top"/>
    </xf>
    <xf numFmtId="0" fontId="6" fillId="9" borderId="56" xfId="0" applyFont="1" applyFill="1" applyBorder="1" applyAlignment="1">
      <alignment horizontal="center" vertical="top" wrapText="1"/>
    </xf>
    <xf numFmtId="0" fontId="6" fillId="9" borderId="56" xfId="0" applyFont="1" applyFill="1" applyBorder="1" applyAlignment="1">
      <alignment horizontal="left" vertical="top" wrapText="1"/>
    </xf>
    <xf numFmtId="4" fontId="7" fillId="9" borderId="56" xfId="0" applyNumberFormat="1" applyFont="1" applyFill="1" applyBorder="1" applyAlignment="1">
      <alignment horizontal="right" vertical="top" wrapText="1"/>
    </xf>
    <xf numFmtId="44" fontId="6" fillId="9" borderId="56" xfId="1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66" fontId="20" fillId="9" borderId="45" xfId="2" applyNumberFormat="1" applyFont="1" applyFill="1" applyBorder="1" applyAlignment="1">
      <alignment vertical="top"/>
    </xf>
    <xf numFmtId="0" fontId="0" fillId="15" borderId="15" xfId="0" applyFill="1" applyBorder="1" applyAlignment="1">
      <alignment horizontal="center" vertical="top"/>
    </xf>
    <xf numFmtId="0" fontId="28" fillId="0" borderId="15" xfId="0" applyFont="1" applyBorder="1" applyAlignment="1">
      <alignment horizontal="center" vertical="center"/>
    </xf>
    <xf numFmtId="49" fontId="40" fillId="0" borderId="15" xfId="0" applyNumberFormat="1" applyFont="1" applyBorder="1" applyAlignment="1">
      <alignment horizontal="left" vertical="center" wrapText="1"/>
    </xf>
    <xf numFmtId="0" fontId="40" fillId="0" borderId="15" xfId="0" applyFont="1" applyBorder="1" applyAlignment="1">
      <alignment horizontal="center" vertical="center" wrapText="1"/>
    </xf>
    <xf numFmtId="0" fontId="40" fillId="0" borderId="15" xfId="0" applyFont="1" applyBorder="1" applyAlignment="1">
      <alignment horizontal="justify" vertical="center" wrapText="1"/>
    </xf>
    <xf numFmtId="43" fontId="28" fillId="0" borderId="15" xfId="5" applyFont="1" applyBorder="1" applyAlignment="1">
      <alignment horizontal="right" vertical="center"/>
    </xf>
    <xf numFmtId="166" fontId="20" fillId="10" borderId="45" xfId="2" applyNumberFormat="1" applyFont="1" applyFill="1" applyBorder="1" applyAlignment="1">
      <alignment vertical="top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top" wrapText="1"/>
    </xf>
    <xf numFmtId="0" fontId="9" fillId="0" borderId="0" xfId="0" applyFont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0" fontId="11" fillId="0" borderId="0" xfId="0" applyFont="1" applyAlignment="1">
      <alignment horizontal="right" vertical="top" wrapText="1"/>
    </xf>
    <xf numFmtId="2" fontId="12" fillId="0" borderId="0" xfId="1" applyNumberFormat="1" applyFont="1" applyFill="1" applyBorder="1" applyAlignment="1">
      <alignment horizontal="right" vertical="top" wrapText="1"/>
    </xf>
    <xf numFmtId="2" fontId="19" fillId="0" borderId="0" xfId="1" applyNumberFormat="1" applyFont="1" applyFill="1" applyBorder="1" applyAlignment="1">
      <alignment horizontal="right" vertical="top" wrapText="1"/>
    </xf>
    <xf numFmtId="44" fontId="2" fillId="0" borderId="0" xfId="1" applyFont="1" applyFill="1" applyBorder="1" applyAlignment="1">
      <alignment horizontal="right" vertical="top" wrapText="1"/>
    </xf>
    <xf numFmtId="0" fontId="23" fillId="15" borderId="13" xfId="0" applyFont="1" applyFill="1" applyBorder="1" applyAlignment="1">
      <alignment horizontal="right" vertical="top" wrapText="1"/>
    </xf>
    <xf numFmtId="0" fontId="19" fillId="0" borderId="15" xfId="0" applyFont="1" applyBorder="1" applyAlignment="1">
      <alignment horizontal="center" vertical="center" wrapText="1"/>
    </xf>
    <xf numFmtId="0" fontId="9" fillId="0" borderId="67" xfId="0" applyFont="1" applyBorder="1" applyAlignment="1">
      <alignment horizontal="left" vertical="top" wrapText="1"/>
    </xf>
    <xf numFmtId="0" fontId="9" fillId="0" borderId="68" xfId="0" applyFont="1" applyBorder="1" applyAlignment="1">
      <alignment horizontal="center" vertical="top" wrapText="1"/>
    </xf>
    <xf numFmtId="0" fontId="23" fillId="0" borderId="68" xfId="0" applyFont="1" applyBorder="1" applyAlignment="1">
      <alignment horizontal="right" vertical="top" wrapText="1"/>
    </xf>
    <xf numFmtId="0" fontId="10" fillId="0" borderId="68" xfId="0" applyFont="1" applyBorder="1" applyAlignment="1">
      <alignment horizontal="center" vertical="top" wrapText="1"/>
    </xf>
    <xf numFmtId="2" fontId="11" fillId="0" borderId="68" xfId="0" applyNumberFormat="1" applyFont="1" applyBorder="1" applyAlignment="1">
      <alignment horizontal="right" vertical="top" wrapText="1"/>
    </xf>
    <xf numFmtId="2" fontId="12" fillId="0" borderId="68" xfId="1" applyNumberFormat="1" applyFont="1" applyFill="1" applyBorder="1" applyAlignment="1">
      <alignment horizontal="right" vertical="top" wrapText="1"/>
    </xf>
    <xf numFmtId="2" fontId="19" fillId="0" borderId="69" xfId="1" applyNumberFormat="1" applyFont="1" applyFill="1" applyBorder="1" applyAlignment="1">
      <alignment horizontal="right" vertical="top" wrapText="1"/>
    </xf>
    <xf numFmtId="49" fontId="19" fillId="0" borderId="0" xfId="0" applyNumberFormat="1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43" fontId="18" fillId="0" borderId="0" xfId="5" applyFont="1" applyBorder="1" applyAlignment="1">
      <alignment horizontal="right" vertical="center"/>
    </xf>
    <xf numFmtId="49" fontId="40" fillId="0" borderId="0" xfId="0" applyNumberFormat="1" applyFont="1" applyAlignment="1">
      <alignment horizontal="left" vertical="center" wrapText="1"/>
    </xf>
    <xf numFmtId="0" fontId="40" fillId="0" borderId="0" xfId="0" applyFont="1" applyAlignment="1">
      <alignment horizontal="center" vertical="center" wrapText="1"/>
    </xf>
    <xf numFmtId="0" fontId="40" fillId="0" borderId="0" xfId="0" applyFont="1" applyAlignment="1">
      <alignment horizontal="justify" vertical="center" wrapText="1"/>
    </xf>
    <xf numFmtId="43" fontId="28" fillId="0" borderId="0" xfId="5" applyFont="1" applyBorder="1" applyAlignment="1">
      <alignment horizontal="right" vertical="center"/>
    </xf>
    <xf numFmtId="43" fontId="22" fillId="0" borderId="0" xfId="5" applyFont="1" applyFill="1" applyBorder="1" applyAlignment="1">
      <alignment horizontal="left" vertical="top"/>
    </xf>
    <xf numFmtId="43" fontId="0" fillId="0" borderId="0" xfId="5" applyFont="1" applyFill="1" applyBorder="1" applyAlignment="1">
      <alignment horizontal="left" vertical="top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justify" vertical="center" wrapText="1"/>
    </xf>
    <xf numFmtId="43" fontId="54" fillId="0" borderId="0" xfId="5" applyFont="1" applyBorder="1" applyAlignment="1">
      <alignment horizontal="right" vertical="center"/>
    </xf>
    <xf numFmtId="43" fontId="55" fillId="0" borderId="0" xfId="5" applyFont="1" applyBorder="1" applyAlignment="1">
      <alignment horizontal="right" vertical="center"/>
    </xf>
    <xf numFmtId="49" fontId="40" fillId="10" borderId="0" xfId="0" applyNumberFormat="1" applyFont="1" applyFill="1" applyAlignment="1">
      <alignment horizontal="left" vertical="center" wrapText="1"/>
    </xf>
    <xf numFmtId="0" fontId="40" fillId="10" borderId="0" xfId="0" applyFont="1" applyFill="1" applyAlignment="1">
      <alignment horizontal="center" vertical="center" wrapText="1"/>
    </xf>
    <xf numFmtId="0" fontId="40" fillId="10" borderId="0" xfId="0" applyFont="1" applyFill="1" applyAlignment="1">
      <alignment horizontal="justify" vertical="center" wrapText="1"/>
    </xf>
    <xf numFmtId="43" fontId="28" fillId="10" borderId="0" xfId="5" applyFont="1" applyFill="1" applyBorder="1" applyAlignment="1">
      <alignment horizontal="right" vertical="center"/>
    </xf>
    <xf numFmtId="43" fontId="18" fillId="10" borderId="0" xfId="5" applyFont="1" applyFill="1" applyBorder="1" applyAlignment="1">
      <alignment horizontal="right" vertical="center"/>
    </xf>
    <xf numFmtId="49" fontId="39" fillId="15" borderId="0" xfId="0" applyNumberFormat="1" applyFont="1" applyFill="1" applyAlignment="1">
      <alignment horizontal="center" vertical="center" wrapText="1"/>
    </xf>
    <xf numFmtId="0" fontId="39" fillId="15" borderId="0" xfId="0" applyFont="1" applyFill="1" applyAlignment="1">
      <alignment horizontal="center" vertical="center" wrapText="1"/>
    </xf>
    <xf numFmtId="0" fontId="39" fillId="15" borderId="0" xfId="0" applyFont="1" applyFill="1" applyAlignment="1">
      <alignment horizontal="left" vertical="center" wrapText="1"/>
    </xf>
    <xf numFmtId="43" fontId="39" fillId="15" borderId="0" xfId="5" applyFont="1" applyFill="1" applyBorder="1" applyAlignment="1">
      <alignment horizontal="center" vertical="center"/>
    </xf>
    <xf numFmtId="43" fontId="39" fillId="15" borderId="0" xfId="5" applyFont="1" applyFill="1" applyBorder="1" applyAlignment="1">
      <alignment horizontal="right" vertical="center"/>
    </xf>
    <xf numFmtId="43" fontId="28" fillId="10" borderId="0" xfId="5" applyFont="1" applyFill="1" applyBorder="1" applyAlignment="1">
      <alignment vertical="center"/>
    </xf>
    <xf numFmtId="0" fontId="0" fillId="15" borderId="0" xfId="0" applyFill="1"/>
    <xf numFmtId="0" fontId="22" fillId="15" borderId="0" xfId="0" applyFont="1" applyFill="1"/>
    <xf numFmtId="0" fontId="22" fillId="10" borderId="0" xfId="0" applyFont="1" applyFill="1"/>
    <xf numFmtId="0" fontId="28" fillId="10" borderId="0" xfId="0" applyFont="1" applyFill="1"/>
    <xf numFmtId="43" fontId="28" fillId="15" borderId="0" xfId="5" applyFont="1" applyFill="1" applyBorder="1" applyAlignment="1">
      <alignment horizontal="right" vertical="center"/>
    </xf>
    <xf numFmtId="0" fontId="28" fillId="10" borderId="0" xfId="0" applyFont="1" applyFill="1" applyAlignment="1">
      <alignment horizontal="justify" vertical="center" wrapText="1"/>
    </xf>
    <xf numFmtId="0" fontId="28" fillId="10" borderId="0" xfId="0" applyFont="1" applyFill="1" applyAlignment="1">
      <alignment horizontal="center" vertical="center" wrapText="1"/>
    </xf>
    <xf numFmtId="43" fontId="55" fillId="10" borderId="0" xfId="5" applyFont="1" applyFill="1" applyBorder="1" applyAlignment="1">
      <alignment horizontal="right" vertical="center"/>
    </xf>
    <xf numFmtId="0" fontId="0" fillId="15" borderId="15" xfId="0" applyFill="1" applyBorder="1" applyAlignment="1">
      <alignment vertical="top" wrapText="1"/>
    </xf>
    <xf numFmtId="0" fontId="38" fillId="0" borderId="15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justify" vertical="center" wrapText="1"/>
    </xf>
    <xf numFmtId="0" fontId="0" fillId="15" borderId="15" xfId="0" applyFill="1" applyBorder="1" applyAlignment="1">
      <alignment horizontal="left" vertical="top" wrapText="1"/>
    </xf>
    <xf numFmtId="166" fontId="0" fillId="15" borderId="15" xfId="2" applyNumberFormat="1" applyFont="1" applyFill="1" applyBorder="1" applyAlignment="1">
      <alignment vertical="top"/>
    </xf>
    <xf numFmtId="0" fontId="10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43" fontId="18" fillId="0" borderId="19" xfId="5" applyFont="1" applyBorder="1" applyAlignment="1">
      <alignment horizontal="right" vertical="center"/>
    </xf>
    <xf numFmtId="44" fontId="12" fillId="0" borderId="68" xfId="1" applyFont="1" applyFill="1" applyBorder="1" applyAlignment="1">
      <alignment horizontal="right" vertical="top" wrapText="1"/>
    </xf>
    <xf numFmtId="0" fontId="9" fillId="0" borderId="70" xfId="0" applyFont="1" applyBorder="1" applyAlignment="1">
      <alignment horizontal="left" vertical="top" wrapText="1"/>
    </xf>
    <xf numFmtId="0" fontId="9" fillId="0" borderId="71" xfId="0" applyFont="1" applyBorder="1" applyAlignment="1">
      <alignment horizontal="center" vertical="top" wrapText="1"/>
    </xf>
    <xf numFmtId="0" fontId="10" fillId="0" borderId="71" xfId="0" applyFont="1" applyBorder="1" applyAlignment="1">
      <alignment horizontal="center" vertical="top" wrapText="1"/>
    </xf>
    <xf numFmtId="2" fontId="11" fillId="0" borderId="71" xfId="0" applyNumberFormat="1" applyFont="1" applyBorder="1" applyAlignment="1">
      <alignment horizontal="right" vertical="top" wrapText="1"/>
    </xf>
    <xf numFmtId="44" fontId="12" fillId="0" borderId="71" xfId="1" applyFont="1" applyFill="1" applyBorder="1" applyAlignment="1">
      <alignment horizontal="right" vertical="top" wrapText="1"/>
    </xf>
    <xf numFmtId="2" fontId="19" fillId="0" borderId="72" xfId="1" applyNumberFormat="1" applyFont="1" applyFill="1" applyBorder="1" applyAlignment="1">
      <alignment horizontal="right" vertical="top" wrapText="1"/>
    </xf>
    <xf numFmtId="2" fontId="11" fillId="0" borderId="0" xfId="0" applyNumberFormat="1" applyFont="1" applyAlignment="1">
      <alignment horizontal="right" vertical="top" wrapText="1"/>
    </xf>
    <xf numFmtId="44" fontId="12" fillId="0" borderId="0" xfId="1" applyFont="1" applyFill="1" applyBorder="1" applyAlignment="1">
      <alignment horizontal="right" vertical="top" wrapText="1"/>
    </xf>
    <xf numFmtId="43" fontId="18" fillId="15" borderId="0" xfId="5" applyFont="1" applyFill="1" applyBorder="1" applyAlignment="1">
      <alignment horizontal="right" vertical="center"/>
    </xf>
    <xf numFmtId="0" fontId="40" fillId="10" borderId="0" xfId="0" applyFont="1" applyFill="1" applyAlignment="1">
      <alignment horizontal="left" vertical="top" wrapText="1"/>
    </xf>
    <xf numFmtId="43" fontId="58" fillId="10" borderId="0" xfId="5" applyFont="1" applyFill="1" applyBorder="1" applyAlignment="1">
      <alignment horizontal="right" vertical="center"/>
    </xf>
    <xf numFmtId="0" fontId="19" fillId="15" borderId="0" xfId="0" applyFont="1" applyFill="1" applyAlignment="1">
      <alignment horizontal="center" vertical="center" wrapText="1"/>
    </xf>
    <xf numFmtId="43" fontId="19" fillId="15" borderId="0" xfId="5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left" vertical="top" wrapText="1"/>
    </xf>
    <xf numFmtId="0" fontId="20" fillId="15" borderId="0" xfId="0" applyFont="1" applyFill="1"/>
    <xf numFmtId="0" fontId="20" fillId="0" borderId="1" xfId="0" applyFont="1" applyBorder="1" applyAlignment="1">
      <alignment horizontal="left" vertical="top" wrapText="1"/>
    </xf>
    <xf numFmtId="0" fontId="38" fillId="15" borderId="15" xfId="0" applyFont="1" applyFill="1" applyBorder="1" applyAlignment="1">
      <alignment vertical="top" wrapText="1"/>
    </xf>
    <xf numFmtId="0" fontId="9" fillId="0" borderId="71" xfId="0" applyFont="1" applyBorder="1" applyAlignment="1">
      <alignment horizontal="right" vertical="top" wrapText="1"/>
    </xf>
    <xf numFmtId="43" fontId="58" fillId="0" borderId="0" xfId="5" applyFont="1" applyBorder="1" applyAlignment="1">
      <alignment horizontal="right" vertical="center"/>
    </xf>
    <xf numFmtId="49" fontId="19" fillId="15" borderId="0" xfId="0" applyNumberFormat="1" applyFont="1" applyFill="1" applyAlignment="1">
      <alignment horizontal="center" vertical="center" wrapText="1"/>
    </xf>
    <xf numFmtId="43" fontId="19" fillId="15" borderId="0" xfId="5" applyFont="1" applyFill="1" applyBorder="1" applyAlignment="1">
      <alignment horizontal="right" vertical="center"/>
    </xf>
    <xf numFmtId="2" fontId="22" fillId="10" borderId="0" xfId="0" applyNumberFormat="1" applyFont="1" applyFill="1"/>
    <xf numFmtId="0" fontId="38" fillId="0" borderId="15" xfId="0" applyFont="1" applyBorder="1" applyAlignment="1">
      <alignment horizontal="center" vertical="top" wrapText="1"/>
    </xf>
    <xf numFmtId="0" fontId="9" fillId="0" borderId="68" xfId="0" applyFont="1" applyBorder="1" applyAlignment="1">
      <alignment horizontal="right" vertical="top" wrapText="1"/>
    </xf>
    <xf numFmtId="0" fontId="20" fillId="0" borderId="3" xfId="0" applyFont="1" applyBorder="1" applyAlignment="1">
      <alignment horizontal="right" vertical="top" wrapText="1"/>
    </xf>
    <xf numFmtId="0" fontId="20" fillId="15" borderId="3" xfId="0" applyFont="1" applyFill="1" applyBorder="1" applyAlignment="1">
      <alignment horizontal="right" vertical="top" wrapText="1"/>
    </xf>
    <xf numFmtId="0" fontId="20" fillId="15" borderId="0" xfId="0" applyFont="1" applyFill="1" applyAlignment="1">
      <alignment horizontal="left" vertical="top" wrapText="1"/>
    </xf>
    <xf numFmtId="0" fontId="20" fillId="15" borderId="0" xfId="0" applyFont="1" applyFill="1" applyAlignment="1">
      <alignment horizontal="right" vertical="top" wrapText="1"/>
    </xf>
    <xf numFmtId="0" fontId="57" fillId="0" borderId="15" xfId="0" applyFont="1" applyBorder="1" applyAlignment="1">
      <alignment horizontal="left" vertical="top" wrapText="1"/>
    </xf>
    <xf numFmtId="0" fontId="57" fillId="0" borderId="15" xfId="0" applyFont="1" applyBorder="1" applyAlignment="1">
      <alignment horizontal="center" vertical="top" wrapText="1"/>
    </xf>
    <xf numFmtId="4" fontId="57" fillId="0" borderId="15" xfId="0" applyNumberFormat="1" applyFont="1" applyBorder="1" applyAlignment="1">
      <alignment horizontal="right" vertical="top" wrapText="1"/>
    </xf>
    <xf numFmtId="44" fontId="57" fillId="0" borderId="15" xfId="1" applyFont="1" applyFill="1" applyBorder="1" applyAlignment="1">
      <alignment horizontal="right" vertical="top" wrapText="1"/>
    </xf>
    <xf numFmtId="10" fontId="57" fillId="0" borderId="15" xfId="2" applyNumberFormat="1" applyFont="1" applyFill="1" applyBorder="1" applyAlignment="1">
      <alignment horizontal="right" vertical="top" wrapText="1"/>
    </xf>
    <xf numFmtId="166" fontId="57" fillId="0" borderId="15" xfId="2" applyNumberFormat="1" applyFont="1" applyBorder="1" applyAlignment="1">
      <alignment vertical="top"/>
    </xf>
    <xf numFmtId="0" fontId="57" fillId="15" borderId="0" xfId="6" applyNumberFormat="1" applyFont="1" applyFill="1" applyBorder="1" applyAlignment="1">
      <alignment vertical="top" wrapText="1"/>
    </xf>
    <xf numFmtId="44" fontId="12" fillId="9" borderId="56" xfId="1" applyFont="1" applyFill="1" applyBorder="1" applyAlignment="1">
      <alignment horizontal="right" vertical="top" wrapText="1"/>
    </xf>
    <xf numFmtId="44" fontId="19" fillId="9" borderId="56" xfId="1" applyFont="1" applyFill="1" applyBorder="1" applyAlignment="1">
      <alignment horizontal="right" vertical="top" wrapText="1"/>
    </xf>
    <xf numFmtId="44" fontId="19" fillId="9" borderId="62" xfId="1" applyFont="1" applyFill="1" applyBorder="1" applyAlignment="1">
      <alignment horizontal="right" vertical="top" wrapText="1"/>
    </xf>
    <xf numFmtId="0" fontId="59" fillId="9" borderId="56" xfId="0" applyFont="1" applyFill="1" applyBorder="1" applyAlignment="1">
      <alignment horizontal="center" vertical="top" wrapText="1"/>
    </xf>
    <xf numFmtId="0" fontId="59" fillId="9" borderId="56" xfId="0" applyFont="1" applyFill="1" applyBorder="1" applyAlignment="1">
      <alignment horizontal="left" vertical="top" wrapText="1"/>
    </xf>
    <xf numFmtId="4" fontId="59" fillId="9" borderId="56" xfId="0" applyNumberFormat="1" applyFont="1" applyFill="1" applyBorder="1" applyAlignment="1">
      <alignment horizontal="right" vertical="top" wrapText="1"/>
    </xf>
    <xf numFmtId="44" fontId="59" fillId="9" borderId="56" xfId="1" applyFont="1" applyFill="1" applyBorder="1" applyAlignment="1">
      <alignment horizontal="left" vertical="top" wrapText="1"/>
    </xf>
    <xf numFmtId="44" fontId="59" fillId="9" borderId="56" xfId="1" applyFont="1" applyFill="1" applyBorder="1" applyAlignment="1">
      <alignment horizontal="right" vertical="top" wrapText="1"/>
    </xf>
    <xf numFmtId="44" fontId="59" fillId="9" borderId="62" xfId="1" applyFont="1" applyFill="1" applyBorder="1" applyAlignment="1">
      <alignment horizontal="right" vertical="top" wrapText="1"/>
    </xf>
    <xf numFmtId="166" fontId="27" fillId="9" borderId="15" xfId="2" applyNumberFormat="1" applyFont="1" applyFill="1" applyBorder="1" applyAlignment="1">
      <alignment vertical="top"/>
    </xf>
    <xf numFmtId="0" fontId="0" fillId="15" borderId="15" xfId="0" applyFill="1" applyBorder="1"/>
    <xf numFmtId="0" fontId="60" fillId="0" borderId="0" xfId="0" applyFont="1" applyAlignment="1">
      <alignment horizontal="right" vertical="center" wrapText="1"/>
    </xf>
    <xf numFmtId="0" fontId="60" fillId="0" borderId="0" xfId="0" applyFont="1"/>
    <xf numFmtId="44" fontId="57" fillId="15" borderId="15" xfId="1" applyFont="1" applyFill="1" applyBorder="1" applyAlignment="1">
      <alignment horizontal="right" vertical="top" wrapText="1"/>
    </xf>
    <xf numFmtId="44" fontId="57" fillId="0" borderId="15" xfId="0" applyNumberFormat="1" applyFont="1" applyBorder="1" applyAlignment="1">
      <alignment vertical="top"/>
    </xf>
    <xf numFmtId="44" fontId="57" fillId="0" borderId="15" xfId="1" applyFont="1" applyBorder="1" applyAlignment="1">
      <alignment vertical="top" wrapText="1"/>
    </xf>
    <xf numFmtId="44" fontId="57" fillId="0" borderId="15" xfId="1" applyFont="1" applyBorder="1" applyAlignment="1">
      <alignment vertical="top"/>
    </xf>
    <xf numFmtId="44" fontId="57" fillId="0" borderId="15" xfId="0" applyNumberFormat="1" applyFont="1" applyBorder="1" applyAlignment="1">
      <alignment vertical="top" wrapText="1"/>
    </xf>
    <xf numFmtId="44" fontId="52" fillId="15" borderId="15" xfId="1" applyFont="1" applyFill="1" applyBorder="1" applyAlignment="1">
      <alignment horizontal="left" vertical="top" wrapText="1"/>
    </xf>
    <xf numFmtId="0" fontId="22" fillId="0" borderId="15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center" vertical="center" wrapText="1"/>
    </xf>
    <xf numFmtId="10" fontId="57" fillId="15" borderId="15" xfId="2" applyNumberFormat="1" applyFont="1" applyFill="1" applyBorder="1" applyAlignment="1">
      <alignment horizontal="right" vertical="top" wrapText="1"/>
    </xf>
    <xf numFmtId="0" fontId="38" fillId="15" borderId="15" xfId="0" applyFont="1" applyFill="1" applyBorder="1" applyAlignment="1">
      <alignment horizontal="center" vertical="center" wrapText="1"/>
    </xf>
    <xf numFmtId="0" fontId="38" fillId="15" borderId="15" xfId="0" applyFont="1" applyFill="1" applyBorder="1" applyAlignment="1">
      <alignment horizontal="justify" vertical="center" wrapText="1"/>
    </xf>
    <xf numFmtId="44" fontId="52" fillId="0" borderId="15" xfId="1" applyFont="1" applyFill="1" applyBorder="1" applyAlignment="1">
      <alignment horizontal="right" vertical="top" wrapText="1"/>
    </xf>
    <xf numFmtId="0" fontId="2" fillId="0" borderId="11" xfId="0" applyFont="1" applyBorder="1" applyAlignment="1">
      <alignment horizontal="left" vertical="top" wrapText="1"/>
    </xf>
    <xf numFmtId="4" fontId="52" fillId="3" borderId="11" xfId="0" applyNumberFormat="1" applyFont="1" applyFill="1" applyBorder="1" applyAlignment="1">
      <alignment horizontal="right" vertical="top" wrapText="1"/>
    </xf>
    <xf numFmtId="4" fontId="13" fillId="19" borderId="11" xfId="0" applyNumberFormat="1" applyFont="1" applyFill="1" applyBorder="1" applyAlignment="1">
      <alignment horizontal="right" vertical="top" wrapText="1"/>
    </xf>
    <xf numFmtId="4" fontId="22" fillId="19" borderId="11" xfId="0" applyNumberFormat="1" applyFont="1" applyFill="1" applyBorder="1" applyAlignment="1">
      <alignment horizontal="right" vertical="top" wrapText="1"/>
    </xf>
    <xf numFmtId="0" fontId="14" fillId="5" borderId="50" xfId="0" applyFont="1" applyFill="1" applyBorder="1" applyAlignment="1">
      <alignment horizontal="left" vertical="top" wrapText="1"/>
    </xf>
    <xf numFmtId="0" fontId="14" fillId="5" borderId="51" xfId="0" applyFont="1" applyFill="1" applyBorder="1" applyAlignment="1">
      <alignment horizontal="left" vertical="top" wrapText="1"/>
    </xf>
    <xf numFmtId="0" fontId="14" fillId="5" borderId="52" xfId="0" applyFont="1" applyFill="1" applyBorder="1" applyAlignment="1">
      <alignment horizontal="left" vertical="top" wrapText="1"/>
    </xf>
    <xf numFmtId="0" fontId="14" fillId="5" borderId="52" xfId="0" applyFont="1" applyFill="1" applyBorder="1" applyAlignment="1">
      <alignment horizontal="right" vertical="top" wrapText="1"/>
    </xf>
    <xf numFmtId="0" fontId="14" fillId="5" borderId="46" xfId="0" applyFont="1" applyFill="1" applyBorder="1" applyAlignment="1">
      <alignment horizontal="right" vertical="top" wrapText="1"/>
    </xf>
    <xf numFmtId="0" fontId="14" fillId="0" borderId="46" xfId="0" applyFont="1" applyBorder="1" applyAlignment="1">
      <alignment horizontal="left" vertical="top" wrapText="1"/>
    </xf>
    <xf numFmtId="17" fontId="14" fillId="0" borderId="46" xfId="0" applyNumberFormat="1" applyFont="1" applyBorder="1" applyAlignment="1">
      <alignment horizontal="left" vertical="top" wrapText="1"/>
    </xf>
    <xf numFmtId="0" fontId="14" fillId="5" borderId="46" xfId="0" applyFont="1" applyFill="1" applyBorder="1" applyAlignment="1">
      <alignment horizontal="center" vertical="top" wrapText="1"/>
    </xf>
    <xf numFmtId="0" fontId="16" fillId="7" borderId="55" xfId="0" applyFont="1" applyFill="1" applyBorder="1" applyAlignment="1">
      <alignment horizontal="center" vertical="top" wrapText="1"/>
    </xf>
    <xf numFmtId="0" fontId="0" fillId="0" borderId="0" xfId="0"/>
    <xf numFmtId="0" fontId="25" fillId="0" borderId="46" xfId="0" applyFont="1" applyBorder="1"/>
    <xf numFmtId="0" fontId="25" fillId="0" borderId="48" xfId="0" applyFont="1" applyBorder="1"/>
    <xf numFmtId="44" fontId="33" fillId="11" borderId="46" xfId="0" applyNumberFormat="1" applyFont="1" applyFill="1" applyBorder="1" applyAlignment="1">
      <alignment horizontal="right" vertical="top" wrapText="1"/>
    </xf>
    <xf numFmtId="0" fontId="33" fillId="11" borderId="48" xfId="0" applyFont="1" applyFill="1" applyBorder="1" applyAlignment="1">
      <alignment horizontal="right" vertical="top" wrapText="1"/>
    </xf>
    <xf numFmtId="44" fontId="33" fillId="11" borderId="47" xfId="0" applyNumberFormat="1" applyFont="1" applyFill="1" applyBorder="1" applyAlignment="1">
      <alignment horizontal="right" vertical="top" wrapText="1"/>
    </xf>
    <xf numFmtId="0" fontId="33" fillId="11" borderId="49" xfId="0" applyFont="1" applyFill="1" applyBorder="1" applyAlignment="1">
      <alignment horizontal="right" vertical="top" wrapText="1"/>
    </xf>
    <xf numFmtId="0" fontId="33" fillId="11" borderId="47" xfId="0" applyFont="1" applyFill="1" applyBorder="1" applyAlignment="1">
      <alignment horizontal="center" vertical="top" wrapText="1"/>
    </xf>
    <xf numFmtId="0" fontId="33" fillId="11" borderId="46" xfId="0" applyFont="1" applyFill="1" applyBorder="1" applyAlignment="1">
      <alignment horizontal="center" vertical="top" wrapText="1"/>
    </xf>
    <xf numFmtId="44" fontId="19" fillId="11" borderId="54" xfId="1" applyFont="1" applyFill="1" applyBorder="1" applyAlignment="1">
      <alignment horizontal="center" vertical="center" wrapText="1"/>
    </xf>
    <xf numFmtId="44" fontId="19" fillId="11" borderId="53" xfId="1" applyFont="1" applyFill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top" wrapText="1"/>
    </xf>
    <xf numFmtId="0" fontId="14" fillId="0" borderId="63" xfId="0" applyFont="1" applyBorder="1" applyAlignment="1">
      <alignment horizontal="center" vertical="top" wrapText="1"/>
    </xf>
    <xf numFmtId="0" fontId="14" fillId="0" borderId="64" xfId="0" applyFont="1" applyBorder="1" applyAlignment="1">
      <alignment horizontal="center" vertical="top" wrapText="1"/>
    </xf>
    <xf numFmtId="0" fontId="14" fillId="0" borderId="65" xfId="0" applyFont="1" applyBorder="1" applyAlignment="1">
      <alignment horizontal="center" vertical="top" wrapText="1"/>
    </xf>
    <xf numFmtId="0" fontId="14" fillId="0" borderId="66" xfId="0" applyFont="1" applyBorder="1" applyAlignment="1">
      <alignment horizontal="center" vertical="top" wrapText="1"/>
    </xf>
    <xf numFmtId="0" fontId="26" fillId="5" borderId="0" xfId="0" applyFont="1" applyFill="1" applyAlignment="1">
      <alignment horizontal="center" vertical="center" wrapText="1"/>
    </xf>
    <xf numFmtId="0" fontId="9" fillId="0" borderId="12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14" fillId="5" borderId="17" xfId="0" applyFont="1" applyFill="1" applyBorder="1" applyAlignment="1">
      <alignment horizontal="right" vertical="top" wrapText="1"/>
    </xf>
    <xf numFmtId="0" fontId="14" fillId="5" borderId="19" xfId="0" applyFont="1" applyFill="1" applyBorder="1" applyAlignment="1">
      <alignment horizontal="right" vertical="top" wrapText="1"/>
    </xf>
    <xf numFmtId="0" fontId="14" fillId="5" borderId="17" xfId="0" applyFont="1" applyFill="1" applyBorder="1" applyAlignment="1">
      <alignment horizontal="left" vertical="top" wrapText="1"/>
    </xf>
    <xf numFmtId="0" fontId="14" fillId="5" borderId="18" xfId="0" applyFont="1" applyFill="1" applyBorder="1" applyAlignment="1">
      <alignment horizontal="left" vertical="top" wrapText="1"/>
    </xf>
    <xf numFmtId="0" fontId="14" fillId="5" borderId="19" xfId="0" applyFont="1" applyFill="1" applyBorder="1" applyAlignment="1">
      <alignment horizontal="left" vertical="top" wrapText="1"/>
    </xf>
    <xf numFmtId="0" fontId="14" fillId="5" borderId="15" xfId="0" applyFont="1" applyFill="1" applyBorder="1" applyAlignment="1">
      <alignment horizontal="right" vertical="top" wrapText="1"/>
    </xf>
    <xf numFmtId="0" fontId="33" fillId="5" borderId="20" xfId="0" applyFont="1" applyFill="1" applyBorder="1" applyAlignment="1">
      <alignment horizontal="center" vertical="top" wrapText="1"/>
    </xf>
    <xf numFmtId="2" fontId="19" fillId="0" borderId="13" xfId="1" applyNumberFormat="1" applyFont="1" applyFill="1" applyBorder="1" applyAlignment="1">
      <alignment horizontal="right" wrapText="1"/>
    </xf>
    <xf numFmtId="2" fontId="19" fillId="10" borderId="13" xfId="1" applyNumberFormat="1" applyFont="1" applyFill="1" applyBorder="1" applyAlignment="1">
      <alignment horizontal="right" wrapText="1"/>
    </xf>
    <xf numFmtId="2" fontId="19" fillId="11" borderId="13" xfId="1" applyNumberFormat="1" applyFont="1" applyFill="1" applyBorder="1" applyAlignment="1">
      <alignment horizontal="center" vertical="top" wrapText="1"/>
    </xf>
    <xf numFmtId="2" fontId="19" fillId="11" borderId="14" xfId="1" applyNumberFormat="1" applyFont="1" applyFill="1" applyBorder="1" applyAlignment="1">
      <alignment horizontal="center" vertical="top" wrapText="1"/>
    </xf>
    <xf numFmtId="0" fontId="14" fillId="5" borderId="27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left" vertical="top" wrapText="1"/>
    </xf>
    <xf numFmtId="0" fontId="53" fillId="17" borderId="11" xfId="4" applyFont="1" applyBorder="1" applyAlignment="1">
      <alignment horizontal="left" vertical="top" wrapText="1"/>
    </xf>
    <xf numFmtId="0" fontId="18" fillId="8" borderId="0" xfId="0" applyFont="1" applyFill="1" applyAlignment="1">
      <alignment horizontal="right" vertical="top" wrapText="1"/>
    </xf>
    <xf numFmtId="0" fontId="22" fillId="3" borderId="12" xfId="0" applyFont="1" applyFill="1" applyBorder="1" applyAlignment="1">
      <alignment horizontal="left" vertical="top" wrapText="1"/>
    </xf>
    <xf numFmtId="0" fontId="22" fillId="3" borderId="14" xfId="0" applyFont="1" applyFill="1" applyBorder="1" applyAlignment="1">
      <alignment horizontal="left" vertical="top" wrapText="1"/>
    </xf>
    <xf numFmtId="0" fontId="52" fillId="17" borderId="11" xfId="4" applyFont="1" applyBorder="1" applyAlignment="1">
      <alignment horizontal="left" vertical="top" wrapText="1"/>
    </xf>
    <xf numFmtId="0" fontId="20" fillId="8" borderId="0" xfId="0" applyFont="1" applyFill="1" applyAlignment="1">
      <alignment horizontal="right" vertical="top" wrapText="1"/>
    </xf>
    <xf numFmtId="0" fontId="52" fillId="17" borderId="12" xfId="4" applyFont="1" applyBorder="1" applyAlignment="1">
      <alignment horizontal="left" vertical="top" wrapText="1"/>
    </xf>
    <xf numFmtId="0" fontId="52" fillId="17" borderId="14" xfId="4" applyFont="1" applyBorder="1" applyAlignment="1">
      <alignment horizontal="left" vertical="top" wrapText="1"/>
    </xf>
    <xf numFmtId="0" fontId="20" fillId="8" borderId="11" xfId="0" applyFont="1" applyFill="1" applyBorder="1" applyAlignment="1">
      <alignment horizontal="left" vertical="top" wrapText="1"/>
    </xf>
    <xf numFmtId="0" fontId="39" fillId="10" borderId="11" xfId="0" applyFont="1" applyFill="1" applyBorder="1" applyAlignment="1">
      <alignment horizontal="left" vertical="top" wrapText="1"/>
    </xf>
    <xf numFmtId="0" fontId="2" fillId="8" borderId="11" xfId="0" applyFont="1" applyFill="1" applyBorder="1" applyAlignment="1">
      <alignment horizontal="left" vertical="top" wrapText="1"/>
    </xf>
    <xf numFmtId="0" fontId="19" fillId="10" borderId="12" xfId="0" applyFont="1" applyFill="1" applyBorder="1" applyAlignment="1">
      <alignment horizontal="left" vertical="top" wrapText="1"/>
    </xf>
    <xf numFmtId="0" fontId="19" fillId="10" borderId="14" xfId="0" applyFont="1" applyFill="1" applyBorder="1" applyAlignment="1">
      <alignment horizontal="left" vertical="top" wrapText="1"/>
    </xf>
    <xf numFmtId="0" fontId="13" fillId="3" borderId="12" xfId="0" applyFont="1" applyFill="1" applyBorder="1" applyAlignment="1">
      <alignment horizontal="left" vertical="top" wrapText="1"/>
    </xf>
    <xf numFmtId="0" fontId="13" fillId="3" borderId="14" xfId="0" applyFont="1" applyFill="1" applyBorder="1" applyAlignment="1">
      <alignment horizontal="left" vertical="top" wrapText="1"/>
    </xf>
    <xf numFmtId="0" fontId="27" fillId="0" borderId="15" xfId="0" applyFont="1" applyBorder="1" applyAlignment="1">
      <alignment horizontal="center"/>
    </xf>
    <xf numFmtId="0" fontId="22" fillId="4" borderId="11" xfId="0" applyFont="1" applyFill="1" applyBorder="1" applyAlignment="1">
      <alignment horizontal="left" vertical="top" wrapText="1"/>
    </xf>
    <xf numFmtId="0" fontId="39" fillId="10" borderId="12" xfId="0" applyFont="1" applyFill="1" applyBorder="1" applyAlignment="1">
      <alignment horizontal="left" vertical="top" wrapText="1"/>
    </xf>
    <xf numFmtId="0" fontId="39" fillId="10" borderId="14" xfId="0" applyFont="1" applyFill="1" applyBorder="1" applyAlignment="1">
      <alignment horizontal="left" vertical="top" wrapText="1"/>
    </xf>
    <xf numFmtId="0" fontId="20" fillId="8" borderId="12" xfId="0" applyFont="1" applyFill="1" applyBorder="1" applyAlignment="1">
      <alignment horizontal="left" vertical="top" wrapText="1"/>
    </xf>
    <xf numFmtId="0" fontId="20" fillId="8" borderId="14" xfId="0" applyFont="1" applyFill="1" applyBorder="1" applyAlignment="1">
      <alignment horizontal="left" vertical="top" wrapText="1"/>
    </xf>
    <xf numFmtId="0" fontId="20" fillId="8" borderId="13" xfId="0" applyFont="1" applyFill="1" applyBorder="1" applyAlignment="1">
      <alignment horizontal="right" vertical="top" wrapText="1"/>
    </xf>
    <xf numFmtId="0" fontId="13" fillId="3" borderId="11" xfId="0" applyFont="1" applyFill="1" applyBorder="1" applyAlignment="1">
      <alignment horizontal="left" vertical="top" wrapText="1"/>
    </xf>
    <xf numFmtId="0" fontId="20" fillId="10" borderId="75" xfId="0" applyFont="1" applyFill="1" applyBorder="1" applyAlignment="1">
      <alignment horizontal="center"/>
    </xf>
    <xf numFmtId="0" fontId="20" fillId="10" borderId="73" xfId="0" applyFont="1" applyFill="1" applyBorder="1" applyAlignment="1">
      <alignment horizontal="center"/>
    </xf>
    <xf numFmtId="0" fontId="20" fillId="10" borderId="74" xfId="0" applyFont="1" applyFill="1" applyBorder="1" applyAlignment="1">
      <alignment horizontal="center"/>
    </xf>
    <xf numFmtId="0" fontId="32" fillId="0" borderId="21" xfId="3" applyFont="1" applyBorder="1" applyAlignment="1">
      <alignment horizontal="center" vertical="center"/>
    </xf>
    <xf numFmtId="0" fontId="27" fillId="14" borderId="21" xfId="3" applyFont="1" applyFill="1" applyBorder="1" applyAlignment="1">
      <alignment horizontal="center"/>
    </xf>
    <xf numFmtId="0" fontId="14" fillId="5" borderId="18" xfId="0" applyFont="1" applyFill="1" applyBorder="1" applyAlignment="1">
      <alignment horizontal="center" vertical="center" wrapText="1"/>
    </xf>
    <xf numFmtId="0" fontId="20" fillId="10" borderId="15" xfId="0" applyFont="1" applyFill="1" applyBorder="1" applyAlignment="1">
      <alignment horizontal="center"/>
    </xf>
    <xf numFmtId="0" fontId="0" fillId="0" borderId="30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45" fillId="0" borderId="15" xfId="0" applyFont="1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30" xfId="0" applyBorder="1" applyAlignment="1">
      <alignment horizontal="left" wrapText="1"/>
    </xf>
    <xf numFmtId="0" fontId="0" fillId="0" borderId="31" xfId="0" applyBorder="1" applyAlignment="1">
      <alignment horizontal="left" wrapText="1"/>
    </xf>
    <xf numFmtId="0" fontId="43" fillId="18" borderId="30" xfId="0" applyFont="1" applyFill="1" applyBorder="1" applyAlignment="1">
      <alignment horizontal="left" vertical="top" wrapText="1"/>
    </xf>
    <xf numFmtId="0" fontId="43" fillId="18" borderId="31" xfId="0" applyFont="1" applyFill="1" applyBorder="1" applyAlignment="1">
      <alignment horizontal="left" vertical="top" wrapText="1"/>
    </xf>
    <xf numFmtId="0" fontId="43" fillId="18" borderId="32" xfId="0" applyFont="1" applyFill="1" applyBorder="1" applyAlignment="1">
      <alignment horizontal="left" vertical="top" wrapText="1"/>
    </xf>
    <xf numFmtId="0" fontId="47" fillId="0" borderId="34" xfId="0" applyFont="1" applyBorder="1" applyAlignment="1">
      <alignment horizontal="center" vertical="top" wrapText="1"/>
    </xf>
    <xf numFmtId="0" fontId="47" fillId="0" borderId="39" xfId="0" applyFont="1" applyBorder="1" applyAlignment="1">
      <alignment horizontal="center" vertical="top" wrapText="1"/>
    </xf>
    <xf numFmtId="0" fontId="47" fillId="0" borderId="35" xfId="0" applyFont="1" applyBorder="1" applyAlignment="1">
      <alignment horizontal="left" vertical="top" wrapText="1"/>
    </xf>
    <xf numFmtId="0" fontId="47" fillId="0" borderId="40" xfId="0" applyFont="1" applyBorder="1" applyAlignment="1">
      <alignment horizontal="left" vertical="top" wrapText="1"/>
    </xf>
    <xf numFmtId="0" fontId="41" fillId="0" borderId="30" xfId="0" applyFont="1" applyBorder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1" fillId="0" borderId="32" xfId="0" applyFont="1" applyBorder="1" applyAlignment="1">
      <alignment horizontal="center" vertical="center" wrapText="1"/>
    </xf>
    <xf numFmtId="0" fontId="43" fillId="0" borderId="30" xfId="0" applyFont="1" applyBorder="1" applyAlignment="1">
      <alignment horizontal="center" vertical="top" wrapText="1"/>
    </xf>
    <xf numFmtId="0" fontId="43" fillId="0" borderId="31" xfId="0" applyFont="1" applyBorder="1" applyAlignment="1">
      <alignment horizontal="center" vertical="top" wrapText="1"/>
    </xf>
    <xf numFmtId="0" fontId="43" fillId="0" borderId="32" xfId="0" applyFont="1" applyBorder="1" applyAlignment="1">
      <alignment horizontal="center" vertical="top" wrapText="1"/>
    </xf>
    <xf numFmtId="0" fontId="0" fillId="0" borderId="39" xfId="0" applyBorder="1" applyAlignment="1">
      <alignment horizontal="left" wrapText="1"/>
    </xf>
    <xf numFmtId="0" fontId="0" fillId="0" borderId="40" xfId="0" applyBorder="1" applyAlignment="1">
      <alignment horizontal="left" wrapText="1"/>
    </xf>
    <xf numFmtId="0" fontId="43" fillId="18" borderId="30" xfId="0" applyFont="1" applyFill="1" applyBorder="1" applyAlignment="1">
      <alignment horizontal="right" vertical="top" wrapText="1"/>
    </xf>
    <xf numFmtId="0" fontId="43" fillId="18" borderId="32" xfId="0" applyFont="1" applyFill="1" applyBorder="1" applyAlignment="1">
      <alignment horizontal="right" vertical="top" wrapText="1"/>
    </xf>
    <xf numFmtId="0" fontId="9" fillId="0" borderId="0" xfId="0" applyFont="1" applyBorder="1" applyAlignment="1">
      <alignment horizontal="center" vertical="top" wrapText="1"/>
    </xf>
    <xf numFmtId="0" fontId="14" fillId="5" borderId="76" xfId="0" applyFont="1" applyFill="1" applyBorder="1" applyAlignment="1">
      <alignment horizontal="left" vertical="top" wrapText="1"/>
    </xf>
    <xf numFmtId="0" fontId="14" fillId="5" borderId="77" xfId="0" applyFont="1" applyFill="1" applyBorder="1" applyAlignment="1">
      <alignment horizontal="center" vertical="top" wrapText="1"/>
    </xf>
    <xf numFmtId="0" fontId="26" fillId="5" borderId="77" xfId="0" applyFont="1" applyFill="1" applyBorder="1" applyAlignment="1">
      <alignment horizontal="center" vertical="center" wrapText="1"/>
    </xf>
    <xf numFmtId="0" fontId="26" fillId="5" borderId="78" xfId="0" applyFont="1" applyFill="1" applyBorder="1" applyAlignment="1">
      <alignment vertical="center" wrapText="1"/>
    </xf>
    <xf numFmtId="0" fontId="0" fillId="0" borderId="79" xfId="0" applyBorder="1"/>
    <xf numFmtId="0" fontId="14" fillId="5" borderId="80" xfId="0" applyFont="1" applyFill="1" applyBorder="1" applyAlignment="1">
      <alignment horizontal="left" vertical="top" wrapText="1"/>
    </xf>
    <xf numFmtId="0" fontId="0" fillId="0" borderId="0" xfId="0" applyBorder="1"/>
    <xf numFmtId="0" fontId="14" fillId="5" borderId="80" xfId="0" applyFont="1" applyFill="1" applyBorder="1" applyAlignment="1">
      <alignment horizontal="right" vertical="top" wrapText="1"/>
    </xf>
    <xf numFmtId="0" fontId="14" fillId="5" borderId="81" xfId="0" applyFont="1" applyFill="1" applyBorder="1" applyAlignment="1">
      <alignment horizontal="right" vertical="top" wrapText="1"/>
    </xf>
    <xf numFmtId="0" fontId="24" fillId="2" borderId="80" xfId="0" applyFont="1" applyFill="1" applyBorder="1" applyAlignment="1">
      <alignment horizontal="center" wrapText="1"/>
    </xf>
    <xf numFmtId="0" fontId="3" fillId="0" borderId="80" xfId="0" applyFont="1" applyBorder="1" applyAlignment="1">
      <alignment horizontal="left" vertical="top" wrapText="1"/>
    </xf>
    <xf numFmtId="0" fontId="36" fillId="9" borderId="82" xfId="0" applyFont="1" applyFill="1" applyBorder="1" applyAlignment="1">
      <alignment horizontal="left" vertical="top" wrapText="1"/>
    </xf>
    <xf numFmtId="0" fontId="37" fillId="0" borderId="24" xfId="0" applyFont="1" applyBorder="1" applyAlignment="1">
      <alignment horizontal="left" vertical="top" wrapText="1"/>
    </xf>
    <xf numFmtId="0" fontId="37" fillId="15" borderId="24" xfId="0" applyFont="1" applyFill="1" applyBorder="1" applyAlignment="1">
      <alignment horizontal="left" vertical="top" wrapText="1"/>
    </xf>
    <xf numFmtId="0" fontId="0" fillId="15" borderId="0" xfId="0" applyFill="1" applyBorder="1"/>
    <xf numFmtId="0" fontId="36" fillId="9" borderId="83" xfId="0" applyFont="1" applyFill="1" applyBorder="1" applyAlignment="1">
      <alignment horizontal="left" vertical="top" wrapText="1"/>
    </xf>
    <xf numFmtId="44" fontId="0" fillId="0" borderId="0" xfId="0" applyNumberFormat="1" applyBorder="1"/>
    <xf numFmtId="0" fontId="59" fillId="9" borderId="83" xfId="0" applyFont="1" applyFill="1" applyBorder="1" applyAlignment="1">
      <alignment horizontal="left" vertical="top" wrapText="1"/>
    </xf>
    <xf numFmtId="0" fontId="31" fillId="0" borderId="0" xfId="0" applyFont="1" applyBorder="1"/>
    <xf numFmtId="0" fontId="20" fillId="9" borderId="83" xfId="0" applyFont="1" applyFill="1" applyBorder="1" applyAlignment="1">
      <alignment horizontal="left" vertical="top"/>
    </xf>
    <xf numFmtId="0" fontId="39" fillId="9" borderId="83" xfId="0" applyFont="1" applyFill="1" applyBorder="1" applyAlignment="1">
      <alignment horizontal="left" vertical="top" wrapText="1"/>
    </xf>
    <xf numFmtId="0" fontId="22" fillId="0" borderId="0" xfId="0" applyFont="1" applyBorder="1"/>
    <xf numFmtId="0" fontId="0" fillId="0" borderId="24" xfId="0" applyBorder="1" applyAlignment="1">
      <alignment vertical="top"/>
    </xf>
    <xf numFmtId="0" fontId="20" fillId="9" borderId="84" xfId="0" applyFont="1" applyFill="1" applyBorder="1" applyAlignment="1">
      <alignment horizontal="left" vertical="top"/>
    </xf>
    <xf numFmtId="0" fontId="39" fillId="10" borderId="82" xfId="0" applyFont="1" applyFill="1" applyBorder="1" applyAlignment="1">
      <alignment horizontal="left" vertical="top" wrapText="1"/>
    </xf>
    <xf numFmtId="0" fontId="19" fillId="10" borderId="83" xfId="0" applyFont="1" applyFill="1" applyBorder="1" applyAlignment="1">
      <alignment horizontal="left" vertical="top" wrapText="1"/>
    </xf>
    <xf numFmtId="0" fontId="0" fillId="10" borderId="0" xfId="0" applyFill="1" applyBorder="1"/>
    <xf numFmtId="4" fontId="0" fillId="0" borderId="0" xfId="0" applyNumberFormat="1" applyBorder="1"/>
    <xf numFmtId="0" fontId="18" fillId="10" borderId="83" xfId="0" applyFont="1" applyFill="1" applyBorder="1" applyAlignment="1">
      <alignment vertical="top"/>
    </xf>
    <xf numFmtId="0" fontId="22" fillId="9" borderId="0" xfId="0" applyFont="1" applyFill="1" applyBorder="1"/>
    <xf numFmtId="0" fontId="6" fillId="10" borderId="82" xfId="0" applyFont="1" applyFill="1" applyBorder="1" applyAlignment="1">
      <alignment horizontal="left" vertical="top" wrapText="1"/>
    </xf>
    <xf numFmtId="0" fontId="6" fillId="10" borderId="83" xfId="0" applyFont="1" applyFill="1" applyBorder="1" applyAlignment="1">
      <alignment horizontal="left" vertical="top" wrapText="1"/>
    </xf>
    <xf numFmtId="0" fontId="38" fillId="0" borderId="24" xfId="0" applyFont="1" applyBorder="1" applyAlignment="1">
      <alignment horizontal="left" vertical="top" wrapText="1"/>
    </xf>
    <xf numFmtId="0" fontId="39" fillId="9" borderId="84" xfId="0" applyFont="1" applyFill="1" applyBorder="1" applyAlignment="1">
      <alignment horizontal="left" vertical="top" wrapText="1"/>
    </xf>
    <xf numFmtId="0" fontId="20" fillId="9" borderId="0" xfId="0" applyFont="1" applyFill="1" applyBorder="1"/>
    <xf numFmtId="0" fontId="6" fillId="9" borderId="83" xfId="0" applyFont="1" applyFill="1" applyBorder="1" applyAlignment="1">
      <alignment horizontal="left" vertical="top" wrapText="1"/>
    </xf>
    <xf numFmtId="0" fontId="37" fillId="0" borderId="0" xfId="0" applyFont="1" applyBorder="1" applyAlignment="1">
      <alignment horizontal="center" vertical="top" wrapText="1"/>
    </xf>
    <xf numFmtId="0" fontId="38" fillId="0" borderId="0" xfId="0" applyFont="1" applyBorder="1" applyAlignment="1">
      <alignment vertical="top" wrapText="1"/>
    </xf>
    <xf numFmtId="0" fontId="0" fillId="9" borderId="0" xfId="0" applyFill="1" applyBorder="1"/>
    <xf numFmtId="9" fontId="0" fillId="0" borderId="0" xfId="0" applyNumberFormat="1" applyBorder="1"/>
    <xf numFmtId="0" fontId="57" fillId="0" borderId="24" xfId="0" applyFont="1" applyBorder="1" applyAlignment="1">
      <alignment horizontal="left" vertical="top" wrapText="1"/>
    </xf>
    <xf numFmtId="0" fontId="57" fillId="0" borderId="0" xfId="0" applyFont="1" applyBorder="1"/>
    <xf numFmtId="0" fontId="37" fillId="0" borderId="85" xfId="0" applyFont="1" applyBorder="1" applyAlignment="1">
      <alignment horizontal="left" vertical="top" wrapText="1"/>
    </xf>
    <xf numFmtId="0" fontId="37" fillId="0" borderId="0" xfId="0" applyFont="1" applyBorder="1" applyAlignment="1">
      <alignment horizontal="left" vertical="top" wrapText="1"/>
    </xf>
    <xf numFmtId="2" fontId="37" fillId="0" borderId="0" xfId="0" applyNumberFormat="1" applyFont="1" applyBorder="1" applyAlignment="1">
      <alignment horizontal="right" vertical="top" wrapText="1"/>
    </xf>
    <xf numFmtId="0" fontId="9" fillId="0" borderId="85" xfId="0" applyFont="1" applyBorder="1" applyAlignment="1">
      <alignment horizontal="center" vertical="top" wrapText="1"/>
    </xf>
    <xf numFmtId="0" fontId="14" fillId="0" borderId="86" xfId="0" applyFont="1" applyBorder="1" applyAlignment="1">
      <alignment horizontal="center" vertical="top" wrapText="1"/>
    </xf>
    <xf numFmtId="0" fontId="14" fillId="0" borderId="87" xfId="0" applyFont="1" applyBorder="1" applyAlignment="1">
      <alignment horizontal="center" vertical="top" wrapText="1"/>
    </xf>
    <xf numFmtId="44" fontId="19" fillId="11" borderId="88" xfId="1" applyFont="1" applyFill="1" applyBorder="1" applyAlignment="1">
      <alignment horizontal="center" vertical="center" wrapText="1"/>
    </xf>
    <xf numFmtId="0" fontId="59" fillId="0" borderId="85" xfId="0" applyFont="1" applyBorder="1" applyAlignment="1">
      <alignment horizontal="center" vertical="center" wrapText="1"/>
    </xf>
    <xf numFmtId="0" fontId="59" fillId="0" borderId="0" xfId="0" applyFont="1" applyBorder="1" applyAlignment="1">
      <alignment horizontal="center" vertical="center" wrapText="1"/>
    </xf>
    <xf numFmtId="0" fontId="27" fillId="0" borderId="8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0" fillId="0" borderId="85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0" fillId="0" borderId="75" xfId="0" applyBorder="1"/>
    <xf numFmtId="0" fontId="0" fillId="0" borderId="73" xfId="0" applyBorder="1"/>
    <xf numFmtId="2" fontId="0" fillId="0" borderId="73" xfId="0" applyNumberFormat="1" applyBorder="1"/>
    <xf numFmtId="44" fontId="0" fillId="0" borderId="73" xfId="1" applyFont="1" applyBorder="1"/>
  </cellXfs>
  <cellStyles count="7">
    <cellStyle name="20% - Ênfase3" xfId="4" builtinId="38"/>
    <cellStyle name="Hiperlink" xfId="6" builtinId="8"/>
    <cellStyle name="Moeda" xfId="1" builtinId="4"/>
    <cellStyle name="Normal" xfId="0" builtinId="0"/>
    <cellStyle name="Normal 13 2 7 4 4" xfId="3" xr:uid="{00000000-0005-0000-0000-000002000000}"/>
    <cellStyle name="Porcentagem" xfId="2" builtinId="5"/>
    <cellStyle name="Vírgula" xfId="5" builtinId="3"/>
  </cellStyles>
  <dxfs count="18"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88582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1</xdr:col>
      <xdr:colOff>1106130</xdr:colOff>
      <xdr:row>1</xdr:row>
      <xdr:rowOff>156881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3E3F7BF-8E33-4C84-B2D7-BE36099E5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2454" cy="10197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3003177</xdr:colOff>
      <xdr:row>185</xdr:row>
      <xdr:rowOff>44824</xdr:rowOff>
    </xdr:from>
    <xdr:to>
      <xdr:col>3</xdr:col>
      <xdr:colOff>5108727</xdr:colOff>
      <xdr:row>185</xdr:row>
      <xdr:rowOff>1580665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69F1DD8-777C-4802-AF91-4A91FB050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69324" y="38828383"/>
          <a:ext cx="2105550" cy="1532031"/>
        </a:xfrm>
        <a:prstGeom prst="rect">
          <a:avLst/>
        </a:prstGeom>
      </xdr:spPr>
    </xdr:pic>
    <xdr:clientData/>
  </xdr:twoCellAnchor>
  <xdr:twoCellAnchor editAs="oneCell">
    <xdr:from>
      <xdr:col>0</xdr:col>
      <xdr:colOff>22412</xdr:colOff>
      <xdr:row>0</xdr:row>
      <xdr:rowOff>67236</xdr:rowOff>
    </xdr:from>
    <xdr:to>
      <xdr:col>1</xdr:col>
      <xdr:colOff>1128542</xdr:colOff>
      <xdr:row>0</xdr:row>
      <xdr:rowOff>1072557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AC0E528-43C3-444A-B3DD-F30E165B6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2" y="67236"/>
          <a:ext cx="1722454" cy="10053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181428</xdr:colOff>
      <xdr:row>0</xdr:row>
      <xdr:rowOff>181429</xdr:rowOff>
    </xdr:from>
    <xdr:to>
      <xdr:col>2</xdr:col>
      <xdr:colOff>177215</xdr:colOff>
      <xdr:row>0</xdr:row>
      <xdr:rowOff>1186750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8EF4CA2-264E-43C4-B0A1-CC57DC15A6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428" y="181429"/>
          <a:ext cx="1866769" cy="10053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12370</xdr:colOff>
      <xdr:row>0</xdr:row>
      <xdr:rowOff>74221</xdr:rowOff>
    </xdr:from>
    <xdr:to>
      <xdr:col>1</xdr:col>
      <xdr:colOff>1118500</xdr:colOff>
      <xdr:row>0</xdr:row>
      <xdr:rowOff>1079542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4668797-1FE2-4C23-A2E3-997676F0D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70" y="74221"/>
          <a:ext cx="2417364" cy="100532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771937</xdr:colOff>
      <xdr:row>21</xdr:row>
      <xdr:rowOff>92452</xdr:rowOff>
    </xdr:from>
    <xdr:ext cx="2913519" cy="415195"/>
    <xdr:pic>
      <xdr:nvPicPr>
        <xdr:cNvPr id="4" name="image1.jpeg">
          <a:extLst>
            <a:ext uri="{FF2B5EF4-FFF2-40B4-BE49-F238E27FC236}">
              <a16:creationId xmlns:a16="http://schemas.microsoft.com/office/drawing/2014/main" id="{9B574BBA-546D-4B6C-ACF1-C04B19C3B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3762" y="4369177"/>
          <a:ext cx="2913519" cy="415195"/>
        </a:xfrm>
        <a:prstGeom prst="rect">
          <a:avLst/>
        </a:prstGeom>
      </xdr:spPr>
    </xdr:pic>
    <xdr:clientData/>
  </xdr:oneCellAnchor>
  <xdr:twoCellAnchor editAs="oneCell">
    <xdr:from>
      <xdr:col>0</xdr:col>
      <xdr:colOff>47626</xdr:colOff>
      <xdr:row>1</xdr:row>
      <xdr:rowOff>104775</xdr:rowOff>
    </xdr:from>
    <xdr:to>
      <xdr:col>0</xdr:col>
      <xdr:colOff>1580024</xdr:colOff>
      <xdr:row>1</xdr:row>
      <xdr:rowOff>571500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F220890D-77B9-489E-9FD6-D7B77952E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285750"/>
          <a:ext cx="1532398" cy="4667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781802</xdr:colOff>
      <xdr:row>21</xdr:row>
      <xdr:rowOff>79526</xdr:rowOff>
    </xdr:from>
    <xdr:ext cx="2913519" cy="415195"/>
    <xdr:pic>
      <xdr:nvPicPr>
        <xdr:cNvPr id="4" name="image1.jpeg">
          <a:extLst>
            <a:ext uri="{FF2B5EF4-FFF2-40B4-BE49-F238E27FC236}">
              <a16:creationId xmlns:a16="http://schemas.microsoft.com/office/drawing/2014/main" id="{83C24DC0-59D9-4BC7-B25D-B937C3839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0240" y="4306245"/>
          <a:ext cx="2913519" cy="415195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1</xdr:row>
      <xdr:rowOff>85045</xdr:rowOff>
    </xdr:from>
    <xdr:to>
      <xdr:col>0</xdr:col>
      <xdr:colOff>1532398</xdr:colOff>
      <xdr:row>1</xdr:row>
      <xdr:rowOff>551770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0DD23D2-E923-420B-B961-2203C45A8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3639"/>
          <a:ext cx="1532398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50"/>
  <sheetViews>
    <sheetView tabSelected="1" showRuler="0" showOutlineSymbols="0" showWhiteSpace="0" view="pageBreakPreview" zoomScale="70" zoomScaleNormal="70" zoomScaleSheetLayoutView="70" workbookViewId="0">
      <selection activeCell="M1" sqref="M1"/>
    </sheetView>
  </sheetViews>
  <sheetFormatPr defaultRowHeight="13.8" x14ac:dyDescent="0.25"/>
  <cols>
    <col min="1" max="1" width="8.09765625" style="220" customWidth="1"/>
    <col min="2" max="2" width="18.09765625" style="233" customWidth="1"/>
    <col min="3" max="3" width="13.19921875" style="233" bestFit="1" customWidth="1"/>
    <col min="4" max="4" width="66.19921875" customWidth="1"/>
    <col min="5" max="5" width="10.59765625" customWidth="1"/>
    <col min="6" max="6" width="13" style="37" bestFit="1" customWidth="1"/>
    <col min="7" max="7" width="14.09765625" style="217" customWidth="1"/>
    <col min="8" max="8" width="9" style="217" customWidth="1"/>
    <col min="9" max="9" width="14.8984375" style="217" customWidth="1"/>
    <col min="10" max="10" width="22.3984375" style="217" customWidth="1"/>
    <col min="11" max="11" width="20.59765625" style="217" customWidth="1"/>
    <col min="12" max="12" width="14.09765625" customWidth="1"/>
    <col min="13" max="13" width="13.5" bestFit="1" customWidth="1"/>
    <col min="14" max="14" width="16.19921875" bestFit="1" customWidth="1"/>
  </cols>
  <sheetData>
    <row r="1" spans="1:14" s="643" customFormat="1" ht="68.25" customHeight="1" x14ac:dyDescent="0.25">
      <c r="A1" s="639"/>
      <c r="B1" s="640"/>
      <c r="C1" s="641" t="s">
        <v>64</v>
      </c>
      <c r="D1" s="641"/>
      <c r="E1" s="641"/>
      <c r="F1" s="641"/>
      <c r="G1" s="641"/>
      <c r="H1" s="641"/>
      <c r="I1" s="641"/>
      <c r="J1" s="641"/>
      <c r="K1" s="642"/>
    </row>
    <row r="2" spans="1:14" s="645" customFormat="1" x14ac:dyDescent="0.25">
      <c r="A2" s="644"/>
      <c r="B2" s="214"/>
      <c r="C2" s="549" t="s">
        <v>475</v>
      </c>
      <c r="D2" s="549"/>
      <c r="E2" s="549"/>
      <c r="F2" s="549"/>
      <c r="G2" s="549"/>
      <c r="H2" s="549"/>
      <c r="I2" s="549"/>
      <c r="J2" s="549"/>
      <c r="K2" s="191"/>
    </row>
    <row r="3" spans="1:14" s="645" customFormat="1" x14ac:dyDescent="0.25">
      <c r="A3" s="644"/>
      <c r="B3" s="549"/>
      <c r="C3" s="549"/>
      <c r="D3" s="549"/>
      <c r="E3" s="549"/>
      <c r="F3" s="549"/>
      <c r="G3" s="549"/>
      <c r="H3" s="549"/>
      <c r="I3" s="549"/>
      <c r="J3" s="549"/>
      <c r="K3" s="192"/>
      <c r="N3" s="645" t="s">
        <v>483</v>
      </c>
    </row>
    <row r="4" spans="1:14" s="645" customFormat="1" ht="34.5" customHeight="1" x14ac:dyDescent="0.25">
      <c r="A4" s="646" t="s">
        <v>65</v>
      </c>
      <c r="B4" s="546"/>
      <c r="C4" s="547" t="s">
        <v>1194</v>
      </c>
      <c r="D4" s="547"/>
      <c r="E4" s="547"/>
      <c r="F4" s="547"/>
      <c r="G4" s="547"/>
      <c r="H4" s="547"/>
      <c r="I4" s="547"/>
      <c r="J4" s="196" t="s">
        <v>265</v>
      </c>
      <c r="K4" s="193">
        <v>0.2452</v>
      </c>
      <c r="N4" s="645" t="s">
        <v>484</v>
      </c>
    </row>
    <row r="5" spans="1:14" s="645" customFormat="1" ht="21.75" customHeight="1" x14ac:dyDescent="0.25">
      <c r="A5" s="647" t="s">
        <v>267</v>
      </c>
      <c r="B5" s="545"/>
      <c r="C5" s="542" t="s">
        <v>468</v>
      </c>
      <c r="D5" s="543"/>
      <c r="E5" s="543"/>
      <c r="F5" s="543"/>
      <c r="G5" s="543"/>
      <c r="H5" s="543"/>
      <c r="I5" s="544"/>
      <c r="J5" s="196" t="s">
        <v>266</v>
      </c>
      <c r="K5" s="193">
        <v>0.16320000000000001</v>
      </c>
      <c r="N5" s="645" t="s">
        <v>498</v>
      </c>
    </row>
    <row r="6" spans="1:14" s="645" customFormat="1" ht="17.25" customHeight="1" x14ac:dyDescent="0.25">
      <c r="A6" s="646" t="s">
        <v>66</v>
      </c>
      <c r="B6" s="546"/>
      <c r="C6" s="548">
        <v>46054</v>
      </c>
      <c r="D6" s="547"/>
      <c r="E6" s="547"/>
      <c r="F6" s="547"/>
      <c r="G6" s="547"/>
      <c r="H6" s="547"/>
      <c r="I6" s="547"/>
      <c r="J6" s="217"/>
      <c r="K6" s="217"/>
      <c r="N6" s="645" t="s">
        <v>485</v>
      </c>
    </row>
    <row r="7" spans="1:14" s="645" customFormat="1" ht="25.5" customHeight="1" x14ac:dyDescent="0.25">
      <c r="A7" s="646" t="s">
        <v>67</v>
      </c>
      <c r="B7" s="546"/>
      <c r="C7" s="547" t="s">
        <v>734</v>
      </c>
      <c r="D7" s="547"/>
      <c r="E7" s="547"/>
      <c r="F7" s="547"/>
      <c r="G7" s="547"/>
      <c r="H7" s="547"/>
      <c r="I7" s="547"/>
      <c r="J7" s="547"/>
      <c r="K7" s="194"/>
      <c r="N7" s="645" t="s">
        <v>489</v>
      </c>
    </row>
    <row r="8" spans="1:14" s="645" customFormat="1" ht="24" customHeight="1" x14ac:dyDescent="0.3">
      <c r="A8" s="648" t="s">
        <v>0</v>
      </c>
      <c r="B8" s="552"/>
      <c r="C8" s="552"/>
      <c r="D8" s="552"/>
      <c r="E8" s="552"/>
      <c r="F8" s="552"/>
      <c r="G8" s="552"/>
      <c r="H8" s="552"/>
      <c r="I8" s="552"/>
      <c r="J8" s="552"/>
      <c r="K8" s="553"/>
      <c r="N8" s="645" t="s">
        <v>499</v>
      </c>
    </row>
    <row r="9" spans="1:14" s="645" customFormat="1" ht="30" customHeight="1" x14ac:dyDescent="0.25">
      <c r="A9" s="649" t="s">
        <v>1</v>
      </c>
      <c r="B9" s="187" t="s">
        <v>2</v>
      </c>
      <c r="C9" s="188" t="s">
        <v>3</v>
      </c>
      <c r="D9" s="186" t="s">
        <v>4</v>
      </c>
      <c r="E9" s="189" t="s">
        <v>5</v>
      </c>
      <c r="F9" s="402" t="s">
        <v>6</v>
      </c>
      <c r="G9" s="190" t="s">
        <v>44</v>
      </c>
      <c r="H9" s="190" t="s">
        <v>177</v>
      </c>
      <c r="I9" s="190" t="s">
        <v>8</v>
      </c>
      <c r="J9" s="190" t="s">
        <v>43</v>
      </c>
      <c r="K9" s="195" t="s">
        <v>42</v>
      </c>
      <c r="L9" s="195" t="s">
        <v>367</v>
      </c>
      <c r="N9" s="427" t="s">
        <v>563</v>
      </c>
    </row>
    <row r="10" spans="1:14" s="645" customFormat="1" ht="23.25" customHeight="1" x14ac:dyDescent="0.25">
      <c r="A10" s="650" t="s">
        <v>10</v>
      </c>
      <c r="B10" s="350"/>
      <c r="C10" s="350"/>
      <c r="D10" s="283" t="s">
        <v>11</v>
      </c>
      <c r="E10" s="283"/>
      <c r="F10" s="351"/>
      <c r="G10" s="352"/>
      <c r="H10" s="352"/>
      <c r="I10" s="352"/>
      <c r="J10" s="353">
        <f>SUM(J11:J18)</f>
        <v>31411.379999999997</v>
      </c>
      <c r="K10" s="354">
        <f>SUM(K11:K18)</f>
        <v>38536.19</v>
      </c>
      <c r="L10" s="404">
        <f t="shared" ref="L10:L41" si="0">K10/$J$321</f>
        <v>4.4481924741954809E-2</v>
      </c>
      <c r="N10" s="645" t="s">
        <v>564</v>
      </c>
    </row>
    <row r="11" spans="1:14" s="645" customFormat="1" ht="48.6" customHeight="1" x14ac:dyDescent="0.25">
      <c r="A11" s="651" t="s">
        <v>12</v>
      </c>
      <c r="B11" s="285">
        <v>103689</v>
      </c>
      <c r="C11" s="286" t="s">
        <v>13</v>
      </c>
      <c r="D11" s="284" t="s">
        <v>753</v>
      </c>
      <c r="E11" s="285" t="s">
        <v>21</v>
      </c>
      <c r="F11" s="387">
        <f>'Memória de Cálculo'!J11</f>
        <v>4.5</v>
      </c>
      <c r="G11" s="287">
        <v>466.25</v>
      </c>
      <c r="H11" s="288">
        <f>$K$4</f>
        <v>0.2452</v>
      </c>
      <c r="I11" s="287">
        <f>TRUNC(G11*1.2452,2)</f>
        <v>580.57000000000005</v>
      </c>
      <c r="J11" s="287">
        <f>TRUNC(F11*G11,2)</f>
        <v>2098.12</v>
      </c>
      <c r="K11" s="287">
        <f>TRUNC(I11*F11,2)</f>
        <v>2612.56</v>
      </c>
      <c r="L11" s="289">
        <f t="shared" si="0"/>
        <v>3.0156509323791855E-3</v>
      </c>
      <c r="M11" s="645">
        <v>671.99</v>
      </c>
    </row>
    <row r="12" spans="1:14" s="645" customFormat="1" ht="38.25" customHeight="1" x14ac:dyDescent="0.25">
      <c r="A12" s="651" t="s">
        <v>27</v>
      </c>
      <c r="B12" s="282" t="s">
        <v>86</v>
      </c>
      <c r="C12" s="285" t="s">
        <v>15</v>
      </c>
      <c r="D12" s="284" t="s">
        <v>87</v>
      </c>
      <c r="E12" s="285" t="s">
        <v>85</v>
      </c>
      <c r="F12" s="387">
        <f>'Memória de Cálculo'!J15</f>
        <v>6</v>
      </c>
      <c r="G12" s="287">
        <v>1163.8599999999999</v>
      </c>
      <c r="H12" s="510">
        <f>K5</f>
        <v>0.16320000000000001</v>
      </c>
      <c r="I12" s="287">
        <f>TRUNC(G12*1.1632,2)</f>
        <v>1353.8</v>
      </c>
      <c r="J12" s="287">
        <f t="shared" ref="J12:J18" si="1">TRUNC(F12*G12,2)</f>
        <v>6983.16</v>
      </c>
      <c r="K12" s="287">
        <f t="shared" ref="K12:K18" si="2">TRUNC(I12*F12,2)</f>
        <v>8122.8</v>
      </c>
      <c r="L12" s="289">
        <f t="shared" si="0"/>
        <v>9.3760638582576668E-3</v>
      </c>
      <c r="M12" s="645">
        <v>912.26</v>
      </c>
      <c r="N12" s="645" t="s">
        <v>567</v>
      </c>
    </row>
    <row r="13" spans="1:14" s="645" customFormat="1" ht="44.25" customHeight="1" x14ac:dyDescent="0.25">
      <c r="A13" s="651" t="s">
        <v>28</v>
      </c>
      <c r="B13" s="285">
        <v>94319</v>
      </c>
      <c r="C13" s="285" t="s">
        <v>13</v>
      </c>
      <c r="D13" s="290" t="s">
        <v>1188</v>
      </c>
      <c r="E13" s="285" t="s">
        <v>84</v>
      </c>
      <c r="F13" s="387">
        <f>'Memória de Cálculo'!J21</f>
        <v>78</v>
      </c>
      <c r="G13" s="287">
        <v>80.22</v>
      </c>
      <c r="H13" s="288">
        <f>$K$4</f>
        <v>0.2452</v>
      </c>
      <c r="I13" s="287">
        <f t="shared" ref="I13:I18" si="3">TRUNC(G13*1.2452,2)</f>
        <v>99.88</v>
      </c>
      <c r="J13" s="287">
        <f t="shared" si="1"/>
        <v>6257.16</v>
      </c>
      <c r="K13" s="287">
        <f t="shared" si="2"/>
        <v>7790.64</v>
      </c>
      <c r="L13" s="289">
        <f t="shared" si="0"/>
        <v>8.992655012642993E-3</v>
      </c>
    </row>
    <row r="14" spans="1:14" s="653" customFormat="1" ht="44.25" customHeight="1" x14ac:dyDescent="0.25">
      <c r="A14" s="652" t="s">
        <v>735</v>
      </c>
      <c r="B14" s="300">
        <v>98459</v>
      </c>
      <c r="C14" s="300" t="s">
        <v>13</v>
      </c>
      <c r="D14" s="472" t="s">
        <v>739</v>
      </c>
      <c r="E14" s="300" t="s">
        <v>21</v>
      </c>
      <c r="F14" s="400">
        <f>'Memória de Cálculo'!J25</f>
        <v>121.00000000000001</v>
      </c>
      <c r="G14" s="301">
        <v>93.47</v>
      </c>
      <c r="H14" s="305">
        <f t="shared" ref="H14:H18" si="4">$K$4</f>
        <v>0.2452</v>
      </c>
      <c r="I14" s="287">
        <f t="shared" si="3"/>
        <v>116.38</v>
      </c>
      <c r="J14" s="287">
        <f t="shared" si="1"/>
        <v>11309.87</v>
      </c>
      <c r="K14" s="287">
        <f t="shared" si="2"/>
        <v>14081.98</v>
      </c>
      <c r="L14" s="473">
        <f t="shared" si="0"/>
        <v>1.6254683573485407E-2</v>
      </c>
      <c r="M14" s="653" t="s">
        <v>747</v>
      </c>
    </row>
    <row r="15" spans="1:14" s="653" customFormat="1" ht="44.25" customHeight="1" x14ac:dyDescent="0.25">
      <c r="A15" s="652" t="s">
        <v>736</v>
      </c>
      <c r="B15" s="300">
        <v>97637</v>
      </c>
      <c r="C15" s="300" t="s">
        <v>13</v>
      </c>
      <c r="D15" s="472" t="s">
        <v>741</v>
      </c>
      <c r="E15" s="300" t="s">
        <v>21</v>
      </c>
      <c r="F15" s="400">
        <f>'Memória de Cálculo'!J29</f>
        <v>121.00000000000001</v>
      </c>
      <c r="G15" s="301">
        <v>2.89</v>
      </c>
      <c r="H15" s="305">
        <f t="shared" si="4"/>
        <v>0.2452</v>
      </c>
      <c r="I15" s="287">
        <f t="shared" si="3"/>
        <v>3.59</v>
      </c>
      <c r="J15" s="287">
        <f t="shared" si="1"/>
        <v>349.69</v>
      </c>
      <c r="K15" s="287">
        <f t="shared" si="2"/>
        <v>434.39</v>
      </c>
      <c r="L15" s="473">
        <f t="shared" si="0"/>
        <v>5.0141187514016682E-4</v>
      </c>
    </row>
    <row r="16" spans="1:14" s="653" customFormat="1" ht="44.25" customHeight="1" x14ac:dyDescent="0.25">
      <c r="A16" s="652" t="s">
        <v>737</v>
      </c>
      <c r="B16" s="300" t="s">
        <v>743</v>
      </c>
      <c r="C16" s="300" t="s">
        <v>15</v>
      </c>
      <c r="D16" s="512" t="s">
        <v>742</v>
      </c>
      <c r="E16" s="300" t="s">
        <v>14</v>
      </c>
      <c r="F16" s="400">
        <v>1</v>
      </c>
      <c r="G16" s="301">
        <v>1343.32</v>
      </c>
      <c r="H16" s="305">
        <f t="shared" si="4"/>
        <v>0.2452</v>
      </c>
      <c r="I16" s="287">
        <f t="shared" si="3"/>
        <v>1672.7</v>
      </c>
      <c r="J16" s="287">
        <f t="shared" si="1"/>
        <v>1343.32</v>
      </c>
      <c r="K16" s="287">
        <f t="shared" si="2"/>
        <v>1672.7</v>
      </c>
      <c r="L16" s="473">
        <f t="shared" si="0"/>
        <v>1.9307802747460972E-3</v>
      </c>
    </row>
    <row r="17" spans="1:14" s="653" customFormat="1" ht="44.25" customHeight="1" x14ac:dyDescent="0.25">
      <c r="A17" s="652" t="s">
        <v>738</v>
      </c>
      <c r="B17" s="300" t="s">
        <v>745</v>
      </c>
      <c r="C17" s="300" t="s">
        <v>746</v>
      </c>
      <c r="D17" s="472" t="s">
        <v>744</v>
      </c>
      <c r="E17" s="300" t="s">
        <v>14</v>
      </c>
      <c r="F17" s="400">
        <v>1</v>
      </c>
      <c r="G17" s="301">
        <v>262.81</v>
      </c>
      <c r="H17" s="305">
        <f t="shared" si="4"/>
        <v>0.2452</v>
      </c>
      <c r="I17" s="287">
        <f t="shared" si="3"/>
        <v>327.25</v>
      </c>
      <c r="J17" s="287">
        <f t="shared" si="1"/>
        <v>262.81</v>
      </c>
      <c r="K17" s="287">
        <f t="shared" si="2"/>
        <v>327.25</v>
      </c>
      <c r="L17" s="473">
        <f t="shared" si="0"/>
        <v>3.7774128350012573E-4</v>
      </c>
    </row>
    <row r="18" spans="1:14" s="653" customFormat="1" ht="44.25" customHeight="1" x14ac:dyDescent="0.25">
      <c r="A18" s="652" t="s">
        <v>748</v>
      </c>
      <c r="B18" s="300" t="s">
        <v>750</v>
      </c>
      <c r="C18" s="300" t="s">
        <v>15</v>
      </c>
      <c r="D18" s="472" t="s">
        <v>749</v>
      </c>
      <c r="E18" s="300" t="s">
        <v>21</v>
      </c>
      <c r="F18" s="400">
        <f>'Memória de Cálculo'!J41</f>
        <v>607.63</v>
      </c>
      <c r="G18" s="301">
        <v>4.62</v>
      </c>
      <c r="H18" s="305">
        <f t="shared" si="4"/>
        <v>0.2452</v>
      </c>
      <c r="I18" s="287">
        <f t="shared" si="3"/>
        <v>5.75</v>
      </c>
      <c r="J18" s="287">
        <f t="shared" si="1"/>
        <v>2807.25</v>
      </c>
      <c r="K18" s="287">
        <f t="shared" si="2"/>
        <v>3493.87</v>
      </c>
      <c r="L18" s="473">
        <f t="shared" si="0"/>
        <v>4.0329379318031601E-3</v>
      </c>
    </row>
    <row r="19" spans="1:14" s="645" customFormat="1" ht="24" customHeight="1" x14ac:dyDescent="0.25">
      <c r="A19" s="654" t="s">
        <v>17</v>
      </c>
      <c r="B19" s="346"/>
      <c r="C19" s="346"/>
      <c r="D19" s="291" t="s">
        <v>45</v>
      </c>
      <c r="E19" s="291"/>
      <c r="F19" s="388"/>
      <c r="G19" s="347"/>
      <c r="H19" s="347"/>
      <c r="I19" s="347"/>
      <c r="J19" s="348">
        <f>SUM(J20:J21)</f>
        <v>84229.200000000012</v>
      </c>
      <c r="K19" s="349">
        <f>SUM(K20:K21)</f>
        <v>104881.92</v>
      </c>
      <c r="L19" s="412">
        <f t="shared" si="0"/>
        <v>0.12106411329796028</v>
      </c>
      <c r="N19" s="645" t="s">
        <v>568</v>
      </c>
    </row>
    <row r="20" spans="1:14" s="645" customFormat="1" ht="30.75" customHeight="1" x14ac:dyDescent="0.25">
      <c r="A20" s="651" t="s">
        <v>18</v>
      </c>
      <c r="B20" s="285">
        <v>90776</v>
      </c>
      <c r="C20" s="285" t="s">
        <v>13</v>
      </c>
      <c r="D20" s="284" t="s">
        <v>46</v>
      </c>
      <c r="E20" s="285" t="s">
        <v>32</v>
      </c>
      <c r="F20" s="389">
        <f>'Memória de Cálculo'!J47</f>
        <v>1056</v>
      </c>
      <c r="G20" s="509">
        <v>45.27</v>
      </c>
      <c r="H20" s="288">
        <f>$K$4</f>
        <v>0.2452</v>
      </c>
      <c r="I20" s="287">
        <f>TRUNC(G20*1.2452,2)</f>
        <v>56.37</v>
      </c>
      <c r="J20" s="287">
        <f>TRUNC(F20*G20,2)</f>
        <v>47805.120000000003</v>
      </c>
      <c r="K20" s="287">
        <f>TRUNC(I20*F20,2)</f>
        <v>59526.720000000001</v>
      </c>
      <c r="L20" s="289">
        <f t="shared" si="0"/>
        <v>6.871107598274287E-2</v>
      </c>
      <c r="M20" s="645">
        <v>38.89</v>
      </c>
      <c r="N20" s="655"/>
    </row>
    <row r="21" spans="1:14" s="645" customFormat="1" ht="36" customHeight="1" x14ac:dyDescent="0.25">
      <c r="A21" s="651" t="s">
        <v>380</v>
      </c>
      <c r="B21" s="285">
        <v>90778</v>
      </c>
      <c r="C21" s="285" t="s">
        <v>13</v>
      </c>
      <c r="D21" s="284" t="s">
        <v>48</v>
      </c>
      <c r="E21" s="285" t="s">
        <v>32</v>
      </c>
      <c r="F21" s="389">
        <f>'Memória de Cálculo'!J51</f>
        <v>264</v>
      </c>
      <c r="G21" s="509">
        <v>137.97</v>
      </c>
      <c r="H21" s="288">
        <f>$K$4</f>
        <v>0.2452</v>
      </c>
      <c r="I21" s="287">
        <f>TRUNC(G21*1.2452,2)</f>
        <v>171.8</v>
      </c>
      <c r="J21" s="287">
        <f>TRUNC(F21*G21,2)</f>
        <v>36424.080000000002</v>
      </c>
      <c r="K21" s="287">
        <f>TRUNC(I21*F21,2)</f>
        <v>45355.199999999997</v>
      </c>
      <c r="L21" s="289">
        <f t="shared" si="0"/>
        <v>5.235303731521742E-2</v>
      </c>
      <c r="M21" s="645">
        <v>126.62</v>
      </c>
      <c r="N21" s="218"/>
    </row>
    <row r="22" spans="1:14" s="657" customFormat="1" ht="28.5" customHeight="1" x14ac:dyDescent="0.25">
      <c r="A22" s="656">
        <v>3</v>
      </c>
      <c r="B22" s="516"/>
      <c r="C22" s="516"/>
      <c r="D22" s="517" t="s">
        <v>188</v>
      </c>
      <c r="E22" s="517"/>
      <c r="F22" s="518"/>
      <c r="G22" s="519"/>
      <c r="H22" s="519"/>
      <c r="I22" s="519"/>
      <c r="J22" s="520">
        <f>SUM(J23:J32)</f>
        <v>74145.039999999994</v>
      </c>
      <c r="K22" s="521">
        <f>SUM(K23:K32)</f>
        <v>92140.650000000009</v>
      </c>
      <c r="L22" s="522">
        <f t="shared" si="0"/>
        <v>0.1063569973828445</v>
      </c>
    </row>
    <row r="23" spans="1:14" s="645" customFormat="1" ht="73.5" customHeight="1" x14ac:dyDescent="0.25">
      <c r="A23" s="652" t="s">
        <v>49</v>
      </c>
      <c r="B23" s="300" t="s">
        <v>99</v>
      </c>
      <c r="C23" s="300" t="s">
        <v>179</v>
      </c>
      <c r="D23" s="292" t="s">
        <v>1114</v>
      </c>
      <c r="E23" s="300" t="s">
        <v>19</v>
      </c>
      <c r="F23" s="392">
        <f>'Memória de Cálculo'!J68</f>
        <v>3098.5572000000002</v>
      </c>
      <c r="G23" s="526">
        <f>Composições!J22</f>
        <v>18.809999999999999</v>
      </c>
      <c r="H23" s="288">
        <f>$K$4</f>
        <v>0.2452</v>
      </c>
      <c r="I23" s="301">
        <f>TRUNC(G23*1.2452,2)</f>
        <v>23.42</v>
      </c>
      <c r="J23" s="301">
        <f>TRUNC(F23*G23,2)</f>
        <v>58283.86</v>
      </c>
      <c r="K23" s="301">
        <f>TRUNC(F23*I23,2)</f>
        <v>72568.2</v>
      </c>
      <c r="L23" s="289">
        <f t="shared" si="0"/>
        <v>8.3764721189591509E-2</v>
      </c>
      <c r="M23" s="645">
        <v>19.02</v>
      </c>
    </row>
    <row r="24" spans="1:14" s="645" customFormat="1" ht="70.5" customHeight="1" x14ac:dyDescent="0.25">
      <c r="A24" s="652" t="s">
        <v>50</v>
      </c>
      <c r="B24" s="300" t="s">
        <v>130</v>
      </c>
      <c r="C24" s="300" t="s">
        <v>179</v>
      </c>
      <c r="D24" s="292" t="s">
        <v>1123</v>
      </c>
      <c r="E24" s="300" t="s">
        <v>19</v>
      </c>
      <c r="F24" s="392">
        <f>'Memória de Cálculo'!J73</f>
        <v>444.416</v>
      </c>
      <c r="G24" s="526">
        <f>Composições!J36</f>
        <v>20.47</v>
      </c>
      <c r="H24" s="288">
        <f>$K$4</f>
        <v>0.2452</v>
      </c>
      <c r="I24" s="301">
        <f t="shared" ref="I24:I25" si="5">TRUNC(G24*1.2452,2)</f>
        <v>25.48</v>
      </c>
      <c r="J24" s="301">
        <f t="shared" ref="J24:J32" si="6">TRUNC(F24*G24,2)</f>
        <v>9097.19</v>
      </c>
      <c r="K24" s="301">
        <f t="shared" ref="K24:K32" si="7">TRUNC(F24*I24,2)</f>
        <v>11323.71</v>
      </c>
      <c r="L24" s="289">
        <f t="shared" si="0"/>
        <v>1.3070841098191621E-2</v>
      </c>
      <c r="M24" s="645">
        <v>18.8</v>
      </c>
    </row>
    <row r="25" spans="1:14" s="645" customFormat="1" ht="60" customHeight="1" x14ac:dyDescent="0.25">
      <c r="A25" s="652" t="s">
        <v>51</v>
      </c>
      <c r="B25" s="300">
        <v>95108</v>
      </c>
      <c r="C25" s="300" t="s">
        <v>13</v>
      </c>
      <c r="D25" s="292" t="s">
        <v>1128</v>
      </c>
      <c r="E25" s="300" t="s">
        <v>14</v>
      </c>
      <c r="F25" s="392">
        <f>'Memória de Cálculo'!J77</f>
        <v>2</v>
      </c>
      <c r="G25" s="526">
        <v>38.65</v>
      </c>
      <c r="H25" s="288">
        <f>$K$4</f>
        <v>0.2452</v>
      </c>
      <c r="I25" s="301">
        <f t="shared" si="5"/>
        <v>48.12</v>
      </c>
      <c r="J25" s="301">
        <f t="shared" si="6"/>
        <v>77.3</v>
      </c>
      <c r="K25" s="301">
        <f t="shared" si="7"/>
        <v>96.24</v>
      </c>
      <c r="L25" s="289">
        <f t="shared" si="0"/>
        <v>1.1108883460367333E-4</v>
      </c>
      <c r="M25" s="645">
        <v>30.96</v>
      </c>
    </row>
    <row r="26" spans="1:14" s="645" customFormat="1" ht="35.25" customHeight="1" x14ac:dyDescent="0.25">
      <c r="A26" s="652" t="s">
        <v>52</v>
      </c>
      <c r="B26" s="300">
        <v>1332</v>
      </c>
      <c r="C26" s="300" t="s">
        <v>178</v>
      </c>
      <c r="D26" s="292" t="s">
        <v>186</v>
      </c>
      <c r="E26" s="300" t="s">
        <v>19</v>
      </c>
      <c r="F26" s="392">
        <f>'Memória de Cálculo'!J81</f>
        <v>6.96</v>
      </c>
      <c r="G26" s="526">
        <v>8.1199999999999992</v>
      </c>
      <c r="H26" s="534">
        <v>0.16320000000000001</v>
      </c>
      <c r="I26" s="301">
        <f>TRUNC(G26*1.1632,2)</f>
        <v>9.44</v>
      </c>
      <c r="J26" s="301">
        <f t="shared" si="6"/>
        <v>56.51</v>
      </c>
      <c r="K26" s="301">
        <f t="shared" si="7"/>
        <v>65.7</v>
      </c>
      <c r="L26" s="289">
        <f t="shared" si="0"/>
        <v>7.5836829109116144E-5</v>
      </c>
      <c r="M26" s="645">
        <v>9.57</v>
      </c>
    </row>
    <row r="27" spans="1:14" s="645" customFormat="1" ht="33" customHeight="1" x14ac:dyDescent="0.25">
      <c r="A27" s="652" t="s">
        <v>478</v>
      </c>
      <c r="B27" s="300">
        <v>1334</v>
      </c>
      <c r="C27" s="300" t="s">
        <v>178</v>
      </c>
      <c r="D27" s="292" t="s">
        <v>187</v>
      </c>
      <c r="E27" s="300" t="s">
        <v>19</v>
      </c>
      <c r="F27" s="392">
        <f>'Memória de Cálculo'!J85</f>
        <v>45.28</v>
      </c>
      <c r="G27" s="526">
        <v>9</v>
      </c>
      <c r="H27" s="534">
        <v>0.16320000000000001</v>
      </c>
      <c r="I27" s="301">
        <f t="shared" ref="I27:I31" si="8">TRUNC(G27*1.1632,2)</f>
        <v>10.46</v>
      </c>
      <c r="J27" s="301">
        <f t="shared" si="6"/>
        <v>407.52</v>
      </c>
      <c r="K27" s="301">
        <f t="shared" si="7"/>
        <v>473.62</v>
      </c>
      <c r="L27" s="289">
        <f t="shared" si="0"/>
        <v>5.4669465757472744E-4</v>
      </c>
      <c r="M27" s="645">
        <v>10.62</v>
      </c>
    </row>
    <row r="28" spans="1:14" s="645" customFormat="1" ht="42" customHeight="1" x14ac:dyDescent="0.25">
      <c r="A28" s="652" t="s">
        <v>479</v>
      </c>
      <c r="B28" s="300">
        <v>11962</v>
      </c>
      <c r="C28" s="300" t="s">
        <v>178</v>
      </c>
      <c r="D28" s="292" t="s">
        <v>180</v>
      </c>
      <c r="E28" s="300" t="s">
        <v>14</v>
      </c>
      <c r="F28" s="392">
        <f>'Memória de Cálculo'!J89</f>
        <v>32</v>
      </c>
      <c r="G28" s="526">
        <v>0.35</v>
      </c>
      <c r="H28" s="534">
        <v>0.16320000000000001</v>
      </c>
      <c r="I28" s="301">
        <f t="shared" si="8"/>
        <v>0.4</v>
      </c>
      <c r="J28" s="301">
        <f t="shared" si="6"/>
        <v>11.2</v>
      </c>
      <c r="K28" s="301">
        <f t="shared" si="7"/>
        <v>12.8</v>
      </c>
      <c r="L28" s="289">
        <f t="shared" si="0"/>
        <v>1.4774907345459462E-5</v>
      </c>
      <c r="M28" s="645">
        <v>0.28999999999999998</v>
      </c>
    </row>
    <row r="29" spans="1:14" s="645" customFormat="1" ht="43.5" customHeight="1" x14ac:dyDescent="0.25">
      <c r="A29" s="652" t="s">
        <v>480</v>
      </c>
      <c r="B29" s="300">
        <v>4332</v>
      </c>
      <c r="C29" s="300" t="s">
        <v>178</v>
      </c>
      <c r="D29" s="292" t="s">
        <v>181</v>
      </c>
      <c r="E29" s="300" t="s">
        <v>14</v>
      </c>
      <c r="F29" s="392">
        <f>'Memória de Cálculo'!J93</f>
        <v>396</v>
      </c>
      <c r="G29" s="526">
        <v>1.7</v>
      </c>
      <c r="H29" s="534">
        <v>0.16320000000000001</v>
      </c>
      <c r="I29" s="301">
        <f t="shared" si="8"/>
        <v>1.97</v>
      </c>
      <c r="J29" s="301">
        <f t="shared" si="6"/>
        <v>673.2</v>
      </c>
      <c r="K29" s="301">
        <f t="shared" si="7"/>
        <v>780.12</v>
      </c>
      <c r="L29" s="289">
        <f t="shared" si="0"/>
        <v>9.0048443112029973E-4</v>
      </c>
      <c r="M29" s="645">
        <v>1.43</v>
      </c>
    </row>
    <row r="30" spans="1:14" s="645" customFormat="1" ht="51" customHeight="1" x14ac:dyDescent="0.25">
      <c r="A30" s="652" t="s">
        <v>481</v>
      </c>
      <c r="B30" s="300">
        <v>4346</v>
      </c>
      <c r="C30" s="300" t="s">
        <v>178</v>
      </c>
      <c r="D30" s="292" t="s">
        <v>182</v>
      </c>
      <c r="E30" s="300" t="s">
        <v>14</v>
      </c>
      <c r="F30" s="392">
        <f>'Memória de Cálculo'!J97</f>
        <v>56</v>
      </c>
      <c r="G30" s="526">
        <v>15.84</v>
      </c>
      <c r="H30" s="534">
        <v>0.16320000000000001</v>
      </c>
      <c r="I30" s="301">
        <f t="shared" si="8"/>
        <v>18.420000000000002</v>
      </c>
      <c r="J30" s="301">
        <f t="shared" si="6"/>
        <v>887.04</v>
      </c>
      <c r="K30" s="301">
        <f t="shared" si="7"/>
        <v>1031.52</v>
      </c>
      <c r="L30" s="289">
        <f t="shared" si="0"/>
        <v>1.1906728457022145E-3</v>
      </c>
      <c r="M30" s="645">
        <v>13.31</v>
      </c>
    </row>
    <row r="31" spans="1:14" s="645" customFormat="1" ht="53.25" customHeight="1" x14ac:dyDescent="0.25">
      <c r="A31" s="652" t="s">
        <v>482</v>
      </c>
      <c r="B31" s="300">
        <v>13246</v>
      </c>
      <c r="C31" s="300" t="s">
        <v>178</v>
      </c>
      <c r="D31" s="292" t="s">
        <v>183</v>
      </c>
      <c r="E31" s="300" t="s">
        <v>14</v>
      </c>
      <c r="F31" s="392">
        <f>'Memória de Cálculo'!J101</f>
        <v>48</v>
      </c>
      <c r="G31" s="526">
        <v>0.7</v>
      </c>
      <c r="H31" s="534">
        <v>0.16320000000000001</v>
      </c>
      <c r="I31" s="301">
        <f t="shared" si="8"/>
        <v>0.81</v>
      </c>
      <c r="J31" s="301">
        <f t="shared" si="6"/>
        <v>33.6</v>
      </c>
      <c r="K31" s="301">
        <f t="shared" si="7"/>
        <v>38.880000000000003</v>
      </c>
      <c r="L31" s="289">
        <f t="shared" si="0"/>
        <v>4.4878781061833123E-5</v>
      </c>
      <c r="M31" s="645">
        <v>0.59</v>
      </c>
    </row>
    <row r="32" spans="1:14" s="645" customFormat="1" ht="53.25" customHeight="1" x14ac:dyDescent="0.25">
      <c r="A32" s="652" t="s">
        <v>1126</v>
      </c>
      <c r="B32" s="300">
        <v>104878</v>
      </c>
      <c r="C32" s="300" t="s">
        <v>13</v>
      </c>
      <c r="D32" s="292" t="s">
        <v>1127</v>
      </c>
      <c r="E32" s="300" t="s">
        <v>14</v>
      </c>
      <c r="F32" s="392">
        <v>2</v>
      </c>
      <c r="G32" s="526">
        <v>2308.81</v>
      </c>
      <c r="H32" s="534">
        <v>0.2452</v>
      </c>
      <c r="I32" s="301">
        <f>TRUNC(G32*1.2452,2)</f>
        <v>2874.93</v>
      </c>
      <c r="J32" s="301">
        <f t="shared" si="6"/>
        <v>4617.62</v>
      </c>
      <c r="K32" s="301">
        <f t="shared" si="7"/>
        <v>5749.86</v>
      </c>
      <c r="L32" s="289">
        <f t="shared" si="0"/>
        <v>6.6370038085440267E-3</v>
      </c>
    </row>
    <row r="33" spans="1:13" s="645" customFormat="1" ht="22.5" customHeight="1" x14ac:dyDescent="0.25">
      <c r="A33" s="658">
        <v>4</v>
      </c>
      <c r="B33" s="344"/>
      <c r="C33" s="344"/>
      <c r="D33" s="306" t="s">
        <v>438</v>
      </c>
      <c r="E33" s="344"/>
      <c r="F33" s="393"/>
      <c r="G33" s="344"/>
      <c r="H33" s="344"/>
      <c r="I33" s="344"/>
      <c r="J33" s="307">
        <f>SUM(J34:J44)</f>
        <v>14031.849999999999</v>
      </c>
      <c r="K33" s="308">
        <f>SUM(K34:K44)</f>
        <v>17471.830000000002</v>
      </c>
      <c r="L33" s="404">
        <f t="shared" si="0"/>
        <v>2.0167552297313988E-2</v>
      </c>
    </row>
    <row r="34" spans="1:13" s="645" customFormat="1" ht="60.75" customHeight="1" x14ac:dyDescent="0.25">
      <c r="A34" s="651" t="s">
        <v>865</v>
      </c>
      <c r="B34" s="285">
        <v>103346</v>
      </c>
      <c r="C34" s="285" t="s">
        <v>13</v>
      </c>
      <c r="D34" s="284" t="s">
        <v>1129</v>
      </c>
      <c r="E34" s="285" t="s">
        <v>21</v>
      </c>
      <c r="F34" s="389">
        <f>'Memória de Cálculo'!J114</f>
        <v>59.64</v>
      </c>
      <c r="G34" s="509">
        <v>84.18</v>
      </c>
      <c r="H34" s="288">
        <f>$K$4</f>
        <v>0.2452</v>
      </c>
      <c r="I34" s="287">
        <f>TRUNC(G34*1.2452,2)</f>
        <v>104.82</v>
      </c>
      <c r="J34" s="287">
        <f>TRUNC(F34*G34,2)</f>
        <v>5020.49</v>
      </c>
      <c r="K34" s="287">
        <f>TRUNC(F34*I34,2)</f>
        <v>6251.46</v>
      </c>
      <c r="L34" s="289">
        <f t="shared" si="0"/>
        <v>7.2159954901442197E-3</v>
      </c>
      <c r="M34" s="645">
        <v>79.63</v>
      </c>
    </row>
    <row r="35" spans="1:13" s="645" customFormat="1" ht="84.75" customHeight="1" x14ac:dyDescent="0.25">
      <c r="A35" s="651" t="s">
        <v>866</v>
      </c>
      <c r="B35" s="285">
        <v>90082</v>
      </c>
      <c r="C35" s="285" t="s">
        <v>13</v>
      </c>
      <c r="D35" s="284" t="s">
        <v>1130</v>
      </c>
      <c r="E35" s="285" t="s">
        <v>84</v>
      </c>
      <c r="F35" s="389">
        <f>'Memória de Cálculo'!J118</f>
        <v>0.51200000000000012</v>
      </c>
      <c r="G35" s="509">
        <v>9.49</v>
      </c>
      <c r="H35" s="288">
        <f t="shared" ref="H35:H44" si="9">$K$4</f>
        <v>0.2452</v>
      </c>
      <c r="I35" s="287">
        <f t="shared" ref="I35:I44" si="10">TRUNC(G35*1.2452,2)</f>
        <v>11.81</v>
      </c>
      <c r="J35" s="287">
        <f t="shared" ref="J35:J44" si="11">TRUNC(F35*G35,2)</f>
        <v>4.8499999999999996</v>
      </c>
      <c r="K35" s="287">
        <f t="shared" ref="K35:K44" si="12">TRUNC(F35*I35,2)</f>
        <v>6.04</v>
      </c>
      <c r="L35" s="289">
        <f t="shared" si="0"/>
        <v>6.9719094036386836E-6</v>
      </c>
    </row>
    <row r="36" spans="1:13" s="645" customFormat="1" ht="44.25" customHeight="1" x14ac:dyDescent="0.25">
      <c r="A36" s="651" t="s">
        <v>867</v>
      </c>
      <c r="B36" s="285">
        <v>96619</v>
      </c>
      <c r="C36" s="285" t="s">
        <v>13</v>
      </c>
      <c r="D36" s="284" t="s">
        <v>1131</v>
      </c>
      <c r="E36" s="285" t="s">
        <v>21</v>
      </c>
      <c r="F36" s="389">
        <f>'Memória de Cálculo'!J122</f>
        <v>3.08</v>
      </c>
      <c r="G36" s="509">
        <v>42.77</v>
      </c>
      <c r="H36" s="288">
        <f t="shared" si="9"/>
        <v>0.2452</v>
      </c>
      <c r="I36" s="287">
        <f t="shared" si="10"/>
        <v>53.25</v>
      </c>
      <c r="J36" s="287">
        <f t="shared" si="11"/>
        <v>131.72999999999999</v>
      </c>
      <c r="K36" s="287">
        <f t="shared" si="12"/>
        <v>164.01</v>
      </c>
      <c r="L36" s="289">
        <f t="shared" si="0"/>
        <v>1.89315043260063E-4</v>
      </c>
    </row>
    <row r="37" spans="1:13" s="645" customFormat="1" ht="41.25" customHeight="1" x14ac:dyDescent="0.25">
      <c r="A37" s="651" t="s">
        <v>868</v>
      </c>
      <c r="B37" s="285">
        <v>96543</v>
      </c>
      <c r="C37" s="285" t="s">
        <v>13</v>
      </c>
      <c r="D37" s="284" t="s">
        <v>1132</v>
      </c>
      <c r="E37" s="285" t="s">
        <v>19</v>
      </c>
      <c r="F37" s="389">
        <f>'Memória de Cálculo'!J126</f>
        <v>28</v>
      </c>
      <c r="G37" s="509">
        <v>19.5</v>
      </c>
      <c r="H37" s="288">
        <f t="shared" si="9"/>
        <v>0.2452</v>
      </c>
      <c r="I37" s="287">
        <f t="shared" si="10"/>
        <v>24.28</v>
      </c>
      <c r="J37" s="287">
        <f t="shared" si="11"/>
        <v>546</v>
      </c>
      <c r="K37" s="287">
        <f t="shared" si="12"/>
        <v>679.84</v>
      </c>
      <c r="L37" s="289">
        <f t="shared" si="0"/>
        <v>7.8473226638571569E-4</v>
      </c>
    </row>
    <row r="38" spans="1:13" s="645" customFormat="1" ht="39" customHeight="1" x14ac:dyDescent="0.25">
      <c r="A38" s="651" t="s">
        <v>869</v>
      </c>
      <c r="B38" s="285">
        <v>96545</v>
      </c>
      <c r="C38" s="285" t="s">
        <v>13</v>
      </c>
      <c r="D38" s="284" t="s">
        <v>1133</v>
      </c>
      <c r="E38" s="285" t="s">
        <v>19</v>
      </c>
      <c r="F38" s="389">
        <f>'Memória de Cálculo'!J130</f>
        <v>39.68</v>
      </c>
      <c r="G38" s="509">
        <v>15.46</v>
      </c>
      <c r="H38" s="288">
        <f t="shared" si="9"/>
        <v>0.2452</v>
      </c>
      <c r="I38" s="287">
        <f t="shared" si="10"/>
        <v>19.25</v>
      </c>
      <c r="J38" s="287">
        <f t="shared" si="11"/>
        <v>613.45000000000005</v>
      </c>
      <c r="K38" s="287">
        <f t="shared" si="12"/>
        <v>763.84</v>
      </c>
      <c r="L38" s="289">
        <f t="shared" si="0"/>
        <v>8.8169259584029345E-4</v>
      </c>
    </row>
    <row r="39" spans="1:13" s="645" customFormat="1" ht="51" customHeight="1" x14ac:dyDescent="0.25">
      <c r="A39" s="651" t="s">
        <v>870</v>
      </c>
      <c r="B39" s="285">
        <v>92411</v>
      </c>
      <c r="C39" s="285" t="s">
        <v>13</v>
      </c>
      <c r="D39" s="284" t="s">
        <v>150</v>
      </c>
      <c r="E39" s="285" t="s">
        <v>21</v>
      </c>
      <c r="F39" s="389">
        <f>'Memória de Cálculo'!J137</f>
        <v>10</v>
      </c>
      <c r="G39" s="509">
        <v>172.01</v>
      </c>
      <c r="H39" s="288">
        <f>$K$4</f>
        <v>0.2452</v>
      </c>
      <c r="I39" s="287">
        <f t="shared" si="10"/>
        <v>214.18</v>
      </c>
      <c r="J39" s="287">
        <f t="shared" si="11"/>
        <v>1720.1</v>
      </c>
      <c r="K39" s="287">
        <f t="shared" si="12"/>
        <v>2141.8000000000002</v>
      </c>
      <c r="L39" s="289">
        <f t="shared" si="0"/>
        <v>2.4722575431644594E-3</v>
      </c>
    </row>
    <row r="40" spans="1:13" s="645" customFormat="1" ht="40.5" customHeight="1" x14ac:dyDescent="0.25">
      <c r="A40" s="651" t="s">
        <v>871</v>
      </c>
      <c r="B40" s="285">
        <v>96558</v>
      </c>
      <c r="C40" s="285" t="s">
        <v>13</v>
      </c>
      <c r="D40" s="284" t="s">
        <v>1134</v>
      </c>
      <c r="E40" s="285" t="s">
        <v>84</v>
      </c>
      <c r="F40" s="389">
        <f>'Memória de Cálculo'!J141</f>
        <v>0.25600000000000006</v>
      </c>
      <c r="G40" s="509">
        <v>789.39</v>
      </c>
      <c r="H40" s="288">
        <f>$K$4</f>
        <v>0.2452</v>
      </c>
      <c r="I40" s="287">
        <f t="shared" si="10"/>
        <v>982.94</v>
      </c>
      <c r="J40" s="287">
        <f t="shared" si="11"/>
        <v>202.08</v>
      </c>
      <c r="K40" s="287">
        <f t="shared" si="12"/>
        <v>251.63</v>
      </c>
      <c r="L40" s="289">
        <f t="shared" si="0"/>
        <v>2.9045390119827847E-4</v>
      </c>
    </row>
    <row r="41" spans="1:13" s="645" customFormat="1" ht="41.4" x14ac:dyDescent="0.25">
      <c r="A41" s="651" t="s">
        <v>872</v>
      </c>
      <c r="B41" s="285">
        <v>96555</v>
      </c>
      <c r="C41" s="285" t="s">
        <v>13</v>
      </c>
      <c r="D41" s="284" t="s">
        <v>492</v>
      </c>
      <c r="E41" s="285" t="s">
        <v>84</v>
      </c>
      <c r="F41" s="389">
        <f>'Memória de Cálculo'!J145</f>
        <v>0.84000000000000008</v>
      </c>
      <c r="G41" s="509">
        <v>795.04</v>
      </c>
      <c r="H41" s="288">
        <v>0.2452</v>
      </c>
      <c r="I41" s="287">
        <f t="shared" si="10"/>
        <v>989.98</v>
      </c>
      <c r="J41" s="287">
        <f t="shared" si="11"/>
        <v>667.83</v>
      </c>
      <c r="K41" s="287">
        <f t="shared" si="12"/>
        <v>831.58</v>
      </c>
      <c r="L41" s="289">
        <f t="shared" si="0"/>
        <v>9.5988417580759227E-4</v>
      </c>
    </row>
    <row r="42" spans="1:13" s="645" customFormat="1" ht="35.25" customHeight="1" x14ac:dyDescent="0.25">
      <c r="A42" s="651" t="s">
        <v>873</v>
      </c>
      <c r="B42" s="285">
        <v>103672</v>
      </c>
      <c r="C42" s="285" t="s">
        <v>13</v>
      </c>
      <c r="D42" s="284" t="s">
        <v>444</v>
      </c>
      <c r="E42" s="285" t="s">
        <v>84</v>
      </c>
      <c r="F42" s="389">
        <f>'Memória de Cálculo'!J149</f>
        <v>0.75</v>
      </c>
      <c r="G42" s="509">
        <v>682.49</v>
      </c>
      <c r="H42" s="288">
        <f t="shared" si="9"/>
        <v>0.2452</v>
      </c>
      <c r="I42" s="287">
        <f t="shared" si="10"/>
        <v>849.83</v>
      </c>
      <c r="J42" s="287">
        <f t="shared" si="11"/>
        <v>511.86</v>
      </c>
      <c r="K42" s="287">
        <f t="shared" si="12"/>
        <v>637.37</v>
      </c>
      <c r="L42" s="289">
        <f t="shared" ref="L42:L73" si="13">K42/$J$321</f>
        <v>7.3570958552933571E-4</v>
      </c>
    </row>
    <row r="43" spans="1:13" s="645" customFormat="1" ht="41.4" x14ac:dyDescent="0.25">
      <c r="A43" s="651" t="s">
        <v>874</v>
      </c>
      <c r="B43" s="285">
        <v>104109</v>
      </c>
      <c r="C43" s="285" t="s">
        <v>13</v>
      </c>
      <c r="D43" s="284" t="s">
        <v>493</v>
      </c>
      <c r="E43" s="285" t="s">
        <v>19</v>
      </c>
      <c r="F43" s="389">
        <f>'Memória de Cálculo'!J153</f>
        <v>49.36</v>
      </c>
      <c r="G43" s="509">
        <v>15.12</v>
      </c>
      <c r="H43" s="288">
        <f t="shared" si="9"/>
        <v>0.2452</v>
      </c>
      <c r="I43" s="287">
        <f t="shared" si="10"/>
        <v>18.82</v>
      </c>
      <c r="J43" s="287">
        <f t="shared" si="11"/>
        <v>746.32</v>
      </c>
      <c r="K43" s="287">
        <f t="shared" si="12"/>
        <v>928.95</v>
      </c>
      <c r="L43" s="289">
        <f t="shared" si="13"/>
        <v>1.0722773577003569E-3</v>
      </c>
    </row>
    <row r="44" spans="1:13" s="645" customFormat="1" ht="42" customHeight="1" x14ac:dyDescent="0.25">
      <c r="A44" s="651" t="s">
        <v>875</v>
      </c>
      <c r="B44" s="285">
        <v>100701</v>
      </c>
      <c r="C44" s="285" t="s">
        <v>13</v>
      </c>
      <c r="D44" s="284" t="s">
        <v>500</v>
      </c>
      <c r="E44" s="285" t="s">
        <v>21</v>
      </c>
      <c r="F44" s="389">
        <f>'Memória de Cálculo'!J157</f>
        <v>5.04</v>
      </c>
      <c r="G44" s="509">
        <v>767.29</v>
      </c>
      <c r="H44" s="288">
        <f t="shared" si="9"/>
        <v>0.2452</v>
      </c>
      <c r="I44" s="287">
        <f t="shared" si="10"/>
        <v>955.42</v>
      </c>
      <c r="J44" s="287">
        <f t="shared" si="11"/>
        <v>3867.14</v>
      </c>
      <c r="K44" s="287">
        <f t="shared" si="12"/>
        <v>4815.3100000000004</v>
      </c>
      <c r="L44" s="289">
        <f t="shared" si="13"/>
        <v>5.5582624288800318E-3</v>
      </c>
      <c r="M44" s="645" t="s">
        <v>510</v>
      </c>
    </row>
    <row r="45" spans="1:13" s="660" customFormat="1" ht="23.25" customHeight="1" x14ac:dyDescent="0.25">
      <c r="A45" s="659">
        <v>5</v>
      </c>
      <c r="B45" s="337"/>
      <c r="C45" s="337"/>
      <c r="D45" s="338" t="s">
        <v>102</v>
      </c>
      <c r="E45" s="338"/>
      <c r="F45" s="394"/>
      <c r="G45" s="339"/>
      <c r="H45" s="339"/>
      <c r="I45" s="339"/>
      <c r="J45" s="335">
        <f>SUM(J46:J54)</f>
        <v>51855.63</v>
      </c>
      <c r="K45" s="336">
        <f>SUM(K46:K54)</f>
        <v>64567.460000000006</v>
      </c>
      <c r="L45" s="412">
        <f t="shared" si="13"/>
        <v>7.4529549924348445E-2</v>
      </c>
    </row>
    <row r="46" spans="1:13" s="645" customFormat="1" ht="60.75" customHeight="1" x14ac:dyDescent="0.25">
      <c r="A46" s="661" t="s">
        <v>53</v>
      </c>
      <c r="B46" s="285">
        <v>92543</v>
      </c>
      <c r="C46" s="285" t="s">
        <v>13</v>
      </c>
      <c r="D46" s="292" t="s">
        <v>1135</v>
      </c>
      <c r="E46" s="285" t="s">
        <v>21</v>
      </c>
      <c r="F46" s="389">
        <f>'Memória de Cálculo'!J163</f>
        <v>67.75</v>
      </c>
      <c r="G46" s="509">
        <v>28.02</v>
      </c>
      <c r="H46" s="288">
        <f t="shared" ref="H46:H52" si="14">$K$4</f>
        <v>0.2452</v>
      </c>
      <c r="I46" s="287">
        <f>TRUNC(G46*1.2452,2)</f>
        <v>34.89</v>
      </c>
      <c r="J46" s="287">
        <f>TRUNC(F46*G46,2)</f>
        <v>1898.35</v>
      </c>
      <c r="K46" s="287">
        <f>TRUNC(F46*I46,2)</f>
        <v>2363.79</v>
      </c>
      <c r="L46" s="289">
        <f t="shared" si="13"/>
        <v>2.7284982995409079E-3</v>
      </c>
      <c r="M46" s="660">
        <v>25.98</v>
      </c>
    </row>
    <row r="47" spans="1:13" s="645" customFormat="1" ht="65.25" customHeight="1" x14ac:dyDescent="0.25">
      <c r="A47" s="661" t="s">
        <v>436</v>
      </c>
      <c r="B47" s="282">
        <v>94213</v>
      </c>
      <c r="C47" s="282" t="s">
        <v>13</v>
      </c>
      <c r="D47" s="292" t="s">
        <v>1136</v>
      </c>
      <c r="E47" s="285" t="s">
        <v>21</v>
      </c>
      <c r="F47" s="389">
        <f>'Memória de Cálculo'!J167</f>
        <v>67.75</v>
      </c>
      <c r="G47" s="527">
        <v>65.56</v>
      </c>
      <c r="H47" s="288">
        <f t="shared" si="14"/>
        <v>0.2452</v>
      </c>
      <c r="I47" s="287">
        <f t="shared" ref="I47:I54" si="15">TRUNC(G47*1.2452,2)</f>
        <v>81.63</v>
      </c>
      <c r="J47" s="287">
        <f t="shared" ref="J47:J54" si="16">TRUNC(F47*G47,2)</f>
        <v>4441.6899999999996</v>
      </c>
      <c r="K47" s="287">
        <f t="shared" ref="K47:K54" si="17">TRUNC(F47*I47,2)</f>
        <v>5530.43</v>
      </c>
      <c r="L47" s="289">
        <f t="shared" si="13"/>
        <v>6.3837180336366699E-3</v>
      </c>
      <c r="M47" s="660">
        <v>66.11</v>
      </c>
    </row>
    <row r="48" spans="1:13" s="645" customFormat="1" ht="32.25" customHeight="1" x14ac:dyDescent="0.25">
      <c r="A48" s="661" t="s">
        <v>437</v>
      </c>
      <c r="B48" s="282" t="s">
        <v>128</v>
      </c>
      <c r="C48" s="285" t="s">
        <v>15</v>
      </c>
      <c r="D48" s="292" t="s">
        <v>129</v>
      </c>
      <c r="E48" s="285" t="s">
        <v>21</v>
      </c>
      <c r="F48" s="389">
        <f>'Memória de Cálculo'!J173</f>
        <v>20.03</v>
      </c>
      <c r="G48" s="509">
        <v>547.41999999999996</v>
      </c>
      <c r="H48" s="288">
        <f t="shared" si="14"/>
        <v>0.2452</v>
      </c>
      <c r="I48" s="287">
        <f t="shared" si="15"/>
        <v>681.64</v>
      </c>
      <c r="J48" s="287">
        <f t="shared" si="16"/>
        <v>10964.82</v>
      </c>
      <c r="K48" s="287">
        <f t="shared" si="17"/>
        <v>13653.24</v>
      </c>
      <c r="L48" s="289">
        <f t="shared" si="13"/>
        <v>1.5759793434790698E-2</v>
      </c>
      <c r="M48" s="660">
        <v>434.27</v>
      </c>
    </row>
    <row r="49" spans="1:13" s="645" customFormat="1" ht="54.75" customHeight="1" x14ac:dyDescent="0.25">
      <c r="A49" s="661" t="s">
        <v>439</v>
      </c>
      <c r="B49" s="413">
        <v>94229</v>
      </c>
      <c r="C49" s="282" t="s">
        <v>13</v>
      </c>
      <c r="D49" s="292" t="s">
        <v>502</v>
      </c>
      <c r="E49" s="285" t="s">
        <v>16</v>
      </c>
      <c r="F49" s="389">
        <f>'Memória de Cálculo'!J182</f>
        <v>46.75</v>
      </c>
      <c r="G49" s="527">
        <v>146.84</v>
      </c>
      <c r="H49" s="288">
        <f t="shared" si="14"/>
        <v>0.2452</v>
      </c>
      <c r="I49" s="287">
        <f t="shared" si="15"/>
        <v>182.84</v>
      </c>
      <c r="J49" s="287">
        <f t="shared" si="16"/>
        <v>6864.77</v>
      </c>
      <c r="K49" s="287">
        <f t="shared" si="17"/>
        <v>8547.77</v>
      </c>
      <c r="L49" s="289">
        <f t="shared" si="13"/>
        <v>9.8666023250232847E-3</v>
      </c>
      <c r="M49" s="660">
        <v>81.599999999999994</v>
      </c>
    </row>
    <row r="50" spans="1:13" s="645" customFormat="1" ht="45" customHeight="1" x14ac:dyDescent="0.25">
      <c r="A50" s="661" t="s">
        <v>440</v>
      </c>
      <c r="B50" s="300">
        <v>94231</v>
      </c>
      <c r="C50" s="285" t="s">
        <v>13</v>
      </c>
      <c r="D50" s="292" t="s">
        <v>124</v>
      </c>
      <c r="E50" s="285" t="s">
        <v>16</v>
      </c>
      <c r="F50" s="389">
        <f>'Memória de Cálculo'!J185</f>
        <v>158.41999999999999</v>
      </c>
      <c r="G50" s="509">
        <v>46.53</v>
      </c>
      <c r="H50" s="288">
        <f t="shared" si="14"/>
        <v>0.2452</v>
      </c>
      <c r="I50" s="287">
        <f t="shared" si="15"/>
        <v>57.93</v>
      </c>
      <c r="J50" s="287">
        <f t="shared" si="16"/>
        <v>7371.28</v>
      </c>
      <c r="K50" s="287">
        <f t="shared" si="17"/>
        <v>9177.27</v>
      </c>
      <c r="L50" s="289">
        <f t="shared" si="13"/>
        <v>1.0593227651114435E-2</v>
      </c>
      <c r="M50" s="660">
        <v>49.74</v>
      </c>
    </row>
    <row r="51" spans="1:13" s="645" customFormat="1" ht="45" customHeight="1" x14ac:dyDescent="0.25">
      <c r="A51" s="661" t="s">
        <v>441</v>
      </c>
      <c r="B51" s="285">
        <v>94216</v>
      </c>
      <c r="C51" s="285" t="s">
        <v>13</v>
      </c>
      <c r="D51" s="292" t="s">
        <v>495</v>
      </c>
      <c r="E51" s="285" t="s">
        <v>21</v>
      </c>
      <c r="F51" s="389">
        <f>'Memória de Cálculo'!J192</f>
        <v>35</v>
      </c>
      <c r="G51" s="509">
        <v>190.16</v>
      </c>
      <c r="H51" s="288">
        <f t="shared" si="14"/>
        <v>0.2452</v>
      </c>
      <c r="I51" s="287">
        <f t="shared" si="15"/>
        <v>236.78</v>
      </c>
      <c r="J51" s="287">
        <f t="shared" si="16"/>
        <v>6655.6</v>
      </c>
      <c r="K51" s="287">
        <f t="shared" si="17"/>
        <v>8287.2999999999993</v>
      </c>
      <c r="L51" s="289">
        <f t="shared" si="13"/>
        <v>9.5659445034395468E-3</v>
      </c>
      <c r="M51" s="660"/>
    </row>
    <row r="52" spans="1:13" s="645" customFormat="1" ht="59.4" customHeight="1" x14ac:dyDescent="0.25">
      <c r="A52" s="661" t="s">
        <v>442</v>
      </c>
      <c r="B52" s="285">
        <v>100384</v>
      </c>
      <c r="C52" s="285" t="s">
        <v>13</v>
      </c>
      <c r="D52" s="292" t="s">
        <v>513</v>
      </c>
      <c r="E52" s="285" t="s">
        <v>21</v>
      </c>
      <c r="F52" s="389">
        <f>'Memória de Cálculo'!J195</f>
        <v>67.75</v>
      </c>
      <c r="G52" s="509">
        <v>30.11</v>
      </c>
      <c r="H52" s="288">
        <f t="shared" si="14"/>
        <v>0.2452</v>
      </c>
      <c r="I52" s="287">
        <f t="shared" si="15"/>
        <v>37.49</v>
      </c>
      <c r="J52" s="287">
        <f t="shared" si="16"/>
        <v>2039.95</v>
      </c>
      <c r="K52" s="287">
        <f t="shared" si="17"/>
        <v>2539.94</v>
      </c>
      <c r="L52" s="289">
        <f t="shared" si="13"/>
        <v>2.9318264189864304E-3</v>
      </c>
      <c r="M52" s="660"/>
    </row>
    <row r="53" spans="1:13" s="645" customFormat="1" ht="45" customHeight="1" x14ac:dyDescent="0.25">
      <c r="A53" s="661" t="s">
        <v>443</v>
      </c>
      <c r="B53" s="285">
        <v>97650</v>
      </c>
      <c r="C53" s="285" t="s">
        <v>13</v>
      </c>
      <c r="D53" s="292" t="s">
        <v>514</v>
      </c>
      <c r="E53" s="285" t="s">
        <v>21</v>
      </c>
      <c r="F53" s="389">
        <f>'Memória de Cálculo'!J198</f>
        <v>67.75</v>
      </c>
      <c r="G53" s="509">
        <v>8.1199999999999992</v>
      </c>
      <c r="H53" s="288">
        <f t="shared" ref="H53:H54" si="18">$K$4</f>
        <v>0.2452</v>
      </c>
      <c r="I53" s="287">
        <f t="shared" si="15"/>
        <v>10.11</v>
      </c>
      <c r="J53" s="287">
        <f t="shared" si="16"/>
        <v>550.13</v>
      </c>
      <c r="K53" s="287">
        <f t="shared" si="17"/>
        <v>684.95</v>
      </c>
      <c r="L53" s="289">
        <f t="shared" si="13"/>
        <v>7.9063068642753586E-4</v>
      </c>
      <c r="M53" s="660"/>
    </row>
    <row r="54" spans="1:13" s="645" customFormat="1" ht="45" customHeight="1" x14ac:dyDescent="0.25">
      <c r="A54" s="661" t="s">
        <v>447</v>
      </c>
      <c r="B54" s="285">
        <v>8637</v>
      </c>
      <c r="C54" s="507" t="s">
        <v>581</v>
      </c>
      <c r="D54" s="292" t="s">
        <v>1180</v>
      </c>
      <c r="E54" s="285" t="s">
        <v>16</v>
      </c>
      <c r="F54" s="389">
        <f>'Memória de Cálculo'!J201</f>
        <v>212.01000000000002</v>
      </c>
      <c r="G54" s="509">
        <v>52.21</v>
      </c>
      <c r="H54" s="288">
        <f t="shared" si="18"/>
        <v>0.2452</v>
      </c>
      <c r="I54" s="287">
        <f t="shared" si="15"/>
        <v>65.010000000000005</v>
      </c>
      <c r="J54" s="287">
        <f t="shared" si="16"/>
        <v>11069.04</v>
      </c>
      <c r="K54" s="287">
        <f t="shared" si="17"/>
        <v>13782.77</v>
      </c>
      <c r="L54" s="289">
        <f t="shared" si="13"/>
        <v>1.590930857138893E-2</v>
      </c>
      <c r="M54" s="660"/>
    </row>
    <row r="55" spans="1:13" s="645" customFormat="1" ht="18.75" customHeight="1" x14ac:dyDescent="0.25">
      <c r="A55" s="662">
        <v>6</v>
      </c>
      <c r="B55" s="345"/>
      <c r="C55" s="345"/>
      <c r="D55" s="302" t="s">
        <v>103</v>
      </c>
      <c r="E55" s="345"/>
      <c r="F55" s="395"/>
      <c r="G55" s="345"/>
      <c r="H55" s="345"/>
      <c r="I55" s="345"/>
      <c r="J55" s="303">
        <f>SUM(J56+J77+J68)</f>
        <v>259808.6</v>
      </c>
      <c r="K55" s="304">
        <f>SUM(K56+K68+K77)</f>
        <v>323474.21000000002</v>
      </c>
      <c r="L55" s="412">
        <f t="shared" si="13"/>
        <v>0.37338292823403885</v>
      </c>
    </row>
    <row r="56" spans="1:13" s="645" customFormat="1" ht="16.5" customHeight="1" x14ac:dyDescent="0.25">
      <c r="A56" s="663" t="s">
        <v>54</v>
      </c>
      <c r="B56" s="309"/>
      <c r="C56" s="309"/>
      <c r="D56" s="310" t="s">
        <v>104</v>
      </c>
      <c r="E56" s="311"/>
      <c r="F56" s="396"/>
      <c r="G56" s="312"/>
      <c r="H56" s="312"/>
      <c r="I56" s="312"/>
      <c r="J56" s="313">
        <f>SUM(J57:J67)</f>
        <v>100862.51</v>
      </c>
      <c r="K56" s="314">
        <f>SUM(K57:K67)</f>
        <v>125588.24</v>
      </c>
      <c r="L56" s="405">
        <f t="shared" si="13"/>
        <v>0.14496520388119735</v>
      </c>
    </row>
    <row r="57" spans="1:13" s="645" customFormat="1" ht="57.75" customHeight="1" x14ac:dyDescent="0.25">
      <c r="A57" s="651" t="s">
        <v>876</v>
      </c>
      <c r="B57" s="285">
        <v>90952</v>
      </c>
      <c r="C57" s="285" t="s">
        <v>13</v>
      </c>
      <c r="D57" s="292" t="s">
        <v>142</v>
      </c>
      <c r="E57" s="285" t="s">
        <v>21</v>
      </c>
      <c r="F57" s="389">
        <f>'Memória de Cálculo'!J213</f>
        <v>40</v>
      </c>
      <c r="G57" s="509">
        <v>115.04</v>
      </c>
      <c r="H57" s="288">
        <f t="shared" ref="H57:H67" si="19">$K$4</f>
        <v>0.2452</v>
      </c>
      <c r="I57" s="287">
        <f>TRUNC(G57*1.2452,2)</f>
        <v>143.24</v>
      </c>
      <c r="J57" s="287">
        <f>TRUNC(F57*G57,2)</f>
        <v>4601.6000000000004</v>
      </c>
      <c r="K57" s="287">
        <f>TRUNC(F57*I57,2)</f>
        <v>5729.6</v>
      </c>
      <c r="L57" s="289">
        <f t="shared" si="13"/>
        <v>6.6136179005112919E-3</v>
      </c>
      <c r="M57" s="645">
        <v>105.82</v>
      </c>
    </row>
    <row r="58" spans="1:13" s="645" customFormat="1" ht="57" customHeight="1" x14ac:dyDescent="0.25">
      <c r="A58" s="651" t="s">
        <v>877</v>
      </c>
      <c r="B58" s="285">
        <v>98681</v>
      </c>
      <c r="C58" s="285" t="s">
        <v>13</v>
      </c>
      <c r="D58" s="292" t="s">
        <v>141</v>
      </c>
      <c r="E58" s="285" t="s">
        <v>21</v>
      </c>
      <c r="F58" s="389">
        <f>'Memória de Cálculo'!J217</f>
        <v>316.20000000000005</v>
      </c>
      <c r="G58" s="509">
        <v>37.58</v>
      </c>
      <c r="H58" s="288">
        <f t="shared" si="19"/>
        <v>0.2452</v>
      </c>
      <c r="I58" s="287">
        <f t="shared" ref="I58:I67" si="20">TRUNC(G58*1.2452,2)</f>
        <v>46.79</v>
      </c>
      <c r="J58" s="287">
        <f t="shared" ref="J58:J67" si="21">TRUNC(F58*G58,2)</f>
        <v>11882.79</v>
      </c>
      <c r="K58" s="287">
        <f t="shared" ref="K58:K67" si="22">TRUNC(F58*I58,2)</f>
        <v>14794.99</v>
      </c>
      <c r="L58" s="289">
        <f t="shared" si="13"/>
        <v>1.7077703627109319E-2</v>
      </c>
      <c r="M58" s="645">
        <v>34.15</v>
      </c>
    </row>
    <row r="59" spans="1:13" s="645" customFormat="1" ht="57.75" customHeight="1" x14ac:dyDescent="0.25">
      <c r="A59" s="651" t="s">
        <v>878</v>
      </c>
      <c r="B59" s="285">
        <v>94995</v>
      </c>
      <c r="C59" s="285" t="s">
        <v>13</v>
      </c>
      <c r="D59" s="299" t="s">
        <v>469</v>
      </c>
      <c r="E59" s="285" t="s">
        <v>21</v>
      </c>
      <c r="F59" s="389">
        <f>'Memória de Cálculo'!J250</f>
        <v>204</v>
      </c>
      <c r="G59" s="509">
        <v>90.27</v>
      </c>
      <c r="H59" s="288">
        <f t="shared" si="19"/>
        <v>0.2452</v>
      </c>
      <c r="I59" s="287">
        <f t="shared" si="20"/>
        <v>112.4</v>
      </c>
      <c r="J59" s="287">
        <f t="shared" si="21"/>
        <v>18415.080000000002</v>
      </c>
      <c r="K59" s="287">
        <f t="shared" si="22"/>
        <v>22929.599999999999</v>
      </c>
      <c r="L59" s="289">
        <f t="shared" si="13"/>
        <v>2.6467399645972441E-2</v>
      </c>
      <c r="M59" s="645">
        <v>90</v>
      </c>
    </row>
    <row r="60" spans="1:13" s="645" customFormat="1" ht="56.25" customHeight="1" x14ac:dyDescent="0.25">
      <c r="A60" s="651" t="s">
        <v>879</v>
      </c>
      <c r="B60" s="285">
        <v>92396</v>
      </c>
      <c r="C60" s="285" t="s">
        <v>13</v>
      </c>
      <c r="D60" s="284" t="s">
        <v>364</v>
      </c>
      <c r="E60" s="285" t="s">
        <v>21</v>
      </c>
      <c r="F60" s="389">
        <f>'Memória de Cálculo'!J254</f>
        <v>165</v>
      </c>
      <c r="G60" s="509">
        <v>83.75</v>
      </c>
      <c r="H60" s="288">
        <f t="shared" si="19"/>
        <v>0.2452</v>
      </c>
      <c r="I60" s="287">
        <f t="shared" si="20"/>
        <v>104.28</v>
      </c>
      <c r="J60" s="287">
        <f t="shared" si="21"/>
        <v>13818.75</v>
      </c>
      <c r="K60" s="287">
        <f t="shared" si="22"/>
        <v>17206.2</v>
      </c>
      <c r="L60" s="289">
        <f t="shared" si="13"/>
        <v>1.986093834120661E-2</v>
      </c>
      <c r="M60" s="645">
        <v>70.5</v>
      </c>
    </row>
    <row r="61" spans="1:13" s="645" customFormat="1" ht="71.25" customHeight="1" x14ac:dyDescent="0.25">
      <c r="A61" s="651" t="s">
        <v>880</v>
      </c>
      <c r="B61" s="285">
        <v>94273</v>
      </c>
      <c r="C61" s="285" t="s">
        <v>13</v>
      </c>
      <c r="D61" s="284" t="s">
        <v>1137</v>
      </c>
      <c r="E61" s="285" t="s">
        <v>16</v>
      </c>
      <c r="F61" s="389">
        <f>'Memória de Cálculo'!J258</f>
        <v>62.1</v>
      </c>
      <c r="G61" s="509">
        <v>48.67</v>
      </c>
      <c r="H61" s="288">
        <f t="shared" si="19"/>
        <v>0.2452</v>
      </c>
      <c r="I61" s="287">
        <f t="shared" si="20"/>
        <v>60.6</v>
      </c>
      <c r="J61" s="287">
        <f t="shared" si="21"/>
        <v>3022.4</v>
      </c>
      <c r="K61" s="287">
        <f t="shared" si="22"/>
        <v>3763.26</v>
      </c>
      <c r="L61" s="289">
        <f t="shared" si="13"/>
        <v>4.3438920169432639E-3</v>
      </c>
      <c r="M61" s="645">
        <v>66.010000000000005</v>
      </c>
    </row>
    <row r="62" spans="1:13" s="645" customFormat="1" ht="54" customHeight="1" x14ac:dyDescent="0.25">
      <c r="A62" s="651" t="s">
        <v>881</v>
      </c>
      <c r="B62" s="300">
        <f>'Memória de Cálculo'!B261</f>
        <v>87261</v>
      </c>
      <c r="C62" s="285" t="s">
        <v>13</v>
      </c>
      <c r="D62" s="469" t="str">
        <f>'Memória de Cálculo'!D261</f>
        <v>REVESTIMENTO CERÂMICO PARA PISO COM PLACAS TIPO PORCELANATO DE DIMENSÕES 60X60 CM APLICADA EM AMBIENTES DE ÁREA MENOR QUE 5 M². AF_02/2023_PE</v>
      </c>
      <c r="E62" s="285" t="s">
        <v>21</v>
      </c>
      <c r="F62" s="389">
        <f>'Memória de Cálculo'!J269</f>
        <v>24.12</v>
      </c>
      <c r="G62" s="509">
        <v>145.12</v>
      </c>
      <c r="H62" s="288">
        <f t="shared" si="19"/>
        <v>0.2452</v>
      </c>
      <c r="I62" s="287">
        <f t="shared" si="20"/>
        <v>180.7</v>
      </c>
      <c r="J62" s="287">
        <f t="shared" si="21"/>
        <v>3500.29</v>
      </c>
      <c r="K62" s="287">
        <f t="shared" si="22"/>
        <v>4358.4799999999996</v>
      </c>
      <c r="L62" s="289">
        <f t="shared" si="13"/>
        <v>5.0309482942998557E-3</v>
      </c>
      <c r="M62" s="645">
        <v>152.22999999999999</v>
      </c>
    </row>
    <row r="63" spans="1:13" s="645" customFormat="1" ht="57" customHeight="1" x14ac:dyDescent="0.25">
      <c r="A63" s="651" t="s">
        <v>882</v>
      </c>
      <c r="B63" s="300">
        <f>'Memória de Cálculo'!B272</f>
        <v>87262</v>
      </c>
      <c r="C63" s="285" t="s">
        <v>13</v>
      </c>
      <c r="D63" s="284" t="str">
        <f>'Memória de Cálculo'!D272</f>
        <v>REVESTIMENTO CERÂMICO PARA PISO COM PLACAS TIPO PORCELANATO DE DIMENSÕES 60X60 CM APLICADA EM AMBIENTES DE ÁREA ENTRE 5 M² E 10 M². AF_02/2023_PE</v>
      </c>
      <c r="E63" s="285" t="s">
        <v>21</v>
      </c>
      <c r="F63" s="389">
        <f>'Memória de Cálculo'!J283</f>
        <v>70.7</v>
      </c>
      <c r="G63" s="509">
        <v>132.19</v>
      </c>
      <c r="H63" s="288">
        <f t="shared" si="19"/>
        <v>0.2452</v>
      </c>
      <c r="I63" s="287">
        <f t="shared" si="20"/>
        <v>164.6</v>
      </c>
      <c r="J63" s="287">
        <f t="shared" si="21"/>
        <v>9345.83</v>
      </c>
      <c r="K63" s="287">
        <f t="shared" si="22"/>
        <v>11637.22</v>
      </c>
      <c r="L63" s="289">
        <f t="shared" si="13"/>
        <v>1.3432722442088105E-2</v>
      </c>
      <c r="M63" s="645">
        <v>140.52000000000001</v>
      </c>
    </row>
    <row r="64" spans="1:13" s="645" customFormat="1" ht="59.25" customHeight="1" x14ac:dyDescent="0.25">
      <c r="A64" s="651" t="s">
        <v>883</v>
      </c>
      <c r="B64" s="300">
        <v>87263</v>
      </c>
      <c r="C64" s="285" t="s">
        <v>13</v>
      </c>
      <c r="D64" s="292" t="str">
        <f>'Memória de Cálculo'!D286</f>
        <v>REVESTIMENTO CERÂMICO PARA PISO COM PLACAS TIPO PORCELANATO DE DIMENSÕES 60X60 CM APLICADA EM AMBIENTES DE ÁREA MAIOR QUE 10 M². AF_02/2023_PE</v>
      </c>
      <c r="E64" s="285" t="s">
        <v>21</v>
      </c>
      <c r="F64" s="389">
        <f>'Memória de Cálculo'!J299</f>
        <v>182.65</v>
      </c>
      <c r="G64" s="509">
        <v>122.09</v>
      </c>
      <c r="H64" s="288">
        <f t="shared" si="19"/>
        <v>0.2452</v>
      </c>
      <c r="I64" s="287">
        <f t="shared" si="20"/>
        <v>152.02000000000001</v>
      </c>
      <c r="J64" s="287">
        <f t="shared" si="21"/>
        <v>22299.73</v>
      </c>
      <c r="K64" s="287">
        <f t="shared" si="22"/>
        <v>27766.45</v>
      </c>
      <c r="L64" s="289">
        <f t="shared" si="13"/>
        <v>3.2050525473619758E-2</v>
      </c>
      <c r="M64" s="645">
        <v>132.24</v>
      </c>
    </row>
    <row r="65" spans="1:15" s="645" customFormat="1" ht="39" customHeight="1" x14ac:dyDescent="0.25">
      <c r="A65" s="651" t="s">
        <v>884</v>
      </c>
      <c r="B65" s="285">
        <v>98689</v>
      </c>
      <c r="C65" s="285" t="s">
        <v>13</v>
      </c>
      <c r="D65" s="299" t="s">
        <v>22</v>
      </c>
      <c r="E65" s="285" t="s">
        <v>16</v>
      </c>
      <c r="F65" s="389">
        <f>'Memória de Cálculo'!J303</f>
        <v>28</v>
      </c>
      <c r="G65" s="509">
        <v>136.22999999999999</v>
      </c>
      <c r="H65" s="288">
        <f t="shared" si="19"/>
        <v>0.2452</v>
      </c>
      <c r="I65" s="287">
        <f t="shared" si="20"/>
        <v>169.63</v>
      </c>
      <c r="J65" s="287">
        <f t="shared" si="21"/>
        <v>3814.44</v>
      </c>
      <c r="K65" s="287">
        <f t="shared" si="22"/>
        <v>4749.6400000000003</v>
      </c>
      <c r="L65" s="289">
        <f t="shared" si="13"/>
        <v>5.4824602284600068E-3</v>
      </c>
      <c r="M65" s="645">
        <v>128.47999999999999</v>
      </c>
    </row>
    <row r="66" spans="1:15" s="645" customFormat="1" ht="47.25" customHeight="1" x14ac:dyDescent="0.25">
      <c r="A66" s="651" t="s">
        <v>885</v>
      </c>
      <c r="B66" s="285">
        <v>101094</v>
      </c>
      <c r="C66" s="285" t="s">
        <v>13</v>
      </c>
      <c r="D66" s="299" t="s">
        <v>405</v>
      </c>
      <c r="E66" s="285" t="s">
        <v>16</v>
      </c>
      <c r="F66" s="389">
        <f>'Memória de Cálculo'!J310</f>
        <v>20</v>
      </c>
      <c r="G66" s="509">
        <v>226.26</v>
      </c>
      <c r="H66" s="288">
        <f t="shared" si="19"/>
        <v>0.2452</v>
      </c>
      <c r="I66" s="287">
        <f t="shared" si="20"/>
        <v>281.73</v>
      </c>
      <c r="J66" s="287">
        <f t="shared" si="21"/>
        <v>4525.2</v>
      </c>
      <c r="K66" s="287">
        <f t="shared" si="22"/>
        <v>5634.6</v>
      </c>
      <c r="L66" s="289">
        <f t="shared" si="13"/>
        <v>6.5039603850567101E-3</v>
      </c>
      <c r="M66" s="645">
        <v>211.03</v>
      </c>
    </row>
    <row r="67" spans="1:15" s="645" customFormat="1" ht="46.5" customHeight="1" x14ac:dyDescent="0.25">
      <c r="A67" s="651" t="s">
        <v>886</v>
      </c>
      <c r="B67" s="285">
        <v>103946</v>
      </c>
      <c r="C67" s="285" t="s">
        <v>13</v>
      </c>
      <c r="D67" s="299" t="s">
        <v>1138</v>
      </c>
      <c r="E67" s="285" t="s">
        <v>21</v>
      </c>
      <c r="F67" s="389">
        <f>'Memória de Cálculo'!J314</f>
        <v>210</v>
      </c>
      <c r="G67" s="509">
        <v>26.84</v>
      </c>
      <c r="H67" s="288">
        <f t="shared" si="19"/>
        <v>0.2452</v>
      </c>
      <c r="I67" s="287">
        <f t="shared" si="20"/>
        <v>33.42</v>
      </c>
      <c r="J67" s="287">
        <f t="shared" si="21"/>
        <v>5636.4</v>
      </c>
      <c r="K67" s="287">
        <f t="shared" si="22"/>
        <v>7018.2</v>
      </c>
      <c r="L67" s="289">
        <f t="shared" si="13"/>
        <v>8.1010355259299692E-3</v>
      </c>
      <c r="M67" s="645">
        <v>19.27</v>
      </c>
    </row>
    <row r="68" spans="1:15" s="665" customFormat="1" ht="21" customHeight="1" x14ac:dyDescent="0.25">
      <c r="A68" s="664" t="s">
        <v>362</v>
      </c>
      <c r="B68" s="293"/>
      <c r="C68" s="293"/>
      <c r="D68" s="294" t="s">
        <v>107</v>
      </c>
      <c r="E68" s="295"/>
      <c r="F68" s="391"/>
      <c r="G68" s="296"/>
      <c r="H68" s="296"/>
      <c r="I68" s="296"/>
      <c r="J68" s="297">
        <f>SUM(J69:J76)</f>
        <v>131708.95000000001</v>
      </c>
      <c r="K68" s="298">
        <f>SUM(K69:K76)</f>
        <v>163973.94999999998</v>
      </c>
      <c r="L68" s="405">
        <f t="shared" si="13"/>
        <v>0.18927343111867206</v>
      </c>
    </row>
    <row r="69" spans="1:15" s="645" customFormat="1" ht="69.75" customHeight="1" x14ac:dyDescent="0.25">
      <c r="A69" s="651" t="s">
        <v>887</v>
      </c>
      <c r="B69" s="282">
        <v>87894</v>
      </c>
      <c r="C69" s="282" t="s">
        <v>13</v>
      </c>
      <c r="D69" s="292" t="s">
        <v>1139</v>
      </c>
      <c r="E69" s="282" t="s">
        <v>21</v>
      </c>
      <c r="F69" s="397">
        <f>'Memória de Cálculo'!J325</f>
        <v>262.94400000000002</v>
      </c>
      <c r="G69" s="528">
        <v>7.17</v>
      </c>
      <c r="H69" s="288">
        <f t="shared" ref="H69:H76" si="23">$K$4</f>
        <v>0.2452</v>
      </c>
      <c r="I69" s="315">
        <f>TRUNC(G69*1.2452,2)</f>
        <v>8.92</v>
      </c>
      <c r="J69" s="315">
        <f>TRUNC(F69*G69,2)</f>
        <v>1885.3</v>
      </c>
      <c r="K69" s="315">
        <f>TRUNC(I69*F69,2)</f>
        <v>2345.46</v>
      </c>
      <c r="L69" s="289">
        <f t="shared" si="13"/>
        <v>2.7073401705063555E-3</v>
      </c>
      <c r="M69" s="645">
        <v>6.49</v>
      </c>
    </row>
    <row r="70" spans="1:15" s="645" customFormat="1" ht="55.5" customHeight="1" x14ac:dyDescent="0.25">
      <c r="A70" s="651" t="s">
        <v>888</v>
      </c>
      <c r="B70" s="282">
        <v>87794</v>
      </c>
      <c r="C70" s="282" t="s">
        <v>13</v>
      </c>
      <c r="D70" s="292" t="s">
        <v>448</v>
      </c>
      <c r="E70" s="285" t="s">
        <v>21</v>
      </c>
      <c r="F70" s="397">
        <f>'Memória de Cálculo'!J335</f>
        <v>262.94400000000002</v>
      </c>
      <c r="G70" s="528">
        <v>48.64</v>
      </c>
      <c r="H70" s="288">
        <f t="shared" si="23"/>
        <v>0.2452</v>
      </c>
      <c r="I70" s="315">
        <f t="shared" ref="I70:I76" si="24">TRUNC(G70*1.2452,2)</f>
        <v>60.56</v>
      </c>
      <c r="J70" s="315">
        <f t="shared" ref="J70:J76" si="25">TRUNC(F70*G70,2)</f>
        <v>12789.59</v>
      </c>
      <c r="K70" s="315">
        <f t="shared" ref="K70:K76" si="26">TRUNC(I70*F70,2)</f>
        <v>15923.88</v>
      </c>
      <c r="L70" s="289">
        <f t="shared" si="13"/>
        <v>1.8380769654704299E-2</v>
      </c>
      <c r="M70" s="645">
        <v>43.92</v>
      </c>
    </row>
    <row r="71" spans="1:15" s="645" customFormat="1" ht="57.75" customHeight="1" x14ac:dyDescent="0.25">
      <c r="A71" s="651" t="s">
        <v>889</v>
      </c>
      <c r="B71" s="282" t="s">
        <v>558</v>
      </c>
      <c r="C71" s="282" t="s">
        <v>15</v>
      </c>
      <c r="D71" s="292" t="s">
        <v>559</v>
      </c>
      <c r="E71" s="285" t="s">
        <v>21</v>
      </c>
      <c r="F71" s="397">
        <f>'Memória de Cálculo'!J368</f>
        <v>439.96000000000004</v>
      </c>
      <c r="G71" s="528">
        <v>122.48</v>
      </c>
      <c r="H71" s="288">
        <f t="shared" si="23"/>
        <v>0.2452</v>
      </c>
      <c r="I71" s="315">
        <f t="shared" si="24"/>
        <v>152.51</v>
      </c>
      <c r="J71" s="315">
        <f t="shared" si="25"/>
        <v>53886.3</v>
      </c>
      <c r="K71" s="315">
        <f t="shared" si="26"/>
        <v>67098.289999999994</v>
      </c>
      <c r="L71" s="289">
        <f t="shared" si="13"/>
        <v>7.7450860764747581E-2</v>
      </c>
      <c r="M71" s="645">
        <v>76.959999999999994</v>
      </c>
    </row>
    <row r="72" spans="1:15" s="645" customFormat="1" ht="44.25" customHeight="1" x14ac:dyDescent="0.25">
      <c r="A72" s="651" t="s">
        <v>890</v>
      </c>
      <c r="B72" s="316" t="s">
        <v>98</v>
      </c>
      <c r="C72" s="282" t="s">
        <v>135</v>
      </c>
      <c r="D72" s="292" t="s">
        <v>133</v>
      </c>
      <c r="E72" s="285" t="s">
        <v>21</v>
      </c>
      <c r="F72" s="397">
        <f>'Memória de Cálculo'!J372</f>
        <v>875</v>
      </c>
      <c r="G72" s="528">
        <f>Composições!J44</f>
        <v>19.670000000000002</v>
      </c>
      <c r="H72" s="288">
        <f t="shared" si="23"/>
        <v>0.2452</v>
      </c>
      <c r="I72" s="315">
        <f t="shared" si="24"/>
        <v>24.49</v>
      </c>
      <c r="J72" s="315">
        <f t="shared" si="25"/>
        <v>17211.25</v>
      </c>
      <c r="K72" s="315">
        <f t="shared" si="26"/>
        <v>21428.75</v>
      </c>
      <c r="L72" s="289">
        <f t="shared" si="13"/>
        <v>2.4734984045235504E-2</v>
      </c>
      <c r="O72" s="666" t="e">
        <f>F71+#REF!</f>
        <v>#REF!</v>
      </c>
    </row>
    <row r="73" spans="1:15" s="645" customFormat="1" ht="43.5" customHeight="1" x14ac:dyDescent="0.25">
      <c r="A73" s="651" t="s">
        <v>891</v>
      </c>
      <c r="B73" s="282">
        <v>88489</v>
      </c>
      <c r="C73" s="282" t="s">
        <v>13</v>
      </c>
      <c r="D73" s="292" t="s">
        <v>449</v>
      </c>
      <c r="E73" s="285" t="s">
        <v>21</v>
      </c>
      <c r="F73" s="397">
        <f>'Memória de Cálculo'!J381</f>
        <v>1850.904</v>
      </c>
      <c r="G73" s="528">
        <v>14.29</v>
      </c>
      <c r="H73" s="288">
        <f t="shared" si="23"/>
        <v>0.2452</v>
      </c>
      <c r="I73" s="315">
        <f t="shared" si="24"/>
        <v>17.79</v>
      </c>
      <c r="J73" s="315">
        <f t="shared" si="25"/>
        <v>26449.41</v>
      </c>
      <c r="K73" s="315">
        <f t="shared" si="26"/>
        <v>32927.58</v>
      </c>
      <c r="L73" s="289">
        <f t="shared" si="13"/>
        <v>3.8007964344547195E-2</v>
      </c>
      <c r="M73" s="645">
        <v>15.6</v>
      </c>
    </row>
    <row r="74" spans="1:15" s="645" customFormat="1" ht="32.25" customHeight="1" x14ac:dyDescent="0.25">
      <c r="A74" s="651" t="s">
        <v>892</v>
      </c>
      <c r="B74" s="282" t="s">
        <v>131</v>
      </c>
      <c r="C74" s="282" t="s">
        <v>15</v>
      </c>
      <c r="D74" s="292" t="s">
        <v>132</v>
      </c>
      <c r="E74" s="285" t="s">
        <v>16</v>
      </c>
      <c r="F74" s="397">
        <f>'Memória de Cálculo'!J386</f>
        <v>36.700000000000003</v>
      </c>
      <c r="G74" s="528">
        <v>95.24</v>
      </c>
      <c r="H74" s="288">
        <f t="shared" si="23"/>
        <v>0.2452</v>
      </c>
      <c r="I74" s="315">
        <f t="shared" si="24"/>
        <v>118.59</v>
      </c>
      <c r="J74" s="315">
        <f t="shared" si="25"/>
        <v>3495.3</v>
      </c>
      <c r="K74" s="315">
        <f t="shared" si="26"/>
        <v>4352.25</v>
      </c>
      <c r="L74" s="289">
        <f t="shared" ref="L74:L105" si="27">K74/$J$321</f>
        <v>5.0237570698653082E-3</v>
      </c>
      <c r="M74" s="645">
        <v>86.9</v>
      </c>
    </row>
    <row r="75" spans="1:15" s="645" customFormat="1" ht="30.75" customHeight="1" x14ac:dyDescent="0.25">
      <c r="A75" s="651" t="s">
        <v>893</v>
      </c>
      <c r="B75" s="282">
        <v>95305</v>
      </c>
      <c r="C75" s="282" t="s">
        <v>13</v>
      </c>
      <c r="D75" s="292" t="s">
        <v>450</v>
      </c>
      <c r="E75" s="285" t="s">
        <v>21</v>
      </c>
      <c r="F75" s="397">
        <f>'Memória de Cálculo'!J390</f>
        <v>486.44</v>
      </c>
      <c r="G75" s="528">
        <v>15.22</v>
      </c>
      <c r="H75" s="288">
        <f t="shared" si="23"/>
        <v>0.2452</v>
      </c>
      <c r="I75" s="315">
        <f t="shared" si="24"/>
        <v>18.95</v>
      </c>
      <c r="J75" s="315">
        <f t="shared" si="25"/>
        <v>7403.61</v>
      </c>
      <c r="K75" s="315">
        <f t="shared" si="26"/>
        <v>9218.0300000000007</v>
      </c>
      <c r="L75" s="289">
        <f t="shared" si="27"/>
        <v>1.0640276496692632E-2</v>
      </c>
      <c r="M75" s="645">
        <v>14</v>
      </c>
    </row>
    <row r="76" spans="1:15" s="645" customFormat="1" ht="30.75" customHeight="1" x14ac:dyDescent="0.25">
      <c r="A76" s="651" t="s">
        <v>894</v>
      </c>
      <c r="B76" s="282">
        <v>88485</v>
      </c>
      <c r="C76" s="282" t="s">
        <v>13</v>
      </c>
      <c r="D76" s="292" t="s">
        <v>560</v>
      </c>
      <c r="E76" s="285" t="s">
        <v>21</v>
      </c>
      <c r="F76" s="397">
        <f>'Memória de Cálculo'!J399</f>
        <v>1850.904</v>
      </c>
      <c r="G76" s="528">
        <v>4.6399999999999997</v>
      </c>
      <c r="H76" s="288">
        <f t="shared" si="23"/>
        <v>0.2452</v>
      </c>
      <c r="I76" s="315">
        <f t="shared" si="24"/>
        <v>5.77</v>
      </c>
      <c r="J76" s="315">
        <f t="shared" si="25"/>
        <v>8588.19</v>
      </c>
      <c r="K76" s="315">
        <f t="shared" si="26"/>
        <v>10679.71</v>
      </c>
      <c r="L76" s="289">
        <f t="shared" si="27"/>
        <v>1.2327478572373192E-2</v>
      </c>
    </row>
    <row r="77" spans="1:15" s="645" customFormat="1" ht="23.25" customHeight="1" x14ac:dyDescent="0.25">
      <c r="A77" s="667" t="s">
        <v>363</v>
      </c>
      <c r="B77" s="317"/>
      <c r="C77" s="317"/>
      <c r="D77" s="318" t="s">
        <v>108</v>
      </c>
      <c r="E77" s="317"/>
      <c r="F77" s="398"/>
      <c r="G77" s="317"/>
      <c r="H77" s="317"/>
      <c r="I77" s="317"/>
      <c r="J77" s="319">
        <f>SUM(J78:J80)</f>
        <v>27237.14</v>
      </c>
      <c r="K77" s="320">
        <f>SUM(K78:K80)</f>
        <v>33912.019999999997</v>
      </c>
      <c r="L77" s="419">
        <f t="shared" si="27"/>
        <v>3.9144293234169389E-2</v>
      </c>
    </row>
    <row r="78" spans="1:15" s="645" customFormat="1" ht="41.25" customHeight="1" x14ac:dyDescent="0.25">
      <c r="A78" s="651" t="s">
        <v>895</v>
      </c>
      <c r="B78" s="282">
        <v>96109</v>
      </c>
      <c r="C78" s="282" t="s">
        <v>13</v>
      </c>
      <c r="D78" s="292" t="s">
        <v>1142</v>
      </c>
      <c r="E78" s="285" t="s">
        <v>21</v>
      </c>
      <c r="F78" s="399">
        <f>'Memória de Cálculo'!J404</f>
        <v>272.89</v>
      </c>
      <c r="G78" s="529">
        <v>52.08</v>
      </c>
      <c r="H78" s="288">
        <f>$K$4</f>
        <v>0.2452</v>
      </c>
      <c r="I78" s="321">
        <f>TRUNC(G78*1.2452,2)</f>
        <v>64.849999999999994</v>
      </c>
      <c r="J78" s="321">
        <f>TRUNC(F78*G78,2)</f>
        <v>14212.11</v>
      </c>
      <c r="K78" s="321">
        <f>TRUNC(F78*I78,2)</f>
        <v>17696.91</v>
      </c>
      <c r="L78" s="289">
        <f t="shared" si="27"/>
        <v>2.0427359808666799E-2</v>
      </c>
      <c r="M78" s="645">
        <v>41.29</v>
      </c>
    </row>
    <row r="79" spans="1:15" s="645" customFormat="1" ht="45.75" customHeight="1" x14ac:dyDescent="0.25">
      <c r="A79" s="651" t="s">
        <v>896</v>
      </c>
      <c r="B79" s="282">
        <v>88496</v>
      </c>
      <c r="C79" s="282" t="s">
        <v>13</v>
      </c>
      <c r="D79" s="292" t="s">
        <v>451</v>
      </c>
      <c r="E79" s="285" t="s">
        <v>21</v>
      </c>
      <c r="F79" s="399">
        <f>'Memória de Cálculo'!J408</f>
        <v>272.89</v>
      </c>
      <c r="G79" s="529">
        <v>31.06</v>
      </c>
      <c r="H79" s="288">
        <f>$K$4</f>
        <v>0.2452</v>
      </c>
      <c r="I79" s="321">
        <f t="shared" ref="I79:I80" si="28">TRUNC(G79*1.2452,2)</f>
        <v>38.67</v>
      </c>
      <c r="J79" s="321">
        <f t="shared" ref="J79:J80" si="29">TRUNC(F79*G79,2)</f>
        <v>8475.9599999999991</v>
      </c>
      <c r="K79" s="321">
        <f t="shared" ref="K79:K80" si="30">TRUNC(F79*I79,2)</f>
        <v>10552.65</v>
      </c>
      <c r="L79" s="289">
        <f t="shared" si="27"/>
        <v>1.2180814531176781E-2</v>
      </c>
      <c r="M79" s="645">
        <v>26.64</v>
      </c>
    </row>
    <row r="80" spans="1:15" s="645" customFormat="1" ht="45" customHeight="1" x14ac:dyDescent="0.25">
      <c r="A80" s="651" t="s">
        <v>897</v>
      </c>
      <c r="B80" s="282">
        <v>88488</v>
      </c>
      <c r="C80" s="282" t="s">
        <v>13</v>
      </c>
      <c r="D80" s="292" t="s">
        <v>452</v>
      </c>
      <c r="E80" s="285" t="s">
        <v>21</v>
      </c>
      <c r="F80" s="399">
        <f>'Memória de Cálculo'!J412</f>
        <v>272.89</v>
      </c>
      <c r="G80" s="529">
        <v>16.670000000000002</v>
      </c>
      <c r="H80" s="288">
        <f>$K$4</f>
        <v>0.2452</v>
      </c>
      <c r="I80" s="321">
        <f t="shared" si="28"/>
        <v>20.75</v>
      </c>
      <c r="J80" s="321">
        <f t="shared" si="29"/>
        <v>4549.07</v>
      </c>
      <c r="K80" s="321">
        <f t="shared" si="30"/>
        <v>5662.46</v>
      </c>
      <c r="L80" s="289">
        <f t="shared" si="27"/>
        <v>6.5361188943258118E-3</v>
      </c>
      <c r="M80" s="645">
        <v>17.53</v>
      </c>
    </row>
    <row r="81" spans="1:13" s="668" customFormat="1" ht="24" customHeight="1" x14ac:dyDescent="0.25">
      <c r="A81" s="662">
        <v>7</v>
      </c>
      <c r="B81" s="345"/>
      <c r="C81" s="345"/>
      <c r="D81" s="302" t="s">
        <v>110</v>
      </c>
      <c r="E81" s="345"/>
      <c r="F81" s="395"/>
      <c r="G81" s="345"/>
      <c r="H81" s="345"/>
      <c r="I81" s="345"/>
      <c r="J81" s="303">
        <f>SUM(J82+J87+J91)</f>
        <v>63546.3</v>
      </c>
      <c r="K81" s="304">
        <f>SUM(K82+K87+K91)</f>
        <v>79127.209999999992</v>
      </c>
      <c r="L81" s="404">
        <f t="shared" si="27"/>
        <v>9.1335718457399476E-2</v>
      </c>
    </row>
    <row r="82" spans="1:13" s="645" customFormat="1" x14ac:dyDescent="0.25">
      <c r="A82" s="669" t="s">
        <v>55</v>
      </c>
      <c r="B82" s="309"/>
      <c r="C82" s="309"/>
      <c r="D82" s="310" t="s">
        <v>111</v>
      </c>
      <c r="E82" s="311"/>
      <c r="F82" s="396"/>
      <c r="G82" s="312"/>
      <c r="H82" s="312"/>
      <c r="I82" s="312"/>
      <c r="J82" s="313">
        <f>SUM(J83:J86)</f>
        <v>30836.340000000004</v>
      </c>
      <c r="K82" s="314">
        <f>SUM(K83:K86)</f>
        <v>38397.050000000003</v>
      </c>
      <c r="L82" s="405">
        <f t="shared" si="27"/>
        <v>4.4321316881951116E-2</v>
      </c>
    </row>
    <row r="83" spans="1:13" s="665" customFormat="1" ht="36" customHeight="1" x14ac:dyDescent="0.25">
      <c r="A83" s="651" t="s">
        <v>164</v>
      </c>
      <c r="B83" s="285" t="s">
        <v>175</v>
      </c>
      <c r="C83" s="285" t="s">
        <v>15</v>
      </c>
      <c r="D83" s="299" t="s">
        <v>172</v>
      </c>
      <c r="E83" s="285" t="s">
        <v>14</v>
      </c>
      <c r="F83" s="389">
        <f>'Memória de Cálculo'!J418</f>
        <v>9</v>
      </c>
      <c r="G83" s="509">
        <v>1052.8900000000001</v>
      </c>
      <c r="H83" s="288">
        <f>$K$4</f>
        <v>0.2452</v>
      </c>
      <c r="I83" s="287">
        <f>TRUNC(G83*1.2452,2)</f>
        <v>1311.05</v>
      </c>
      <c r="J83" s="287">
        <f>TRUNC(F83*G83,2)</f>
        <v>9476.01</v>
      </c>
      <c r="K83" s="287">
        <f>TRUNC(I83*F83,2)</f>
        <v>11799.45</v>
      </c>
      <c r="L83" s="289">
        <f t="shared" si="27"/>
        <v>1.3619982849795443E-2</v>
      </c>
      <c r="M83" s="665">
        <v>881.46</v>
      </c>
    </row>
    <row r="84" spans="1:13" s="645" customFormat="1" ht="39" customHeight="1" x14ac:dyDescent="0.25">
      <c r="A84" s="651" t="s">
        <v>165</v>
      </c>
      <c r="B84" s="282" t="s">
        <v>174</v>
      </c>
      <c r="C84" s="282" t="s">
        <v>15</v>
      </c>
      <c r="D84" s="292" t="s">
        <v>173</v>
      </c>
      <c r="E84" s="282" t="s">
        <v>14</v>
      </c>
      <c r="F84" s="399">
        <f>'Memória de Cálculo'!J422</f>
        <v>17</v>
      </c>
      <c r="G84" s="527">
        <v>1075.58</v>
      </c>
      <c r="H84" s="288">
        <f>$K$4</f>
        <v>0.2452</v>
      </c>
      <c r="I84" s="287">
        <f t="shared" ref="I84:I86" si="31">TRUNC(G84*1.2452,2)</f>
        <v>1339.31</v>
      </c>
      <c r="J84" s="287">
        <f t="shared" ref="J84:J86" si="32">TRUNC(F84*G84,2)</f>
        <v>18284.86</v>
      </c>
      <c r="K84" s="287">
        <f t="shared" ref="K84:K86" si="33">TRUNC(I84*F84,2)</f>
        <v>22768.27</v>
      </c>
      <c r="L84" s="289">
        <f t="shared" si="27"/>
        <v>2.6281178098937836E-2</v>
      </c>
      <c r="M84" s="645">
        <v>908.55</v>
      </c>
    </row>
    <row r="85" spans="1:13" s="645" customFormat="1" ht="41.25" customHeight="1" x14ac:dyDescent="0.25">
      <c r="A85" s="651" t="s">
        <v>56</v>
      </c>
      <c r="B85" s="282" t="s">
        <v>264</v>
      </c>
      <c r="C85" s="282" t="s">
        <v>15</v>
      </c>
      <c r="D85" s="292" t="s">
        <v>263</v>
      </c>
      <c r="E85" s="282" t="s">
        <v>14</v>
      </c>
      <c r="F85" s="399">
        <f>'Memória de Cálculo'!J426</f>
        <v>1</v>
      </c>
      <c r="G85" s="527">
        <v>1013.52</v>
      </c>
      <c r="H85" s="288">
        <f>$K$4</f>
        <v>0.2452</v>
      </c>
      <c r="I85" s="287">
        <f t="shared" si="31"/>
        <v>1262.03</v>
      </c>
      <c r="J85" s="287">
        <f t="shared" si="32"/>
        <v>1013.52</v>
      </c>
      <c r="K85" s="287">
        <f t="shared" si="33"/>
        <v>1262.03</v>
      </c>
      <c r="L85" s="289">
        <f t="shared" si="27"/>
        <v>1.4567481497804848E-3</v>
      </c>
      <c r="M85" s="645">
        <v>872.25</v>
      </c>
    </row>
    <row r="86" spans="1:13" s="645" customFormat="1" ht="39.75" customHeight="1" x14ac:dyDescent="0.25">
      <c r="A86" s="651" t="s">
        <v>57</v>
      </c>
      <c r="B86" s="282">
        <v>102219</v>
      </c>
      <c r="C86" s="282" t="s">
        <v>13</v>
      </c>
      <c r="D86" s="292" t="s">
        <v>143</v>
      </c>
      <c r="E86" s="282" t="s">
        <v>21</v>
      </c>
      <c r="F86" s="397">
        <f>'Memória de Cálculo'!J434</f>
        <v>109.62000000000002</v>
      </c>
      <c r="G86" s="530">
        <v>18.809999999999999</v>
      </c>
      <c r="H86" s="288">
        <f>$K$4</f>
        <v>0.2452</v>
      </c>
      <c r="I86" s="287">
        <f t="shared" si="31"/>
        <v>23.42</v>
      </c>
      <c r="J86" s="287">
        <f t="shared" si="32"/>
        <v>2061.9499999999998</v>
      </c>
      <c r="K86" s="287">
        <f t="shared" si="33"/>
        <v>2567.3000000000002</v>
      </c>
      <c r="L86" s="289">
        <f t="shared" si="27"/>
        <v>2.9634077834373501E-3</v>
      </c>
      <c r="M86" s="645">
        <v>16</v>
      </c>
    </row>
    <row r="87" spans="1:13" s="665" customFormat="1" ht="23.25" customHeight="1" x14ac:dyDescent="0.25">
      <c r="A87" s="670" t="s">
        <v>58</v>
      </c>
      <c r="B87" s="293"/>
      <c r="C87" s="293"/>
      <c r="D87" s="294" t="s">
        <v>113</v>
      </c>
      <c r="E87" s="295"/>
      <c r="F87" s="391"/>
      <c r="G87" s="296"/>
      <c r="H87" s="296"/>
      <c r="I87" s="296"/>
      <c r="J87" s="297">
        <f>SUM(J88:J90)</f>
        <v>16732.25</v>
      </c>
      <c r="K87" s="298">
        <f>SUM(K88:K90)</f>
        <v>20834.759999999998</v>
      </c>
      <c r="L87" s="405">
        <f t="shared" si="27"/>
        <v>2.4049347544131638E-2</v>
      </c>
    </row>
    <row r="88" spans="1:13" s="665" customFormat="1" ht="74.400000000000006" customHeight="1" x14ac:dyDescent="0.25">
      <c r="A88" s="671" t="s">
        <v>166</v>
      </c>
      <c r="B88" s="322">
        <v>94569</v>
      </c>
      <c r="C88" s="322" t="s">
        <v>13</v>
      </c>
      <c r="D88" s="323" t="s">
        <v>1143</v>
      </c>
      <c r="E88" s="322" t="s">
        <v>21</v>
      </c>
      <c r="F88" s="400">
        <f>'Memória de Cálculo'!J439</f>
        <v>4.2</v>
      </c>
      <c r="G88" s="531">
        <v>657.94</v>
      </c>
      <c r="H88" s="288">
        <f>$K$4</f>
        <v>0.2452</v>
      </c>
      <c r="I88" s="324">
        <f>TRUNC(G88*1.2452,2)</f>
        <v>819.26</v>
      </c>
      <c r="J88" s="325">
        <f>TRUNC(F88*G88,2)</f>
        <v>2763.34</v>
      </c>
      <c r="K88" s="325">
        <f>TRUNC(F88*I88,2)</f>
        <v>3440.89</v>
      </c>
      <c r="L88" s="289">
        <f t="shared" si="27"/>
        <v>3.9717836668685946E-3</v>
      </c>
      <c r="M88" s="665">
        <v>597.55999999999995</v>
      </c>
    </row>
    <row r="89" spans="1:13" s="665" customFormat="1" ht="91.95" customHeight="1" x14ac:dyDescent="0.25">
      <c r="A89" s="671" t="s">
        <v>167</v>
      </c>
      <c r="B89" s="322">
        <v>94570</v>
      </c>
      <c r="C89" s="322" t="s">
        <v>13</v>
      </c>
      <c r="D89" s="323" t="s">
        <v>1144</v>
      </c>
      <c r="E89" s="322" t="s">
        <v>21</v>
      </c>
      <c r="F89" s="400">
        <f>'Memória de Cálculo'!J447</f>
        <v>22.560000000000002</v>
      </c>
      <c r="G89" s="531">
        <v>347.63</v>
      </c>
      <c r="H89" s="288">
        <f>$K$4</f>
        <v>0.2452</v>
      </c>
      <c r="I89" s="324">
        <f t="shared" ref="I89:I90" si="34">TRUNC(G89*1.2452,2)</f>
        <v>432.86</v>
      </c>
      <c r="J89" s="325">
        <f t="shared" ref="J89:J90" si="35">TRUNC(F89*G89,2)</f>
        <v>7842.53</v>
      </c>
      <c r="K89" s="325">
        <f t="shared" ref="K89:K90" si="36">TRUNC(F89*I89,2)</f>
        <v>9765.32</v>
      </c>
      <c r="L89" s="289">
        <f t="shared" si="27"/>
        <v>1.1272007671778297E-2</v>
      </c>
      <c r="M89" s="665">
        <v>307.72000000000003</v>
      </c>
    </row>
    <row r="90" spans="1:13" s="665" customFormat="1" ht="63.75" customHeight="1" x14ac:dyDescent="0.25">
      <c r="A90" s="671" t="s">
        <v>168</v>
      </c>
      <c r="B90" s="322">
        <v>91341</v>
      </c>
      <c r="C90" s="322" t="s">
        <v>13</v>
      </c>
      <c r="D90" s="323" t="s">
        <v>1145</v>
      </c>
      <c r="E90" s="322" t="s">
        <v>21</v>
      </c>
      <c r="F90" s="400">
        <f>'Memória de Cálculo'!J456</f>
        <v>10.410000000000002</v>
      </c>
      <c r="G90" s="531">
        <v>588.51</v>
      </c>
      <c r="H90" s="288">
        <f>$K$4</f>
        <v>0.2452</v>
      </c>
      <c r="I90" s="324">
        <f t="shared" si="34"/>
        <v>732.81</v>
      </c>
      <c r="J90" s="325">
        <f t="shared" si="35"/>
        <v>6126.38</v>
      </c>
      <c r="K90" s="325">
        <f t="shared" si="36"/>
        <v>7628.55</v>
      </c>
      <c r="L90" s="289">
        <f t="shared" si="27"/>
        <v>8.8055562054847481E-3</v>
      </c>
      <c r="M90" s="665">
        <v>689.83</v>
      </c>
    </row>
    <row r="91" spans="1:13" s="665" customFormat="1" ht="20.25" customHeight="1" x14ac:dyDescent="0.25">
      <c r="A91" s="670" t="s">
        <v>59</v>
      </c>
      <c r="B91" s="293"/>
      <c r="C91" s="293"/>
      <c r="D91" s="294" t="s">
        <v>115</v>
      </c>
      <c r="E91" s="295"/>
      <c r="F91" s="391"/>
      <c r="G91" s="296"/>
      <c r="H91" s="296"/>
      <c r="I91" s="296"/>
      <c r="J91" s="297">
        <f>SUM(J92:J94)</f>
        <v>15977.710000000001</v>
      </c>
      <c r="K91" s="298">
        <f>SUM(K92:K94)</f>
        <v>19895.400000000001</v>
      </c>
      <c r="L91" s="405">
        <f t="shared" si="27"/>
        <v>2.2965054031316736E-2</v>
      </c>
    </row>
    <row r="92" spans="1:13" s="645" customFormat="1" ht="55.5" customHeight="1" x14ac:dyDescent="0.25">
      <c r="A92" s="651" t="s">
        <v>60</v>
      </c>
      <c r="B92" s="285" t="s">
        <v>100</v>
      </c>
      <c r="C92" s="285" t="s">
        <v>179</v>
      </c>
      <c r="D92" s="299" t="s">
        <v>259</v>
      </c>
      <c r="E92" s="285" t="s">
        <v>14</v>
      </c>
      <c r="F92" s="389">
        <f>'Memória de Cálculo'!J461</f>
        <v>1</v>
      </c>
      <c r="G92" s="509">
        <f>Composições!J52</f>
        <v>4581.0200000000004</v>
      </c>
      <c r="H92" s="288">
        <f>$K$4</f>
        <v>0.2452</v>
      </c>
      <c r="I92" s="287">
        <f>TRUNC(G92*1.2452,2)</f>
        <v>5704.28</v>
      </c>
      <c r="J92" s="287">
        <f>TRUNC(F92*G92,2)</f>
        <v>4581.0200000000004</v>
      </c>
      <c r="K92" s="287">
        <f>TRUNC(I92*F92,2)</f>
        <v>5704.28</v>
      </c>
      <c r="L92" s="289">
        <f t="shared" si="27"/>
        <v>6.5843912869185542E-3</v>
      </c>
    </row>
    <row r="93" spans="1:13" s="645" customFormat="1" ht="63" customHeight="1" x14ac:dyDescent="0.25">
      <c r="A93" s="651" t="s">
        <v>169</v>
      </c>
      <c r="B93" s="285" t="s">
        <v>39</v>
      </c>
      <c r="C93" s="285" t="s">
        <v>179</v>
      </c>
      <c r="D93" s="284" t="s">
        <v>260</v>
      </c>
      <c r="E93" s="285" t="s">
        <v>14</v>
      </c>
      <c r="F93" s="389">
        <f>'Memória de Cálculo'!J465</f>
        <v>1</v>
      </c>
      <c r="G93" s="509">
        <f>Composições!J61</f>
        <v>4783.5200000000004</v>
      </c>
      <c r="H93" s="288">
        <f>$K$4</f>
        <v>0.2452</v>
      </c>
      <c r="I93" s="287">
        <f t="shared" ref="I93:I94" si="37">TRUNC(G93*1.2452,2)</f>
        <v>5956.43</v>
      </c>
      <c r="J93" s="287">
        <f t="shared" ref="J93:J94" si="38">TRUNC(F93*G93,2)</f>
        <v>4783.5200000000004</v>
      </c>
      <c r="K93" s="287">
        <f t="shared" ref="K93:K94" si="39">TRUNC(I93*F93,2)</f>
        <v>5956.43</v>
      </c>
      <c r="L93" s="289">
        <f t="shared" si="27"/>
        <v>6.8754454187277426E-3</v>
      </c>
    </row>
    <row r="94" spans="1:13" s="645" customFormat="1" ht="43.2" customHeight="1" x14ac:dyDescent="0.25">
      <c r="A94" s="651" t="s">
        <v>170</v>
      </c>
      <c r="B94" s="285">
        <v>102235</v>
      </c>
      <c r="C94" s="285" t="s">
        <v>13</v>
      </c>
      <c r="D94" s="299" t="s">
        <v>569</v>
      </c>
      <c r="E94" s="285" t="s">
        <v>21</v>
      </c>
      <c r="F94" s="389">
        <f>'Memória de Cálculo'!J469</f>
        <v>15.261299999999999</v>
      </c>
      <c r="G94" s="509">
        <v>433.33</v>
      </c>
      <c r="H94" s="288">
        <f>$K$4</f>
        <v>0.2452</v>
      </c>
      <c r="I94" s="287">
        <f t="shared" si="37"/>
        <v>539.58000000000004</v>
      </c>
      <c r="J94" s="287">
        <f t="shared" si="38"/>
        <v>6613.17</v>
      </c>
      <c r="K94" s="287">
        <f t="shared" si="39"/>
        <v>8234.69</v>
      </c>
      <c r="L94" s="289">
        <f t="shared" si="27"/>
        <v>9.5052173256704366E-3</v>
      </c>
    </row>
    <row r="95" spans="1:13" s="660" customFormat="1" ht="21" customHeight="1" x14ac:dyDescent="0.25">
      <c r="A95" s="658">
        <v>8</v>
      </c>
      <c r="B95" s="344"/>
      <c r="C95" s="344"/>
      <c r="D95" s="306" t="s">
        <v>565</v>
      </c>
      <c r="E95" s="344"/>
      <c r="F95" s="393"/>
      <c r="G95" s="344"/>
      <c r="H95" s="344"/>
      <c r="I95" s="344"/>
      <c r="J95" s="307">
        <f>SUM(J96:J173)</f>
        <v>97142.309999999969</v>
      </c>
      <c r="K95" s="308">
        <f>SUM(K96:K173)</f>
        <v>120894.65000000002</v>
      </c>
      <c r="L95" s="412">
        <f t="shared" si="27"/>
        <v>0.13954744158685556</v>
      </c>
    </row>
    <row r="96" spans="1:13" s="645" customFormat="1" ht="42" customHeight="1" x14ac:dyDescent="0.25">
      <c r="A96" s="651" t="s">
        <v>106</v>
      </c>
      <c r="B96" s="285">
        <v>103782</v>
      </c>
      <c r="C96" s="285" t="s">
        <v>13</v>
      </c>
      <c r="D96" s="299" t="s">
        <v>1146</v>
      </c>
      <c r="E96" s="285" t="s">
        <v>14</v>
      </c>
      <c r="F96" s="389">
        <f>'Memória de Cálculo'!J479</f>
        <v>50</v>
      </c>
      <c r="G96" s="509">
        <v>33.369999999999997</v>
      </c>
      <c r="H96" s="288">
        <f t="shared" ref="H96:H158" si="40">$K$4</f>
        <v>0.2452</v>
      </c>
      <c r="I96" s="287">
        <f>TRUNC(G96*1.2452,2)</f>
        <v>41.55</v>
      </c>
      <c r="J96" s="287">
        <f>TRUNC(F96*G96,2)</f>
        <v>1668.5</v>
      </c>
      <c r="K96" s="287">
        <f>TRUNC(I96*F96,2)</f>
        <v>2077.5</v>
      </c>
      <c r="L96" s="289">
        <f t="shared" si="27"/>
        <v>2.3980367195462525E-3</v>
      </c>
      <c r="M96" s="645">
        <v>39.07</v>
      </c>
    </row>
    <row r="97" spans="1:13" s="645" customFormat="1" ht="58.5" customHeight="1" x14ac:dyDescent="0.25">
      <c r="A97" s="651" t="s">
        <v>105</v>
      </c>
      <c r="B97" s="285">
        <v>13148</v>
      </c>
      <c r="C97" s="507" t="s">
        <v>581</v>
      </c>
      <c r="D97" s="299" t="s">
        <v>1147</v>
      </c>
      <c r="E97" s="285" t="s">
        <v>14</v>
      </c>
      <c r="F97" s="389">
        <f>'Memória de Cálculo'!J483</f>
        <v>11</v>
      </c>
      <c r="G97" s="509">
        <v>77.95</v>
      </c>
      <c r="H97" s="288">
        <f t="shared" si="40"/>
        <v>0.2452</v>
      </c>
      <c r="I97" s="287">
        <f t="shared" ref="I97:I159" si="41">TRUNC(G97*1.2452,2)</f>
        <v>97.06</v>
      </c>
      <c r="J97" s="287">
        <f t="shared" ref="J97:J159" si="42">TRUNC(F97*G97,2)</f>
        <v>857.45</v>
      </c>
      <c r="K97" s="287">
        <f t="shared" ref="K97:K159" si="43">TRUNC(I97*F97,2)</f>
        <v>1067.6600000000001</v>
      </c>
      <c r="L97" s="289">
        <f t="shared" si="27"/>
        <v>1.2323888731604101E-3</v>
      </c>
      <c r="M97" s="645">
        <v>307.33</v>
      </c>
    </row>
    <row r="98" spans="1:13" s="645" customFormat="1" ht="42" customHeight="1" x14ac:dyDescent="0.25">
      <c r="A98" s="651" t="s">
        <v>109</v>
      </c>
      <c r="B98" s="285">
        <v>97598</v>
      </c>
      <c r="C98" s="285" t="s">
        <v>13</v>
      </c>
      <c r="D98" s="299" t="s">
        <v>1148</v>
      </c>
      <c r="E98" s="285" t="s">
        <v>14</v>
      </c>
      <c r="F98" s="389">
        <f>'Memória de Cálculo'!J487</f>
        <v>3</v>
      </c>
      <c r="G98" s="509">
        <v>62.51</v>
      </c>
      <c r="H98" s="288">
        <f t="shared" si="40"/>
        <v>0.2452</v>
      </c>
      <c r="I98" s="287">
        <f t="shared" si="41"/>
        <v>77.83</v>
      </c>
      <c r="J98" s="287">
        <f t="shared" si="42"/>
        <v>187.53</v>
      </c>
      <c r="K98" s="287">
        <f t="shared" si="43"/>
        <v>233.49</v>
      </c>
      <c r="L98" s="289">
        <f t="shared" si="27"/>
        <v>2.6951508719463515E-4</v>
      </c>
      <c r="M98" s="645">
        <v>54.66</v>
      </c>
    </row>
    <row r="99" spans="1:13" s="645" customFormat="1" ht="44.25" customHeight="1" x14ac:dyDescent="0.25">
      <c r="A99" s="651" t="s">
        <v>898</v>
      </c>
      <c r="B99" s="285">
        <v>92000</v>
      </c>
      <c r="C99" s="285" t="s">
        <v>13</v>
      </c>
      <c r="D99" s="299" t="s">
        <v>453</v>
      </c>
      <c r="E99" s="285" t="s">
        <v>14</v>
      </c>
      <c r="F99" s="389">
        <f>'Memória de Cálculo'!J491</f>
        <v>9</v>
      </c>
      <c r="G99" s="509">
        <v>29.85</v>
      </c>
      <c r="H99" s="288">
        <f t="shared" si="40"/>
        <v>0.2452</v>
      </c>
      <c r="I99" s="287">
        <f t="shared" si="41"/>
        <v>37.159999999999997</v>
      </c>
      <c r="J99" s="287">
        <f t="shared" si="42"/>
        <v>268.64999999999998</v>
      </c>
      <c r="K99" s="287">
        <f t="shared" si="43"/>
        <v>334.44</v>
      </c>
      <c r="L99" s="289">
        <f t="shared" si="27"/>
        <v>3.8604062598558301E-4</v>
      </c>
      <c r="M99" s="645">
        <v>30.21</v>
      </c>
    </row>
    <row r="100" spans="1:13" s="645" customFormat="1" ht="42.75" customHeight="1" x14ac:dyDescent="0.25">
      <c r="A100" s="651" t="s">
        <v>899</v>
      </c>
      <c r="B100" s="285">
        <v>92009</v>
      </c>
      <c r="C100" s="285" t="s">
        <v>13</v>
      </c>
      <c r="D100" s="299" t="s">
        <v>454</v>
      </c>
      <c r="E100" s="285" t="s">
        <v>14</v>
      </c>
      <c r="F100" s="389">
        <f>'Memória de Cálculo'!J495</f>
        <v>2</v>
      </c>
      <c r="G100" s="509">
        <v>49.55</v>
      </c>
      <c r="H100" s="288">
        <f t="shared" si="40"/>
        <v>0.2452</v>
      </c>
      <c r="I100" s="287">
        <f t="shared" si="41"/>
        <v>61.69</v>
      </c>
      <c r="J100" s="287">
        <f t="shared" si="42"/>
        <v>99.1</v>
      </c>
      <c r="K100" s="287">
        <f t="shared" si="43"/>
        <v>123.38</v>
      </c>
      <c r="L100" s="289">
        <f t="shared" si="27"/>
        <v>1.4241625533459285E-4</v>
      </c>
      <c r="M100" s="645">
        <v>51.66</v>
      </c>
    </row>
    <row r="101" spans="1:13" s="645" customFormat="1" ht="48" customHeight="1" x14ac:dyDescent="0.25">
      <c r="A101" s="651" t="s">
        <v>900</v>
      </c>
      <c r="B101" s="285">
        <v>91996</v>
      </c>
      <c r="C101" s="285" t="s">
        <v>13</v>
      </c>
      <c r="D101" s="299" t="s">
        <v>455</v>
      </c>
      <c r="E101" s="285" t="s">
        <v>14</v>
      </c>
      <c r="F101" s="389">
        <f>'Memória de Cálculo'!J499</f>
        <v>34</v>
      </c>
      <c r="G101" s="509">
        <v>33.83</v>
      </c>
      <c r="H101" s="288">
        <f t="shared" si="40"/>
        <v>0.2452</v>
      </c>
      <c r="I101" s="287">
        <f t="shared" si="41"/>
        <v>42.12</v>
      </c>
      <c r="J101" s="287">
        <f t="shared" si="42"/>
        <v>1150.22</v>
      </c>
      <c r="K101" s="287">
        <f t="shared" si="43"/>
        <v>1432.08</v>
      </c>
      <c r="L101" s="289">
        <f t="shared" si="27"/>
        <v>1.6530351024441863E-3</v>
      </c>
      <c r="M101" s="645">
        <v>33.64</v>
      </c>
    </row>
    <row r="102" spans="1:13" s="645" customFormat="1" ht="41.25" customHeight="1" x14ac:dyDescent="0.25">
      <c r="A102" s="651" t="s">
        <v>901</v>
      </c>
      <c r="B102" s="285">
        <v>92004</v>
      </c>
      <c r="C102" s="285" t="s">
        <v>13</v>
      </c>
      <c r="D102" s="299" t="s">
        <v>456</v>
      </c>
      <c r="E102" s="285" t="s">
        <v>14</v>
      </c>
      <c r="F102" s="389">
        <f>'Memória de Cálculo'!J503</f>
        <v>36</v>
      </c>
      <c r="G102" s="509">
        <v>53.9</v>
      </c>
      <c r="H102" s="288">
        <f t="shared" si="40"/>
        <v>0.2452</v>
      </c>
      <c r="I102" s="287">
        <f t="shared" si="41"/>
        <v>67.11</v>
      </c>
      <c r="J102" s="287">
        <f t="shared" si="42"/>
        <v>1940.4</v>
      </c>
      <c r="K102" s="287">
        <f t="shared" si="43"/>
        <v>2415.96</v>
      </c>
      <c r="L102" s="289">
        <f t="shared" si="27"/>
        <v>2.7887175898700192E-3</v>
      </c>
      <c r="M102" s="645">
        <v>53.8</v>
      </c>
    </row>
    <row r="103" spans="1:13" s="645" customFormat="1" ht="39.75" customHeight="1" x14ac:dyDescent="0.25">
      <c r="A103" s="651" t="s">
        <v>902</v>
      </c>
      <c r="B103" s="285">
        <v>91953</v>
      </c>
      <c r="C103" s="285" t="s">
        <v>13</v>
      </c>
      <c r="D103" s="299" t="s">
        <v>457</v>
      </c>
      <c r="E103" s="285" t="s">
        <v>14</v>
      </c>
      <c r="F103" s="389">
        <f>'Memória de Cálculo'!J507</f>
        <v>24</v>
      </c>
      <c r="G103" s="509">
        <v>28.53</v>
      </c>
      <c r="H103" s="288">
        <f t="shared" si="40"/>
        <v>0.2452</v>
      </c>
      <c r="I103" s="287">
        <f t="shared" si="41"/>
        <v>35.520000000000003</v>
      </c>
      <c r="J103" s="287">
        <f t="shared" si="42"/>
        <v>684.72</v>
      </c>
      <c r="K103" s="287">
        <f t="shared" si="43"/>
        <v>852.48</v>
      </c>
      <c r="L103" s="289">
        <f t="shared" si="27"/>
        <v>9.8400882920760013E-4</v>
      </c>
      <c r="M103" s="645">
        <v>28.73</v>
      </c>
    </row>
    <row r="104" spans="1:13" s="645" customFormat="1" ht="56.25" customHeight="1" x14ac:dyDescent="0.25">
      <c r="A104" s="651" t="s">
        <v>903</v>
      </c>
      <c r="B104" s="285">
        <v>92023</v>
      </c>
      <c r="C104" s="285" t="s">
        <v>13</v>
      </c>
      <c r="D104" s="299" t="s">
        <v>458</v>
      </c>
      <c r="E104" s="285" t="s">
        <v>14</v>
      </c>
      <c r="F104" s="389">
        <f>'Memória de Cálculo'!J511</f>
        <v>5</v>
      </c>
      <c r="G104" s="509">
        <v>48.55</v>
      </c>
      <c r="H104" s="288">
        <f t="shared" si="40"/>
        <v>0.2452</v>
      </c>
      <c r="I104" s="287">
        <f t="shared" si="41"/>
        <v>60.45</v>
      </c>
      <c r="J104" s="287">
        <f t="shared" si="42"/>
        <v>242.75</v>
      </c>
      <c r="K104" s="287">
        <f t="shared" si="43"/>
        <v>302.25</v>
      </c>
      <c r="L104" s="289">
        <f t="shared" si="27"/>
        <v>3.4888404259102521E-4</v>
      </c>
      <c r="M104" s="645">
        <v>48.84</v>
      </c>
    </row>
    <row r="105" spans="1:13" s="645" customFormat="1" ht="57" customHeight="1" x14ac:dyDescent="0.25">
      <c r="A105" s="651" t="s">
        <v>904</v>
      </c>
      <c r="B105" s="285">
        <v>92025</v>
      </c>
      <c r="C105" s="285" t="s">
        <v>13</v>
      </c>
      <c r="D105" s="299" t="s">
        <v>459</v>
      </c>
      <c r="E105" s="285" t="s">
        <v>14</v>
      </c>
      <c r="F105" s="389">
        <f>'Memória de Cálculo'!J515</f>
        <v>1</v>
      </c>
      <c r="G105" s="509">
        <v>68.61</v>
      </c>
      <c r="H105" s="288">
        <f t="shared" si="40"/>
        <v>0.2452</v>
      </c>
      <c r="I105" s="287">
        <f t="shared" si="41"/>
        <v>85.43</v>
      </c>
      <c r="J105" s="287">
        <f t="shared" si="42"/>
        <v>68.61</v>
      </c>
      <c r="K105" s="287">
        <f t="shared" si="43"/>
        <v>85.43</v>
      </c>
      <c r="L105" s="289">
        <f t="shared" si="27"/>
        <v>9.861096363457828E-5</v>
      </c>
      <c r="M105" s="645">
        <v>69</v>
      </c>
    </row>
    <row r="106" spans="1:13" s="645" customFormat="1" ht="54" customHeight="1" x14ac:dyDescent="0.25">
      <c r="A106" s="651" t="s">
        <v>905</v>
      </c>
      <c r="B106" s="285">
        <v>91854</v>
      </c>
      <c r="C106" s="285" t="s">
        <v>13</v>
      </c>
      <c r="D106" s="299" t="s">
        <v>460</v>
      </c>
      <c r="E106" s="285" t="s">
        <v>16</v>
      </c>
      <c r="F106" s="392">
        <f>'Memória de Cálculo'!J519</f>
        <v>763.31</v>
      </c>
      <c r="G106" s="509">
        <v>9.9499999999999993</v>
      </c>
      <c r="H106" s="288">
        <f t="shared" si="40"/>
        <v>0.2452</v>
      </c>
      <c r="I106" s="287">
        <f t="shared" si="41"/>
        <v>12.38</v>
      </c>
      <c r="J106" s="287">
        <f t="shared" si="42"/>
        <v>7594.93</v>
      </c>
      <c r="K106" s="287">
        <f t="shared" si="43"/>
        <v>9449.77</v>
      </c>
      <c r="L106" s="289">
        <f t="shared" ref="L106:L137" si="44">K106/$J$321</f>
        <v>1.090777157702363E-2</v>
      </c>
      <c r="M106" s="645">
        <v>8.9700000000000006</v>
      </c>
    </row>
    <row r="107" spans="1:13" s="645" customFormat="1" ht="57.75" customHeight="1" x14ac:dyDescent="0.25">
      <c r="A107" s="651" t="s">
        <v>906</v>
      </c>
      <c r="B107" s="285">
        <v>91856</v>
      </c>
      <c r="C107" s="285" t="s">
        <v>13</v>
      </c>
      <c r="D107" s="299" t="s">
        <v>461</v>
      </c>
      <c r="E107" s="285" t="s">
        <v>16</v>
      </c>
      <c r="F107" s="392">
        <f>'Memória de Cálculo'!J523</f>
        <v>15</v>
      </c>
      <c r="G107" s="509">
        <v>12.79</v>
      </c>
      <c r="H107" s="288">
        <f t="shared" si="40"/>
        <v>0.2452</v>
      </c>
      <c r="I107" s="287">
        <f t="shared" si="41"/>
        <v>15.92</v>
      </c>
      <c r="J107" s="287">
        <f t="shared" si="42"/>
        <v>191.85</v>
      </c>
      <c r="K107" s="287">
        <f t="shared" si="43"/>
        <v>238.8</v>
      </c>
      <c r="L107" s="289">
        <f t="shared" si="44"/>
        <v>2.756443651637281E-4</v>
      </c>
      <c r="M107" s="645">
        <v>11.7</v>
      </c>
    </row>
    <row r="108" spans="1:13" s="645" customFormat="1" ht="61.5" customHeight="1" x14ac:dyDescent="0.25">
      <c r="A108" s="651" t="s">
        <v>907</v>
      </c>
      <c r="B108" s="285">
        <v>97667</v>
      </c>
      <c r="C108" s="285" t="s">
        <v>13</v>
      </c>
      <c r="D108" s="299" t="s">
        <v>212</v>
      </c>
      <c r="E108" s="285" t="s">
        <v>16</v>
      </c>
      <c r="F108" s="392">
        <f>'Memória de Cálculo'!J527</f>
        <v>90</v>
      </c>
      <c r="G108" s="509">
        <v>8.94</v>
      </c>
      <c r="H108" s="288">
        <f t="shared" si="40"/>
        <v>0.2452</v>
      </c>
      <c r="I108" s="287">
        <f t="shared" si="41"/>
        <v>11.13</v>
      </c>
      <c r="J108" s="287">
        <f t="shared" si="42"/>
        <v>804.6</v>
      </c>
      <c r="K108" s="287">
        <f t="shared" si="43"/>
        <v>1001.7</v>
      </c>
      <c r="L108" s="289">
        <f t="shared" si="44"/>
        <v>1.1562519287458394E-3</v>
      </c>
      <c r="M108" s="645">
        <v>11.25</v>
      </c>
    </row>
    <row r="109" spans="1:13" s="645" customFormat="1" ht="55.5" customHeight="1" x14ac:dyDescent="0.25">
      <c r="A109" s="651" t="s">
        <v>908</v>
      </c>
      <c r="B109" s="285">
        <v>91926</v>
      </c>
      <c r="C109" s="285" t="s">
        <v>13</v>
      </c>
      <c r="D109" s="299" t="s">
        <v>462</v>
      </c>
      <c r="E109" s="285" t="s">
        <v>16</v>
      </c>
      <c r="F109" s="392">
        <f>'Memória de Cálculo'!J533</f>
        <v>3256.14</v>
      </c>
      <c r="G109" s="509">
        <v>4.59</v>
      </c>
      <c r="H109" s="288">
        <f t="shared" si="40"/>
        <v>0.2452</v>
      </c>
      <c r="I109" s="287">
        <f t="shared" si="41"/>
        <v>5.71</v>
      </c>
      <c r="J109" s="287">
        <f t="shared" si="42"/>
        <v>14945.68</v>
      </c>
      <c r="K109" s="287">
        <f t="shared" si="43"/>
        <v>18592.55</v>
      </c>
      <c r="L109" s="289">
        <f t="shared" si="44"/>
        <v>2.1461187778579867E-2</v>
      </c>
      <c r="M109" s="645">
        <v>4.07</v>
      </c>
    </row>
    <row r="110" spans="1:13" s="645" customFormat="1" ht="54" customHeight="1" x14ac:dyDescent="0.25">
      <c r="A110" s="651" t="s">
        <v>909</v>
      </c>
      <c r="B110" s="285">
        <v>91935</v>
      </c>
      <c r="C110" s="285" t="s">
        <v>13</v>
      </c>
      <c r="D110" s="299" t="s">
        <v>463</v>
      </c>
      <c r="E110" s="285" t="s">
        <v>16</v>
      </c>
      <c r="F110" s="392">
        <f>'Memória de Cálculo'!J540</f>
        <v>40</v>
      </c>
      <c r="G110" s="509">
        <v>26.8</v>
      </c>
      <c r="H110" s="288">
        <f t="shared" si="40"/>
        <v>0.2452</v>
      </c>
      <c r="I110" s="287">
        <f t="shared" si="41"/>
        <v>33.369999999999997</v>
      </c>
      <c r="J110" s="287">
        <f t="shared" si="42"/>
        <v>1072</v>
      </c>
      <c r="K110" s="287">
        <f t="shared" si="43"/>
        <v>1334.8</v>
      </c>
      <c r="L110" s="289">
        <f t="shared" si="44"/>
        <v>1.5407458066186944E-3</v>
      </c>
      <c r="M110" s="645">
        <v>23.74</v>
      </c>
    </row>
    <row r="111" spans="1:13" s="645" customFormat="1" ht="40.5" customHeight="1" x14ac:dyDescent="0.25">
      <c r="A111" s="651" t="s">
        <v>910</v>
      </c>
      <c r="B111" s="285">
        <v>91936</v>
      </c>
      <c r="C111" s="285" t="s">
        <v>13</v>
      </c>
      <c r="D111" s="299" t="s">
        <v>464</v>
      </c>
      <c r="E111" s="285" t="s">
        <v>14</v>
      </c>
      <c r="F111" s="392">
        <f>'Memória de Cálculo'!J544</f>
        <v>54</v>
      </c>
      <c r="G111" s="509">
        <v>20.23</v>
      </c>
      <c r="H111" s="288">
        <f t="shared" si="40"/>
        <v>0.2452</v>
      </c>
      <c r="I111" s="287">
        <f t="shared" si="41"/>
        <v>25.19</v>
      </c>
      <c r="J111" s="287">
        <f t="shared" si="42"/>
        <v>1092.42</v>
      </c>
      <c r="K111" s="287">
        <f t="shared" si="43"/>
        <v>1360.26</v>
      </c>
      <c r="L111" s="289">
        <f t="shared" si="44"/>
        <v>1.5701340207605226E-3</v>
      </c>
      <c r="M111" s="645">
        <v>18.5</v>
      </c>
    </row>
    <row r="112" spans="1:13" s="645" customFormat="1" ht="41.25" customHeight="1" x14ac:dyDescent="0.25">
      <c r="A112" s="651" t="s">
        <v>911</v>
      </c>
      <c r="B112" s="285">
        <v>91940</v>
      </c>
      <c r="C112" s="285" t="s">
        <v>13</v>
      </c>
      <c r="D112" s="299" t="s">
        <v>465</v>
      </c>
      <c r="E112" s="285" t="s">
        <v>14</v>
      </c>
      <c r="F112" s="392">
        <f>'Memória de Cálculo'!J548</f>
        <v>109</v>
      </c>
      <c r="G112" s="509">
        <v>19.37</v>
      </c>
      <c r="H112" s="288">
        <f t="shared" si="40"/>
        <v>0.2452</v>
      </c>
      <c r="I112" s="287">
        <f t="shared" si="41"/>
        <v>24.11</v>
      </c>
      <c r="J112" s="287">
        <f t="shared" si="42"/>
        <v>2111.33</v>
      </c>
      <c r="K112" s="287">
        <f t="shared" si="43"/>
        <v>2627.99</v>
      </c>
      <c r="L112" s="289">
        <f t="shared" si="44"/>
        <v>3.0334616214682821E-3</v>
      </c>
      <c r="M112" s="645">
        <v>17.100000000000001</v>
      </c>
    </row>
    <row r="113" spans="1:13" s="645" customFormat="1" ht="43.5" customHeight="1" x14ac:dyDescent="0.25">
      <c r="A113" s="651" t="s">
        <v>912</v>
      </c>
      <c r="B113" s="285">
        <v>96973</v>
      </c>
      <c r="C113" s="285" t="s">
        <v>13</v>
      </c>
      <c r="D113" s="299" t="s">
        <v>1150</v>
      </c>
      <c r="E113" s="285" t="s">
        <v>208</v>
      </c>
      <c r="F113" s="389">
        <f>'Memória de Cálculo'!J557</f>
        <v>15</v>
      </c>
      <c r="G113" s="509">
        <v>72.930000000000007</v>
      </c>
      <c r="H113" s="288">
        <f t="shared" si="40"/>
        <v>0.2452</v>
      </c>
      <c r="I113" s="287">
        <f t="shared" si="41"/>
        <v>90.81</v>
      </c>
      <c r="J113" s="287">
        <f t="shared" si="42"/>
        <v>1093.95</v>
      </c>
      <c r="K113" s="287">
        <f t="shared" si="43"/>
        <v>1362.15</v>
      </c>
      <c r="L113" s="289">
        <f t="shared" si="44"/>
        <v>1.5723156281732505E-3</v>
      </c>
      <c r="M113" s="645">
        <v>33.479999999999997</v>
      </c>
    </row>
    <row r="114" spans="1:13" s="645" customFormat="1" ht="44.25" customHeight="1" x14ac:dyDescent="0.25">
      <c r="A114" s="651" t="s">
        <v>913</v>
      </c>
      <c r="B114" s="285">
        <v>96986</v>
      </c>
      <c r="C114" s="285" t="s">
        <v>13</v>
      </c>
      <c r="D114" s="299" t="s">
        <v>1151</v>
      </c>
      <c r="E114" s="285" t="s">
        <v>14</v>
      </c>
      <c r="F114" s="389">
        <f>'Memória de Cálculo'!J561</f>
        <v>3</v>
      </c>
      <c r="G114" s="509">
        <v>163.06</v>
      </c>
      <c r="H114" s="288">
        <f t="shared" si="40"/>
        <v>0.2452</v>
      </c>
      <c r="I114" s="287">
        <f t="shared" si="41"/>
        <v>203.04</v>
      </c>
      <c r="J114" s="287">
        <f t="shared" si="42"/>
        <v>489.18</v>
      </c>
      <c r="K114" s="287">
        <f t="shared" si="43"/>
        <v>609.12</v>
      </c>
      <c r="L114" s="289">
        <f t="shared" si="44"/>
        <v>7.031009033020522E-4</v>
      </c>
      <c r="M114" s="645">
        <v>151.99</v>
      </c>
    </row>
    <row r="115" spans="1:13" s="645" customFormat="1" ht="56.25" customHeight="1" x14ac:dyDescent="0.25">
      <c r="A115" s="651" t="s">
        <v>914</v>
      </c>
      <c r="B115" s="285">
        <v>101511</v>
      </c>
      <c r="C115" s="285" t="s">
        <v>13</v>
      </c>
      <c r="D115" s="299" t="s">
        <v>580</v>
      </c>
      <c r="E115" s="285" t="s">
        <v>14</v>
      </c>
      <c r="F115" s="389">
        <f>'Memória de Cálculo'!J565</f>
        <v>1</v>
      </c>
      <c r="G115" s="509">
        <v>2287.92</v>
      </c>
      <c r="H115" s="288">
        <f t="shared" si="40"/>
        <v>0.2452</v>
      </c>
      <c r="I115" s="287">
        <f t="shared" si="41"/>
        <v>2848.91</v>
      </c>
      <c r="J115" s="287">
        <f t="shared" si="42"/>
        <v>2287.92</v>
      </c>
      <c r="K115" s="287">
        <f t="shared" si="43"/>
        <v>2848.91</v>
      </c>
      <c r="L115" s="289">
        <f t="shared" si="44"/>
        <v>3.2884672879338215E-3</v>
      </c>
      <c r="M115" s="645">
        <v>2029.94</v>
      </c>
    </row>
    <row r="116" spans="1:13" s="645" customFormat="1" ht="54" customHeight="1" x14ac:dyDescent="0.25">
      <c r="A116" s="651" t="s">
        <v>915</v>
      </c>
      <c r="B116" s="285" t="s">
        <v>209</v>
      </c>
      <c r="C116" s="285" t="s">
        <v>15</v>
      </c>
      <c r="D116" s="299" t="s">
        <v>470</v>
      </c>
      <c r="E116" s="285" t="s">
        <v>14</v>
      </c>
      <c r="F116" s="389">
        <f>'Memória de Cálculo'!J569</f>
        <v>2</v>
      </c>
      <c r="G116" s="509">
        <v>3889.58</v>
      </c>
      <c r="H116" s="288">
        <f t="shared" si="40"/>
        <v>0.2452</v>
      </c>
      <c r="I116" s="287">
        <f t="shared" si="41"/>
        <v>4843.3</v>
      </c>
      <c r="J116" s="287">
        <f t="shared" si="42"/>
        <v>7779.16</v>
      </c>
      <c r="K116" s="287">
        <f t="shared" si="43"/>
        <v>9686.6</v>
      </c>
      <c r="L116" s="289">
        <f t="shared" si="44"/>
        <v>1.1181141991603721E-2</v>
      </c>
      <c r="M116" s="645">
        <v>3286.76</v>
      </c>
    </row>
    <row r="117" spans="1:13" s="645" customFormat="1" ht="45.75" customHeight="1" x14ac:dyDescent="0.25">
      <c r="A117" s="651" t="s">
        <v>916</v>
      </c>
      <c r="B117" s="285" t="s">
        <v>211</v>
      </c>
      <c r="C117" s="285" t="s">
        <v>15</v>
      </c>
      <c r="D117" s="299" t="s">
        <v>210</v>
      </c>
      <c r="E117" s="285" t="s">
        <v>14</v>
      </c>
      <c r="F117" s="389">
        <f>'Memória de Cálculo'!J574</f>
        <v>7</v>
      </c>
      <c r="G117" s="509">
        <v>133.83000000000001</v>
      </c>
      <c r="H117" s="288">
        <f t="shared" si="40"/>
        <v>0.2452</v>
      </c>
      <c r="I117" s="287">
        <f t="shared" si="41"/>
        <v>166.64</v>
      </c>
      <c r="J117" s="287">
        <f t="shared" si="42"/>
        <v>936.81</v>
      </c>
      <c r="K117" s="287">
        <f t="shared" si="43"/>
        <v>1166.48</v>
      </c>
      <c r="L117" s="289">
        <f t="shared" si="44"/>
        <v>1.3464557750259027E-3</v>
      </c>
      <c r="M117" s="645">
        <v>119.1</v>
      </c>
    </row>
    <row r="118" spans="1:13" s="645" customFormat="1" ht="45.75" customHeight="1" x14ac:dyDescent="0.25">
      <c r="A118" s="651" t="s">
        <v>917</v>
      </c>
      <c r="B118" s="470">
        <v>12231</v>
      </c>
      <c r="C118" s="470" t="s">
        <v>581</v>
      </c>
      <c r="D118" s="471" t="s">
        <v>582</v>
      </c>
      <c r="E118" s="470" t="s">
        <v>14</v>
      </c>
      <c r="F118" s="389">
        <f>'Memória de Cálculo'!J578</f>
        <v>1</v>
      </c>
      <c r="G118" s="509">
        <v>1245.3</v>
      </c>
      <c r="H118" s="288">
        <f t="shared" si="40"/>
        <v>0.2452</v>
      </c>
      <c r="I118" s="287">
        <f t="shared" si="41"/>
        <v>1550.64</v>
      </c>
      <c r="J118" s="287">
        <f t="shared" si="42"/>
        <v>1245.3</v>
      </c>
      <c r="K118" s="287">
        <f t="shared" si="43"/>
        <v>1550.64</v>
      </c>
      <c r="L118" s="289">
        <f t="shared" si="44"/>
        <v>1.7898876817315048E-3</v>
      </c>
    </row>
    <row r="119" spans="1:13" s="645" customFormat="1" ht="45.75" customHeight="1" x14ac:dyDescent="0.25">
      <c r="A119" s="651" t="s">
        <v>918</v>
      </c>
      <c r="B119" s="470">
        <v>92984</v>
      </c>
      <c r="C119" s="470" t="s">
        <v>13</v>
      </c>
      <c r="D119" s="471" t="s">
        <v>585</v>
      </c>
      <c r="E119" s="470" t="s">
        <v>16</v>
      </c>
      <c r="F119" s="389">
        <f>'Memória de Cálculo'!J583</f>
        <v>125.92</v>
      </c>
      <c r="G119" s="509">
        <v>29.46</v>
      </c>
      <c r="H119" s="288">
        <f t="shared" si="40"/>
        <v>0.2452</v>
      </c>
      <c r="I119" s="287">
        <f t="shared" si="41"/>
        <v>36.68</v>
      </c>
      <c r="J119" s="287">
        <f t="shared" si="42"/>
        <v>3709.6</v>
      </c>
      <c r="K119" s="287">
        <f t="shared" si="43"/>
        <v>4618.74</v>
      </c>
      <c r="L119" s="289">
        <f t="shared" si="44"/>
        <v>5.3313637150599561E-3</v>
      </c>
    </row>
    <row r="120" spans="1:13" s="645" customFormat="1" ht="45.75" customHeight="1" x14ac:dyDescent="0.25">
      <c r="A120" s="651" t="s">
        <v>919</v>
      </c>
      <c r="B120" s="470">
        <v>91941</v>
      </c>
      <c r="C120" s="470" t="s">
        <v>13</v>
      </c>
      <c r="D120" s="471" t="s">
        <v>588</v>
      </c>
      <c r="E120" s="470" t="s">
        <v>14</v>
      </c>
      <c r="F120" s="389">
        <f>'Memória de Cálculo'!J587</f>
        <v>12</v>
      </c>
      <c r="G120" s="509">
        <v>12.64</v>
      </c>
      <c r="H120" s="288">
        <f t="shared" si="40"/>
        <v>0.2452</v>
      </c>
      <c r="I120" s="287">
        <f t="shared" si="41"/>
        <v>15.73</v>
      </c>
      <c r="J120" s="287">
        <f t="shared" si="42"/>
        <v>151.68</v>
      </c>
      <c r="K120" s="287">
        <f t="shared" si="43"/>
        <v>188.76</v>
      </c>
      <c r="L120" s="289">
        <f t="shared" si="44"/>
        <v>2.178837117600725E-4</v>
      </c>
    </row>
    <row r="121" spans="1:13" s="645" customFormat="1" ht="45.75" customHeight="1" x14ac:dyDescent="0.25">
      <c r="A121" s="651" t="s">
        <v>920</v>
      </c>
      <c r="B121" s="470">
        <v>91939</v>
      </c>
      <c r="C121" s="470" t="s">
        <v>13</v>
      </c>
      <c r="D121" s="471" t="s">
        <v>591</v>
      </c>
      <c r="E121" s="470" t="s">
        <v>14</v>
      </c>
      <c r="F121" s="389">
        <f>'Memória de Cálculo'!J591</f>
        <v>27</v>
      </c>
      <c r="G121" s="509">
        <v>33.1</v>
      </c>
      <c r="H121" s="288">
        <f t="shared" si="40"/>
        <v>0.2452</v>
      </c>
      <c r="I121" s="287">
        <f t="shared" si="41"/>
        <v>41.21</v>
      </c>
      <c r="J121" s="287">
        <f t="shared" si="42"/>
        <v>893.7</v>
      </c>
      <c r="K121" s="287">
        <f t="shared" si="43"/>
        <v>1112.67</v>
      </c>
      <c r="L121" s="289">
        <f t="shared" si="44"/>
        <v>1.2843434496931547E-3</v>
      </c>
    </row>
    <row r="122" spans="1:13" s="645" customFormat="1" ht="45.75" customHeight="1" x14ac:dyDescent="0.25">
      <c r="A122" s="651" t="s">
        <v>921</v>
      </c>
      <c r="B122" s="470">
        <v>90447</v>
      </c>
      <c r="C122" s="470" t="s">
        <v>13</v>
      </c>
      <c r="D122" s="471" t="s">
        <v>1152</v>
      </c>
      <c r="E122" s="470" t="s">
        <v>16</v>
      </c>
      <c r="F122" s="389">
        <f>'Memória de Cálculo'!J598</f>
        <v>267.14999999999998</v>
      </c>
      <c r="G122" s="509">
        <v>8.33</v>
      </c>
      <c r="H122" s="288">
        <f t="shared" si="40"/>
        <v>0.2452</v>
      </c>
      <c r="I122" s="287">
        <f t="shared" si="41"/>
        <v>10.37</v>
      </c>
      <c r="J122" s="287">
        <f t="shared" si="42"/>
        <v>2225.35</v>
      </c>
      <c r="K122" s="287">
        <f t="shared" si="43"/>
        <v>2770.34</v>
      </c>
      <c r="L122" s="289">
        <f t="shared" si="44"/>
        <v>3.1977747512047009E-3</v>
      </c>
    </row>
    <row r="123" spans="1:13" s="645" customFormat="1" ht="45.75" customHeight="1" x14ac:dyDescent="0.25">
      <c r="A123" s="651" t="s">
        <v>922</v>
      </c>
      <c r="B123" s="470">
        <v>91863</v>
      </c>
      <c r="C123" s="470" t="s">
        <v>13</v>
      </c>
      <c r="D123" s="471" t="s">
        <v>599</v>
      </c>
      <c r="E123" s="470" t="s">
        <v>16</v>
      </c>
      <c r="F123" s="389">
        <f>'Memória de Cálculo'!J602</f>
        <v>23.3</v>
      </c>
      <c r="G123" s="509">
        <v>11.74</v>
      </c>
      <c r="H123" s="288">
        <f t="shared" si="40"/>
        <v>0.2452</v>
      </c>
      <c r="I123" s="287">
        <f t="shared" si="41"/>
        <v>14.61</v>
      </c>
      <c r="J123" s="287">
        <f t="shared" si="42"/>
        <v>273.54000000000002</v>
      </c>
      <c r="K123" s="287">
        <f t="shared" si="43"/>
        <v>340.41</v>
      </c>
      <c r="L123" s="289">
        <f t="shared" si="44"/>
        <v>3.9293173511467623E-4</v>
      </c>
    </row>
    <row r="124" spans="1:13" s="645" customFormat="1" ht="45.75" customHeight="1" x14ac:dyDescent="0.25">
      <c r="A124" s="651" t="s">
        <v>923</v>
      </c>
      <c r="B124" s="470">
        <v>95817</v>
      </c>
      <c r="C124" s="470" t="s">
        <v>13</v>
      </c>
      <c r="D124" s="471" t="s">
        <v>1153</v>
      </c>
      <c r="E124" s="470" t="s">
        <v>14</v>
      </c>
      <c r="F124" s="389">
        <f>'Memória de Cálculo'!J606</f>
        <v>11</v>
      </c>
      <c r="G124" s="509">
        <v>33.96</v>
      </c>
      <c r="H124" s="288">
        <f t="shared" si="40"/>
        <v>0.2452</v>
      </c>
      <c r="I124" s="287">
        <f t="shared" si="41"/>
        <v>42.28</v>
      </c>
      <c r="J124" s="287">
        <f t="shared" si="42"/>
        <v>373.56</v>
      </c>
      <c r="K124" s="287">
        <f t="shared" si="43"/>
        <v>465.08</v>
      </c>
      <c r="L124" s="289">
        <f t="shared" si="44"/>
        <v>5.3683702408017868E-4</v>
      </c>
    </row>
    <row r="125" spans="1:13" s="645" customFormat="1" ht="45.75" customHeight="1" x14ac:dyDescent="0.25">
      <c r="A125" s="651" t="s">
        <v>924</v>
      </c>
      <c r="B125" s="470">
        <v>9005</v>
      </c>
      <c r="C125" s="470" t="s">
        <v>581</v>
      </c>
      <c r="D125" s="471" t="s">
        <v>724</v>
      </c>
      <c r="E125" s="470" t="s">
        <v>14</v>
      </c>
      <c r="F125" s="389">
        <f>'Memória de Cálculo'!J610</f>
        <v>2</v>
      </c>
      <c r="G125" s="509">
        <v>457.99</v>
      </c>
      <c r="H125" s="288">
        <f t="shared" si="40"/>
        <v>0.2452</v>
      </c>
      <c r="I125" s="287">
        <f t="shared" si="41"/>
        <v>570.28</v>
      </c>
      <c r="J125" s="287">
        <f t="shared" si="42"/>
        <v>915.98</v>
      </c>
      <c r="K125" s="287">
        <f t="shared" si="43"/>
        <v>1140.56</v>
      </c>
      <c r="L125" s="289">
        <f t="shared" si="44"/>
        <v>1.3165365876513472E-3</v>
      </c>
    </row>
    <row r="126" spans="1:13" s="645" customFormat="1" ht="45.75" customHeight="1" x14ac:dyDescent="0.25">
      <c r="A126" s="651" t="s">
        <v>925</v>
      </c>
      <c r="B126" s="470">
        <v>93654</v>
      </c>
      <c r="C126" s="470" t="s">
        <v>13</v>
      </c>
      <c r="D126" s="471" t="s">
        <v>1154</v>
      </c>
      <c r="E126" s="470" t="s">
        <v>14</v>
      </c>
      <c r="F126" s="389">
        <f>'Memória de Cálculo'!J614</f>
        <v>31</v>
      </c>
      <c r="G126" s="509">
        <v>13.04</v>
      </c>
      <c r="H126" s="288">
        <f t="shared" si="40"/>
        <v>0.2452</v>
      </c>
      <c r="I126" s="287">
        <f t="shared" si="41"/>
        <v>16.23</v>
      </c>
      <c r="J126" s="287">
        <f t="shared" si="42"/>
        <v>404.24</v>
      </c>
      <c r="K126" s="287">
        <f t="shared" si="43"/>
        <v>503.13</v>
      </c>
      <c r="L126" s="289">
        <f t="shared" si="44"/>
        <v>5.8075774474382964E-4</v>
      </c>
    </row>
    <row r="127" spans="1:13" s="645" customFormat="1" ht="45.75" customHeight="1" x14ac:dyDescent="0.25">
      <c r="A127" s="651" t="s">
        <v>926</v>
      </c>
      <c r="B127" s="470">
        <v>93655</v>
      </c>
      <c r="C127" s="470" t="s">
        <v>13</v>
      </c>
      <c r="D127" s="471" t="s">
        <v>1155</v>
      </c>
      <c r="E127" s="470" t="s">
        <v>14</v>
      </c>
      <c r="F127" s="389">
        <f>'Memória de Cálculo'!J618</f>
        <v>2</v>
      </c>
      <c r="G127" s="509">
        <v>13.98</v>
      </c>
      <c r="H127" s="288">
        <f t="shared" si="40"/>
        <v>0.2452</v>
      </c>
      <c r="I127" s="287">
        <f t="shared" si="41"/>
        <v>17.399999999999999</v>
      </c>
      <c r="J127" s="287">
        <f t="shared" si="42"/>
        <v>27.96</v>
      </c>
      <c r="K127" s="287">
        <f t="shared" si="43"/>
        <v>34.799999999999997</v>
      </c>
      <c r="L127" s="289">
        <f t="shared" si="44"/>
        <v>4.0169279345467908E-5</v>
      </c>
    </row>
    <row r="128" spans="1:13" s="645" customFormat="1" ht="45.75" customHeight="1" x14ac:dyDescent="0.25">
      <c r="A128" s="651" t="s">
        <v>927</v>
      </c>
      <c r="B128" s="470" t="s">
        <v>604</v>
      </c>
      <c r="C128" s="470" t="s">
        <v>13</v>
      </c>
      <c r="D128" s="471" t="s">
        <v>605</v>
      </c>
      <c r="E128" s="470" t="s">
        <v>16</v>
      </c>
      <c r="F128" s="389">
        <f>'Memória de Cálculo'!J622</f>
        <v>77.510000000000005</v>
      </c>
      <c r="G128" s="509">
        <v>10.7</v>
      </c>
      <c r="H128" s="288">
        <f t="shared" si="40"/>
        <v>0.2452</v>
      </c>
      <c r="I128" s="287">
        <f t="shared" si="41"/>
        <v>13.32</v>
      </c>
      <c r="J128" s="287">
        <f t="shared" si="42"/>
        <v>829.35</v>
      </c>
      <c r="K128" s="287">
        <f t="shared" si="43"/>
        <v>1032.43</v>
      </c>
      <c r="L128" s="289">
        <f t="shared" si="44"/>
        <v>1.1917232492713059E-3</v>
      </c>
    </row>
    <row r="129" spans="1:12" s="645" customFormat="1" ht="45.75" customHeight="1" x14ac:dyDescent="0.25">
      <c r="A129" s="651" t="s">
        <v>928</v>
      </c>
      <c r="B129" s="470" t="s">
        <v>606</v>
      </c>
      <c r="C129" s="470" t="s">
        <v>13</v>
      </c>
      <c r="D129" s="471" t="s">
        <v>1156</v>
      </c>
      <c r="E129" s="470" t="s">
        <v>14</v>
      </c>
      <c r="F129" s="389">
        <f>'Memória de Cálculo'!J626</f>
        <v>1</v>
      </c>
      <c r="G129" s="509">
        <v>23.52</v>
      </c>
      <c r="H129" s="288">
        <f t="shared" si="40"/>
        <v>0.2452</v>
      </c>
      <c r="I129" s="287">
        <f t="shared" si="41"/>
        <v>29.28</v>
      </c>
      <c r="J129" s="287">
        <f t="shared" si="42"/>
        <v>23.52</v>
      </c>
      <c r="K129" s="287">
        <f t="shared" si="43"/>
        <v>29.28</v>
      </c>
      <c r="L129" s="289">
        <f t="shared" si="44"/>
        <v>3.3797600552738522E-5</v>
      </c>
    </row>
    <row r="130" spans="1:12" s="645" customFormat="1" ht="45.75" customHeight="1" x14ac:dyDescent="0.25">
      <c r="A130" s="651" t="s">
        <v>929</v>
      </c>
      <c r="B130" s="470" t="s">
        <v>607</v>
      </c>
      <c r="C130" s="470" t="s">
        <v>13</v>
      </c>
      <c r="D130" s="471" t="s">
        <v>608</v>
      </c>
      <c r="E130" s="470" t="s">
        <v>14</v>
      </c>
      <c r="F130" s="389">
        <f>'Memória de Cálculo'!J630</f>
        <v>3</v>
      </c>
      <c r="G130" s="509">
        <v>209.41</v>
      </c>
      <c r="H130" s="288">
        <f t="shared" si="40"/>
        <v>0.2452</v>
      </c>
      <c r="I130" s="287">
        <f t="shared" si="41"/>
        <v>260.75</v>
      </c>
      <c r="J130" s="287">
        <f t="shared" si="42"/>
        <v>628.23</v>
      </c>
      <c r="K130" s="287">
        <f t="shared" si="43"/>
        <v>782.25</v>
      </c>
      <c r="L130" s="289">
        <f t="shared" si="44"/>
        <v>9.0294306804575503E-4</v>
      </c>
    </row>
    <row r="131" spans="1:12" s="645" customFormat="1" ht="45.75" customHeight="1" x14ac:dyDescent="0.25">
      <c r="A131" s="651" t="s">
        <v>930</v>
      </c>
      <c r="B131" s="470">
        <v>7826</v>
      </c>
      <c r="C131" s="470" t="s">
        <v>581</v>
      </c>
      <c r="D131" s="532" t="s">
        <v>611</v>
      </c>
      <c r="E131" s="533" t="s">
        <v>14</v>
      </c>
      <c r="F131" s="389">
        <f>'Memória de Cálculo'!J635</f>
        <v>1</v>
      </c>
      <c r="G131" s="509">
        <v>3332.11</v>
      </c>
      <c r="H131" s="288">
        <f t="shared" si="40"/>
        <v>0.2452</v>
      </c>
      <c r="I131" s="287">
        <f t="shared" si="41"/>
        <v>4149.1400000000003</v>
      </c>
      <c r="J131" s="287">
        <f t="shared" si="42"/>
        <v>3332.11</v>
      </c>
      <c r="K131" s="287">
        <f t="shared" si="43"/>
        <v>4149.1400000000003</v>
      </c>
      <c r="L131" s="289">
        <f t="shared" si="44"/>
        <v>4.789309301823412E-3</v>
      </c>
    </row>
    <row r="132" spans="1:12" s="645" customFormat="1" ht="45.75" customHeight="1" x14ac:dyDescent="0.25">
      <c r="A132" s="651" t="s">
        <v>931</v>
      </c>
      <c r="B132" s="470">
        <v>8359</v>
      </c>
      <c r="C132" s="470" t="s">
        <v>581</v>
      </c>
      <c r="D132" s="471" t="s">
        <v>614</v>
      </c>
      <c r="E132" s="470" t="s">
        <v>16</v>
      </c>
      <c r="F132" s="389">
        <f>'Memória de Cálculo'!J639</f>
        <v>62.74</v>
      </c>
      <c r="G132" s="509">
        <v>40.200000000000003</v>
      </c>
      <c r="H132" s="288">
        <f t="shared" si="40"/>
        <v>0.2452</v>
      </c>
      <c r="I132" s="287">
        <f t="shared" si="41"/>
        <v>50.05</v>
      </c>
      <c r="J132" s="287">
        <f t="shared" si="42"/>
        <v>2522.14</v>
      </c>
      <c r="K132" s="287">
        <f t="shared" si="43"/>
        <v>3140.13</v>
      </c>
      <c r="L132" s="289">
        <f t="shared" si="44"/>
        <v>3.6246195158357516E-3</v>
      </c>
    </row>
    <row r="133" spans="1:12" s="645" customFormat="1" ht="45.75" customHeight="1" x14ac:dyDescent="0.25">
      <c r="A133" s="651" t="s">
        <v>932</v>
      </c>
      <c r="B133" s="470">
        <v>10850</v>
      </c>
      <c r="C133" s="470" t="s">
        <v>581</v>
      </c>
      <c r="D133" s="471" t="s">
        <v>617</v>
      </c>
      <c r="E133" s="470" t="s">
        <v>14</v>
      </c>
      <c r="F133" s="389">
        <f>'Memória de Cálculo'!J644</f>
        <v>1</v>
      </c>
      <c r="G133" s="509">
        <v>13.34</v>
      </c>
      <c r="H133" s="288">
        <f t="shared" si="40"/>
        <v>0.2452</v>
      </c>
      <c r="I133" s="287">
        <f t="shared" si="41"/>
        <v>16.61</v>
      </c>
      <c r="J133" s="287">
        <f t="shared" si="42"/>
        <v>13.34</v>
      </c>
      <c r="K133" s="287">
        <f t="shared" si="43"/>
        <v>16.61</v>
      </c>
      <c r="L133" s="289">
        <f t="shared" si="44"/>
        <v>1.9172750860006379E-5</v>
      </c>
    </row>
    <row r="134" spans="1:12" s="645" customFormat="1" ht="45.75" customHeight="1" x14ac:dyDescent="0.25">
      <c r="A134" s="651" t="s">
        <v>933</v>
      </c>
      <c r="B134" s="470" t="s">
        <v>619</v>
      </c>
      <c r="C134" s="470" t="s">
        <v>581</v>
      </c>
      <c r="D134" s="471" t="s">
        <v>620</v>
      </c>
      <c r="E134" s="470" t="s">
        <v>14</v>
      </c>
      <c r="F134" s="389">
        <f>'Memória de Cálculo'!J648</f>
        <v>1</v>
      </c>
      <c r="G134" s="509">
        <v>35.049999999999997</v>
      </c>
      <c r="H134" s="288">
        <f t="shared" si="40"/>
        <v>0.2452</v>
      </c>
      <c r="I134" s="287">
        <f t="shared" si="41"/>
        <v>43.64</v>
      </c>
      <c r="J134" s="287">
        <f t="shared" si="42"/>
        <v>35.049999999999997</v>
      </c>
      <c r="K134" s="287">
        <f t="shared" si="43"/>
        <v>43.64</v>
      </c>
      <c r="L134" s="289">
        <f t="shared" si="44"/>
        <v>5.0373199730925857E-5</v>
      </c>
    </row>
    <row r="135" spans="1:12" s="645" customFormat="1" ht="45.75" customHeight="1" x14ac:dyDescent="0.25">
      <c r="A135" s="651" t="s">
        <v>934</v>
      </c>
      <c r="B135" s="470">
        <v>12525</v>
      </c>
      <c r="C135" s="470" t="s">
        <v>581</v>
      </c>
      <c r="D135" s="471" t="s">
        <v>623</v>
      </c>
      <c r="E135" s="470" t="s">
        <v>14</v>
      </c>
      <c r="F135" s="389">
        <f>'Memória de Cálculo'!J652</f>
        <v>1</v>
      </c>
      <c r="G135" s="509">
        <v>15.43</v>
      </c>
      <c r="H135" s="288">
        <f t="shared" si="40"/>
        <v>0.2452</v>
      </c>
      <c r="I135" s="287">
        <f t="shared" si="41"/>
        <v>19.21</v>
      </c>
      <c r="J135" s="287">
        <f t="shared" si="42"/>
        <v>15.43</v>
      </c>
      <c r="K135" s="287">
        <f t="shared" si="43"/>
        <v>19.21</v>
      </c>
      <c r="L135" s="289">
        <f t="shared" si="44"/>
        <v>2.2173903914552836E-5</v>
      </c>
    </row>
    <row r="136" spans="1:12" s="645" customFormat="1" ht="45.75" customHeight="1" x14ac:dyDescent="0.25">
      <c r="A136" s="651" t="s">
        <v>935</v>
      </c>
      <c r="B136" s="470">
        <v>11831</v>
      </c>
      <c r="C136" s="470" t="s">
        <v>581</v>
      </c>
      <c r="D136" s="471" t="s">
        <v>626</v>
      </c>
      <c r="E136" s="470" t="s">
        <v>14</v>
      </c>
      <c r="F136" s="389">
        <f>'Memória de Cálculo'!J656</f>
        <v>1</v>
      </c>
      <c r="G136" s="509">
        <v>22.95</v>
      </c>
      <c r="H136" s="288">
        <f t="shared" si="40"/>
        <v>0.2452</v>
      </c>
      <c r="I136" s="287">
        <f t="shared" si="41"/>
        <v>28.57</v>
      </c>
      <c r="J136" s="287">
        <f t="shared" si="42"/>
        <v>22.95</v>
      </c>
      <c r="K136" s="287">
        <f t="shared" si="43"/>
        <v>28.57</v>
      </c>
      <c r="L136" s="289">
        <f t="shared" si="44"/>
        <v>3.2978054910920065E-5</v>
      </c>
    </row>
    <row r="137" spans="1:12" s="645" customFormat="1" ht="45.75" customHeight="1" x14ac:dyDescent="0.25">
      <c r="A137" s="651" t="s">
        <v>936</v>
      </c>
      <c r="B137" s="470" t="s">
        <v>628</v>
      </c>
      <c r="C137" s="470" t="s">
        <v>581</v>
      </c>
      <c r="D137" s="471" t="s">
        <v>629</v>
      </c>
      <c r="E137" s="470" t="s">
        <v>14</v>
      </c>
      <c r="F137" s="389">
        <f>'Memória de Cálculo'!J660</f>
        <v>1</v>
      </c>
      <c r="G137" s="509">
        <v>12.66</v>
      </c>
      <c r="H137" s="288">
        <f t="shared" si="40"/>
        <v>0.2452</v>
      </c>
      <c r="I137" s="287">
        <f t="shared" si="41"/>
        <v>15.76</v>
      </c>
      <c r="J137" s="287">
        <f t="shared" si="42"/>
        <v>12.66</v>
      </c>
      <c r="K137" s="287">
        <f t="shared" si="43"/>
        <v>15.76</v>
      </c>
      <c r="L137" s="289">
        <f t="shared" si="44"/>
        <v>1.8191604669096964E-5</v>
      </c>
    </row>
    <row r="138" spans="1:12" s="645" customFormat="1" ht="45.75" customHeight="1" x14ac:dyDescent="0.25">
      <c r="A138" s="651" t="s">
        <v>937</v>
      </c>
      <c r="B138" s="470" t="s">
        <v>631</v>
      </c>
      <c r="C138" s="470" t="s">
        <v>581</v>
      </c>
      <c r="D138" s="471" t="s">
        <v>632</v>
      </c>
      <c r="E138" s="470" t="s">
        <v>14</v>
      </c>
      <c r="F138" s="389">
        <f>'Memória de Cálculo'!J664</f>
        <v>2</v>
      </c>
      <c r="G138" s="509">
        <v>15.57</v>
      </c>
      <c r="H138" s="288">
        <f t="shared" si="40"/>
        <v>0.2452</v>
      </c>
      <c r="I138" s="287">
        <f t="shared" si="41"/>
        <v>19.38</v>
      </c>
      <c r="J138" s="287">
        <f t="shared" si="42"/>
        <v>31.14</v>
      </c>
      <c r="K138" s="287">
        <f t="shared" si="43"/>
        <v>38.76</v>
      </c>
      <c r="L138" s="289">
        <f t="shared" ref="L138:L149" si="45">K138/$J$321</f>
        <v>4.4740266305469432E-5</v>
      </c>
    </row>
    <row r="139" spans="1:12" s="645" customFormat="1" ht="45.75" customHeight="1" x14ac:dyDescent="0.25">
      <c r="A139" s="651" t="s">
        <v>938</v>
      </c>
      <c r="B139" s="470">
        <v>8113</v>
      </c>
      <c r="C139" s="470" t="s">
        <v>581</v>
      </c>
      <c r="D139" s="471" t="s">
        <v>636</v>
      </c>
      <c r="E139" s="470" t="s">
        <v>14</v>
      </c>
      <c r="F139" s="389">
        <f>'Memória de Cálculo'!J669</f>
        <v>2</v>
      </c>
      <c r="G139" s="509">
        <v>37.450000000000003</v>
      </c>
      <c r="H139" s="288">
        <f t="shared" si="40"/>
        <v>0.2452</v>
      </c>
      <c r="I139" s="287">
        <f t="shared" si="41"/>
        <v>46.63</v>
      </c>
      <c r="J139" s="287">
        <f t="shared" si="42"/>
        <v>74.900000000000006</v>
      </c>
      <c r="K139" s="287">
        <f t="shared" si="43"/>
        <v>93.26</v>
      </c>
      <c r="L139" s="289">
        <f t="shared" si="45"/>
        <v>1.0764905148730856E-4</v>
      </c>
    </row>
    <row r="140" spans="1:12" s="645" customFormat="1" ht="45.75" customHeight="1" x14ac:dyDescent="0.25">
      <c r="A140" s="651" t="s">
        <v>939</v>
      </c>
      <c r="B140" s="470" t="s">
        <v>637</v>
      </c>
      <c r="C140" s="470" t="s">
        <v>581</v>
      </c>
      <c r="D140" s="471" t="s">
        <v>638</v>
      </c>
      <c r="E140" s="470" t="s">
        <v>14</v>
      </c>
      <c r="F140" s="389">
        <f>'Memória de Cálculo'!J674</f>
        <v>3</v>
      </c>
      <c r="G140" s="509">
        <v>21</v>
      </c>
      <c r="H140" s="288">
        <f t="shared" si="40"/>
        <v>0.2452</v>
      </c>
      <c r="I140" s="287">
        <f t="shared" si="41"/>
        <v>26.14</v>
      </c>
      <c r="J140" s="287">
        <f t="shared" si="42"/>
        <v>63</v>
      </c>
      <c r="K140" s="287">
        <f t="shared" si="43"/>
        <v>78.42</v>
      </c>
      <c r="L140" s="289">
        <f t="shared" si="45"/>
        <v>9.0519393283666489E-5</v>
      </c>
    </row>
    <row r="141" spans="1:12" s="645" customFormat="1" ht="45.75" customHeight="1" x14ac:dyDescent="0.25">
      <c r="A141" s="651" t="s">
        <v>940</v>
      </c>
      <c r="B141" s="470">
        <v>12527</v>
      </c>
      <c r="C141" s="470" t="s">
        <v>581</v>
      </c>
      <c r="D141" s="471" t="s">
        <v>640</v>
      </c>
      <c r="E141" s="470" t="s">
        <v>14</v>
      </c>
      <c r="F141" s="389">
        <f>'Memória de Cálculo'!J678</f>
        <v>3</v>
      </c>
      <c r="G141" s="509">
        <v>15.43</v>
      </c>
      <c r="H141" s="288">
        <f t="shared" si="40"/>
        <v>0.2452</v>
      </c>
      <c r="I141" s="287">
        <f t="shared" si="41"/>
        <v>19.21</v>
      </c>
      <c r="J141" s="287">
        <f t="shared" si="42"/>
        <v>46.29</v>
      </c>
      <c r="K141" s="287">
        <f t="shared" si="43"/>
        <v>57.63</v>
      </c>
      <c r="L141" s="289">
        <f t="shared" si="45"/>
        <v>6.6521711743658499E-5</v>
      </c>
    </row>
    <row r="142" spans="1:12" s="645" customFormat="1" ht="45.75" customHeight="1" x14ac:dyDescent="0.25">
      <c r="A142" s="651" t="s">
        <v>941</v>
      </c>
      <c r="B142" s="470" t="s">
        <v>641</v>
      </c>
      <c r="C142" s="470" t="s">
        <v>581</v>
      </c>
      <c r="D142" s="471" t="s">
        <v>642</v>
      </c>
      <c r="E142" s="470" t="s">
        <v>14</v>
      </c>
      <c r="F142" s="389">
        <f>'Memória de Cálculo'!J682</f>
        <v>5</v>
      </c>
      <c r="G142" s="509">
        <v>17.260000000000002</v>
      </c>
      <c r="H142" s="288">
        <f t="shared" si="40"/>
        <v>0.2452</v>
      </c>
      <c r="I142" s="287">
        <f t="shared" si="41"/>
        <v>21.49</v>
      </c>
      <c r="J142" s="287">
        <f t="shared" si="42"/>
        <v>86.3</v>
      </c>
      <c r="K142" s="287">
        <f t="shared" si="43"/>
        <v>107.45</v>
      </c>
      <c r="L142" s="289">
        <f t="shared" si="45"/>
        <v>1.2402842142731401E-4</v>
      </c>
    </row>
    <row r="143" spans="1:12" s="645" customFormat="1" ht="45.75" customHeight="1" x14ac:dyDescent="0.25">
      <c r="A143" s="651" t="s">
        <v>942</v>
      </c>
      <c r="B143" s="470" t="s">
        <v>643</v>
      </c>
      <c r="C143" s="470" t="s">
        <v>581</v>
      </c>
      <c r="D143" s="471" t="s">
        <v>644</v>
      </c>
      <c r="E143" s="470" t="s">
        <v>14</v>
      </c>
      <c r="F143" s="389">
        <f>'Memória de Cálculo'!J687</f>
        <v>60</v>
      </c>
      <c r="G143" s="509">
        <v>4.0999999999999996</v>
      </c>
      <c r="H143" s="288">
        <f t="shared" si="40"/>
        <v>0.2452</v>
      </c>
      <c r="I143" s="287">
        <f t="shared" si="41"/>
        <v>5.0999999999999996</v>
      </c>
      <c r="J143" s="287">
        <f t="shared" si="42"/>
        <v>246</v>
      </c>
      <c r="K143" s="287">
        <f t="shared" si="43"/>
        <v>306</v>
      </c>
      <c r="L143" s="289">
        <f t="shared" si="45"/>
        <v>3.5321262872739029E-4</v>
      </c>
    </row>
    <row r="144" spans="1:12" s="645" customFormat="1" ht="45.75" customHeight="1" x14ac:dyDescent="0.25">
      <c r="A144" s="651" t="s">
        <v>943</v>
      </c>
      <c r="B144" s="470" t="s">
        <v>646</v>
      </c>
      <c r="C144" s="470" t="s">
        <v>581</v>
      </c>
      <c r="D144" s="471" t="s">
        <v>647</v>
      </c>
      <c r="E144" s="470" t="s">
        <v>14</v>
      </c>
      <c r="F144" s="389">
        <f>'Memória de Cálculo'!J691</f>
        <v>20</v>
      </c>
      <c r="G144" s="509">
        <v>6.72</v>
      </c>
      <c r="H144" s="288">
        <f t="shared" si="40"/>
        <v>0.2452</v>
      </c>
      <c r="I144" s="287">
        <f t="shared" si="41"/>
        <v>8.36</v>
      </c>
      <c r="J144" s="287">
        <f t="shared" si="42"/>
        <v>134.4</v>
      </c>
      <c r="K144" s="287">
        <f t="shared" si="43"/>
        <v>167.2</v>
      </c>
      <c r="L144" s="289">
        <f t="shared" si="45"/>
        <v>1.9299722720006422E-4</v>
      </c>
    </row>
    <row r="145" spans="1:12" s="645" customFormat="1" ht="45.75" customHeight="1" x14ac:dyDescent="0.25">
      <c r="A145" s="651" t="s">
        <v>944</v>
      </c>
      <c r="B145" s="470">
        <v>760</v>
      </c>
      <c r="C145" s="470" t="s">
        <v>581</v>
      </c>
      <c r="D145" s="471" t="s">
        <v>725</v>
      </c>
      <c r="E145" s="470" t="s">
        <v>14</v>
      </c>
      <c r="F145" s="389">
        <f>'Memória de Cálculo'!J695</f>
        <v>10</v>
      </c>
      <c r="G145" s="509">
        <v>11.79</v>
      </c>
      <c r="H145" s="288">
        <f t="shared" si="40"/>
        <v>0.2452</v>
      </c>
      <c r="I145" s="287">
        <f t="shared" si="41"/>
        <v>14.68</v>
      </c>
      <c r="J145" s="287">
        <f t="shared" si="42"/>
        <v>117.9</v>
      </c>
      <c r="K145" s="287">
        <f t="shared" si="43"/>
        <v>146.80000000000001</v>
      </c>
      <c r="L145" s="289">
        <f t="shared" si="45"/>
        <v>1.6944971861823822E-4</v>
      </c>
    </row>
    <row r="146" spans="1:12" s="645" customFormat="1" ht="45.75" customHeight="1" x14ac:dyDescent="0.25">
      <c r="A146" s="651" t="s">
        <v>945</v>
      </c>
      <c r="B146" s="470" t="s">
        <v>650</v>
      </c>
      <c r="C146" s="470" t="s">
        <v>581</v>
      </c>
      <c r="D146" s="471" t="s">
        <v>651</v>
      </c>
      <c r="E146" s="470" t="s">
        <v>14</v>
      </c>
      <c r="F146" s="389">
        <f>'Memória de Cálculo'!J699</f>
        <v>60</v>
      </c>
      <c r="G146" s="509">
        <v>8.7799999999999994</v>
      </c>
      <c r="H146" s="288">
        <f t="shared" si="40"/>
        <v>0.2452</v>
      </c>
      <c r="I146" s="287">
        <f t="shared" si="41"/>
        <v>10.93</v>
      </c>
      <c r="J146" s="287">
        <f t="shared" si="42"/>
        <v>526.79999999999995</v>
      </c>
      <c r="K146" s="287">
        <f t="shared" si="43"/>
        <v>655.8</v>
      </c>
      <c r="L146" s="289">
        <f t="shared" si="45"/>
        <v>7.5698314352752464E-4</v>
      </c>
    </row>
    <row r="147" spans="1:12" s="645" customFormat="1" ht="45.75" customHeight="1" x14ac:dyDescent="0.25">
      <c r="A147" s="651" t="s">
        <v>946</v>
      </c>
      <c r="B147" s="470">
        <v>11817</v>
      </c>
      <c r="C147" s="470" t="s">
        <v>581</v>
      </c>
      <c r="D147" s="471" t="s">
        <v>653</v>
      </c>
      <c r="E147" s="470" t="s">
        <v>14</v>
      </c>
      <c r="F147" s="389">
        <f>'Memória de Cálculo'!J703</f>
        <v>20</v>
      </c>
      <c r="G147" s="509">
        <v>10.18</v>
      </c>
      <c r="H147" s="288">
        <f t="shared" si="40"/>
        <v>0.2452</v>
      </c>
      <c r="I147" s="287">
        <f t="shared" si="41"/>
        <v>12.67</v>
      </c>
      <c r="J147" s="287">
        <f t="shared" si="42"/>
        <v>203.6</v>
      </c>
      <c r="K147" s="287">
        <f t="shared" si="43"/>
        <v>253.4</v>
      </c>
      <c r="L147" s="289">
        <f t="shared" si="45"/>
        <v>2.9249699385464279E-4</v>
      </c>
    </row>
    <row r="148" spans="1:12" s="645" customFormat="1" ht="45.75" customHeight="1" x14ac:dyDescent="0.25">
      <c r="A148" s="651" t="s">
        <v>947</v>
      </c>
      <c r="B148" s="470">
        <v>11818</v>
      </c>
      <c r="C148" s="470" t="s">
        <v>581</v>
      </c>
      <c r="D148" s="471" t="s">
        <v>654</v>
      </c>
      <c r="E148" s="470" t="s">
        <v>14</v>
      </c>
      <c r="F148" s="389">
        <f>'Memória de Cálculo'!J707</f>
        <v>10</v>
      </c>
      <c r="G148" s="509">
        <v>24</v>
      </c>
      <c r="H148" s="288">
        <f t="shared" si="40"/>
        <v>0.2452</v>
      </c>
      <c r="I148" s="287">
        <f t="shared" si="41"/>
        <v>29.88</v>
      </c>
      <c r="J148" s="287">
        <f t="shared" si="42"/>
        <v>240</v>
      </c>
      <c r="K148" s="287">
        <f t="shared" si="43"/>
        <v>298.8</v>
      </c>
      <c r="L148" s="289">
        <f t="shared" si="45"/>
        <v>3.4490174334556934E-4</v>
      </c>
    </row>
    <row r="149" spans="1:12" s="645" customFormat="1" ht="45.75" customHeight="1" x14ac:dyDescent="0.25">
      <c r="A149" s="651" t="s">
        <v>948</v>
      </c>
      <c r="B149" s="470">
        <v>9524</v>
      </c>
      <c r="C149" s="470" t="s">
        <v>581</v>
      </c>
      <c r="D149" s="471" t="s">
        <v>656</v>
      </c>
      <c r="E149" s="470" t="s">
        <v>14</v>
      </c>
      <c r="F149" s="389">
        <f>'Memória de Cálculo'!J711</f>
        <v>32</v>
      </c>
      <c r="G149" s="509">
        <v>5.35</v>
      </c>
      <c r="H149" s="288">
        <f t="shared" si="40"/>
        <v>0.2452</v>
      </c>
      <c r="I149" s="287">
        <f t="shared" si="41"/>
        <v>6.66</v>
      </c>
      <c r="J149" s="287">
        <f t="shared" si="42"/>
        <v>171.2</v>
      </c>
      <c r="K149" s="287">
        <f t="shared" si="43"/>
        <v>213.12</v>
      </c>
      <c r="L149" s="289">
        <f t="shared" si="45"/>
        <v>2.4600220730190003E-4</v>
      </c>
    </row>
    <row r="150" spans="1:12" s="645" customFormat="1" ht="45.75" customHeight="1" x14ac:dyDescent="0.25">
      <c r="A150" s="651" t="s">
        <v>949</v>
      </c>
      <c r="B150" s="470" t="s">
        <v>658</v>
      </c>
      <c r="C150" s="470" t="s">
        <v>581</v>
      </c>
      <c r="D150" s="471" t="s">
        <v>659</v>
      </c>
      <c r="E150" s="470" t="s">
        <v>14</v>
      </c>
      <c r="F150" s="389">
        <f>'Memória de Cálculo'!J715</f>
        <v>16</v>
      </c>
      <c r="G150" s="509">
        <v>12.4</v>
      </c>
      <c r="H150" s="288">
        <f t="shared" si="40"/>
        <v>0.2452</v>
      </c>
      <c r="I150" s="287">
        <f t="shared" si="41"/>
        <v>15.44</v>
      </c>
      <c r="J150" s="287">
        <f t="shared" si="42"/>
        <v>198.4</v>
      </c>
      <c r="K150" s="287">
        <f t="shared" si="43"/>
        <v>247.04</v>
      </c>
      <c r="L150" s="289">
        <f t="shared" ref="L150:L181" si="46">K150/$J$321</f>
        <v>2.8515571176736764E-4</v>
      </c>
    </row>
    <row r="151" spans="1:12" s="645" customFormat="1" ht="45.75" customHeight="1" x14ac:dyDescent="0.25">
      <c r="A151" s="651" t="s">
        <v>950</v>
      </c>
      <c r="B151" s="470">
        <v>7384</v>
      </c>
      <c r="C151" s="470" t="s">
        <v>581</v>
      </c>
      <c r="D151" s="471" t="s">
        <v>662</v>
      </c>
      <c r="E151" s="470" t="s">
        <v>16</v>
      </c>
      <c r="F151" s="389">
        <f>'Memória de Cálculo'!J719</f>
        <v>20</v>
      </c>
      <c r="G151" s="509">
        <v>22.01</v>
      </c>
      <c r="H151" s="288">
        <f t="shared" si="40"/>
        <v>0.2452</v>
      </c>
      <c r="I151" s="287">
        <f t="shared" si="41"/>
        <v>27.4</v>
      </c>
      <c r="J151" s="287">
        <f t="shared" si="42"/>
        <v>440.2</v>
      </c>
      <c r="K151" s="287">
        <f t="shared" si="43"/>
        <v>548</v>
      </c>
      <c r="L151" s="289">
        <f t="shared" si="46"/>
        <v>6.3255072072748318E-4</v>
      </c>
    </row>
    <row r="152" spans="1:12" s="645" customFormat="1" ht="45.75" customHeight="1" x14ac:dyDescent="0.25">
      <c r="A152" s="651" t="s">
        <v>951</v>
      </c>
      <c r="B152" s="470">
        <v>7819</v>
      </c>
      <c r="C152" s="470" t="s">
        <v>581</v>
      </c>
      <c r="D152" s="471" t="s">
        <v>665</v>
      </c>
      <c r="E152" s="470" t="s">
        <v>14</v>
      </c>
      <c r="F152" s="389">
        <f>'Memória de Cálculo'!J723</f>
        <v>49</v>
      </c>
      <c r="G152" s="509">
        <v>20.52</v>
      </c>
      <c r="H152" s="288">
        <f t="shared" si="40"/>
        <v>0.2452</v>
      </c>
      <c r="I152" s="287">
        <f t="shared" si="41"/>
        <v>25.55</v>
      </c>
      <c r="J152" s="287">
        <f t="shared" si="42"/>
        <v>1005.48</v>
      </c>
      <c r="K152" s="287">
        <f t="shared" si="43"/>
        <v>1251.95</v>
      </c>
      <c r="L152" s="289">
        <f t="shared" si="46"/>
        <v>1.4451129102459356E-3</v>
      </c>
    </row>
    <row r="153" spans="1:12" s="645" customFormat="1" ht="45.75" customHeight="1" x14ac:dyDescent="0.25">
      <c r="A153" s="651" t="s">
        <v>952</v>
      </c>
      <c r="B153" s="470" t="s">
        <v>667</v>
      </c>
      <c r="C153" s="470" t="s">
        <v>581</v>
      </c>
      <c r="D153" s="471" t="s">
        <v>668</v>
      </c>
      <c r="E153" s="470" t="s">
        <v>14</v>
      </c>
      <c r="F153" s="389">
        <f>'Memória de Cálculo'!J727</f>
        <v>720</v>
      </c>
      <c r="G153" s="509">
        <v>5.24</v>
      </c>
      <c r="H153" s="288">
        <f t="shared" si="40"/>
        <v>0.2452</v>
      </c>
      <c r="I153" s="287">
        <f t="shared" si="41"/>
        <v>6.52</v>
      </c>
      <c r="J153" s="287">
        <f t="shared" si="42"/>
        <v>3772.8</v>
      </c>
      <c r="K153" s="287">
        <f t="shared" si="43"/>
        <v>4694.3999999999996</v>
      </c>
      <c r="L153" s="289">
        <f t="shared" si="46"/>
        <v>5.4186972689472578E-3</v>
      </c>
    </row>
    <row r="154" spans="1:12" s="645" customFormat="1" ht="45.75" customHeight="1" x14ac:dyDescent="0.25">
      <c r="A154" s="651" t="s">
        <v>953</v>
      </c>
      <c r="B154" s="470" t="s">
        <v>670</v>
      </c>
      <c r="C154" s="470" t="s">
        <v>581</v>
      </c>
      <c r="D154" s="471" t="s">
        <v>671</v>
      </c>
      <c r="E154" s="470" t="s">
        <v>14</v>
      </c>
      <c r="F154" s="389">
        <f>'Memória de Cálculo'!J731</f>
        <v>1440</v>
      </c>
      <c r="G154" s="509">
        <v>0.55000000000000004</v>
      </c>
      <c r="H154" s="288">
        <f t="shared" si="40"/>
        <v>0.2452</v>
      </c>
      <c r="I154" s="287">
        <f t="shared" si="41"/>
        <v>0.68</v>
      </c>
      <c r="J154" s="287">
        <f t="shared" si="42"/>
        <v>792</v>
      </c>
      <c r="K154" s="287">
        <f t="shared" si="43"/>
        <v>979.2</v>
      </c>
      <c r="L154" s="289">
        <f t="shared" si="46"/>
        <v>1.1302804119276489E-3</v>
      </c>
    </row>
    <row r="155" spans="1:12" s="645" customFormat="1" ht="45.75" customHeight="1" x14ac:dyDescent="0.25">
      <c r="A155" s="651" t="s">
        <v>954</v>
      </c>
      <c r="B155" s="470">
        <v>12614</v>
      </c>
      <c r="C155" s="470" t="s">
        <v>581</v>
      </c>
      <c r="D155" s="471" t="s">
        <v>675</v>
      </c>
      <c r="E155" s="470" t="s">
        <v>14</v>
      </c>
      <c r="F155" s="389">
        <f>'Memória de Cálculo'!J736</f>
        <v>720</v>
      </c>
      <c r="G155" s="509">
        <v>4.71</v>
      </c>
      <c r="H155" s="288">
        <f t="shared" si="40"/>
        <v>0.2452</v>
      </c>
      <c r="I155" s="287">
        <f t="shared" si="41"/>
        <v>5.86</v>
      </c>
      <c r="J155" s="287">
        <f t="shared" si="42"/>
        <v>3391.2</v>
      </c>
      <c r="K155" s="287">
        <f t="shared" si="43"/>
        <v>4219.2</v>
      </c>
      <c r="L155" s="289">
        <f t="shared" si="46"/>
        <v>4.870178833747075E-3</v>
      </c>
    </row>
    <row r="156" spans="1:12" s="645" customFormat="1" ht="45.75" customHeight="1" x14ac:dyDescent="0.25">
      <c r="A156" s="651" t="s">
        <v>955</v>
      </c>
      <c r="B156" s="470">
        <v>12495</v>
      </c>
      <c r="C156" s="470" t="s">
        <v>581</v>
      </c>
      <c r="D156" s="471" t="s">
        <v>678</v>
      </c>
      <c r="E156" s="470" t="s">
        <v>14</v>
      </c>
      <c r="F156" s="389">
        <f>'Memória de Cálculo'!J740</f>
        <v>196</v>
      </c>
      <c r="G156" s="509">
        <v>5.25</v>
      </c>
      <c r="H156" s="288">
        <f t="shared" si="40"/>
        <v>0.2452</v>
      </c>
      <c r="I156" s="287">
        <f t="shared" si="41"/>
        <v>6.53</v>
      </c>
      <c r="J156" s="287">
        <f t="shared" si="42"/>
        <v>1029</v>
      </c>
      <c r="K156" s="287">
        <f t="shared" si="43"/>
        <v>1279.8800000000001</v>
      </c>
      <c r="L156" s="289">
        <f t="shared" si="46"/>
        <v>1.4773522197895827E-3</v>
      </c>
    </row>
    <row r="157" spans="1:12" s="645" customFormat="1" ht="45.75" customHeight="1" x14ac:dyDescent="0.25">
      <c r="A157" s="651" t="s">
        <v>956</v>
      </c>
      <c r="B157" s="470">
        <v>9816</v>
      </c>
      <c r="C157" s="470" t="s">
        <v>581</v>
      </c>
      <c r="D157" s="471" t="s">
        <v>681</v>
      </c>
      <c r="E157" s="470" t="s">
        <v>14</v>
      </c>
      <c r="F157" s="389">
        <f>'Memória de Cálculo'!J744</f>
        <v>773</v>
      </c>
      <c r="G157" s="509">
        <v>0.48</v>
      </c>
      <c r="H157" s="288">
        <f t="shared" si="40"/>
        <v>0.2452</v>
      </c>
      <c r="I157" s="287">
        <f t="shared" si="41"/>
        <v>0.59</v>
      </c>
      <c r="J157" s="287">
        <f t="shared" si="42"/>
        <v>371.04</v>
      </c>
      <c r="K157" s="287">
        <f t="shared" si="43"/>
        <v>456.07</v>
      </c>
      <c r="L157" s="289">
        <f t="shared" si="46"/>
        <v>5.2643687445653878E-4</v>
      </c>
    </row>
    <row r="158" spans="1:12" s="645" customFormat="1" ht="45.75" customHeight="1" x14ac:dyDescent="0.25">
      <c r="A158" s="651" t="s">
        <v>957</v>
      </c>
      <c r="B158" s="470" t="s">
        <v>684</v>
      </c>
      <c r="C158" s="470" t="s">
        <v>581</v>
      </c>
      <c r="D158" s="471" t="s">
        <v>685</v>
      </c>
      <c r="E158" s="470" t="s">
        <v>14</v>
      </c>
      <c r="F158" s="389">
        <f>'Memória de Cálculo'!J749</f>
        <v>577</v>
      </c>
      <c r="G158" s="509">
        <v>4.43</v>
      </c>
      <c r="H158" s="288">
        <f t="shared" si="40"/>
        <v>0.2452</v>
      </c>
      <c r="I158" s="287">
        <f t="shared" si="41"/>
        <v>5.51</v>
      </c>
      <c r="J158" s="287">
        <f t="shared" si="42"/>
        <v>2556.11</v>
      </c>
      <c r="K158" s="287">
        <f t="shared" si="43"/>
        <v>3179.27</v>
      </c>
      <c r="L158" s="289">
        <f t="shared" si="46"/>
        <v>3.6697984122030397E-3</v>
      </c>
    </row>
    <row r="159" spans="1:12" s="645" customFormat="1" ht="45.75" customHeight="1" x14ac:dyDescent="0.25">
      <c r="A159" s="651" t="s">
        <v>958</v>
      </c>
      <c r="B159" s="470" t="s">
        <v>687</v>
      </c>
      <c r="C159" s="470" t="s">
        <v>581</v>
      </c>
      <c r="D159" s="471" t="s">
        <v>688</v>
      </c>
      <c r="E159" s="470" t="s">
        <v>14</v>
      </c>
      <c r="F159" s="389">
        <f>'Memória de Cálculo'!J754</f>
        <v>577</v>
      </c>
      <c r="G159" s="509">
        <v>0.39</v>
      </c>
      <c r="H159" s="288">
        <f t="shared" ref="H159:H173" si="47">$K$4</f>
        <v>0.2452</v>
      </c>
      <c r="I159" s="287">
        <f t="shared" si="41"/>
        <v>0.48</v>
      </c>
      <c r="J159" s="287">
        <f t="shared" si="42"/>
        <v>225.03</v>
      </c>
      <c r="K159" s="287">
        <f t="shared" si="43"/>
        <v>276.95999999999998</v>
      </c>
      <c r="L159" s="289">
        <f t="shared" si="46"/>
        <v>3.1969205768737907E-4</v>
      </c>
    </row>
    <row r="160" spans="1:12" s="645" customFormat="1" ht="45.75" customHeight="1" x14ac:dyDescent="0.25">
      <c r="A160" s="651" t="s">
        <v>959</v>
      </c>
      <c r="B160" s="470" t="s">
        <v>693</v>
      </c>
      <c r="C160" s="470" t="s">
        <v>581</v>
      </c>
      <c r="D160" s="471" t="s">
        <v>694</v>
      </c>
      <c r="E160" s="470" t="s">
        <v>14</v>
      </c>
      <c r="F160" s="389">
        <f>'Memória de Cálculo'!J760</f>
        <v>49</v>
      </c>
      <c r="G160" s="509">
        <v>6.2</v>
      </c>
      <c r="H160" s="288">
        <f t="shared" si="47"/>
        <v>0.2452</v>
      </c>
      <c r="I160" s="287">
        <f t="shared" ref="I160:I173" si="48">TRUNC(G160*1.2452,2)</f>
        <v>7.72</v>
      </c>
      <c r="J160" s="287">
        <f t="shared" ref="J160:J173" si="49">TRUNC(F160*G160,2)</f>
        <v>303.8</v>
      </c>
      <c r="K160" s="287">
        <f t="shared" ref="K160:K173" si="50">TRUNC(I160*F160,2)</f>
        <v>378.28</v>
      </c>
      <c r="L160" s="289">
        <f t="shared" si="46"/>
        <v>4.3664468364378164E-4</v>
      </c>
    </row>
    <row r="161" spans="1:13" s="645" customFormat="1" ht="45.75" customHeight="1" x14ac:dyDescent="0.25">
      <c r="A161" s="651" t="s">
        <v>960</v>
      </c>
      <c r="B161" s="470" t="s">
        <v>696</v>
      </c>
      <c r="C161" s="470" t="s">
        <v>581</v>
      </c>
      <c r="D161" s="471" t="s">
        <v>697</v>
      </c>
      <c r="E161" s="470" t="s">
        <v>14</v>
      </c>
      <c r="F161" s="389">
        <f>'Memória de Cálculo'!J764</f>
        <v>337</v>
      </c>
      <c r="G161" s="509">
        <v>5.68</v>
      </c>
      <c r="H161" s="288">
        <f t="shared" si="47"/>
        <v>0.2452</v>
      </c>
      <c r="I161" s="287">
        <f t="shared" si="48"/>
        <v>7.07</v>
      </c>
      <c r="J161" s="287">
        <f t="shared" si="49"/>
        <v>1914.16</v>
      </c>
      <c r="K161" s="287">
        <f t="shared" si="50"/>
        <v>2382.59</v>
      </c>
      <c r="L161" s="289">
        <f t="shared" si="46"/>
        <v>2.7501989447045517E-3</v>
      </c>
    </row>
    <row r="162" spans="1:13" s="645" customFormat="1" ht="45.75" customHeight="1" x14ac:dyDescent="0.25">
      <c r="A162" s="651" t="s">
        <v>961</v>
      </c>
      <c r="B162" s="470">
        <v>12140</v>
      </c>
      <c r="C162" s="470" t="s">
        <v>581</v>
      </c>
      <c r="D162" s="471" t="s">
        <v>700</v>
      </c>
      <c r="E162" s="470" t="s">
        <v>14</v>
      </c>
      <c r="F162" s="389">
        <f>'Memória de Cálculo'!J768</f>
        <v>142</v>
      </c>
      <c r="G162" s="509">
        <v>5.9</v>
      </c>
      <c r="H162" s="288">
        <f t="shared" si="47"/>
        <v>0.2452</v>
      </c>
      <c r="I162" s="287">
        <f t="shared" si="48"/>
        <v>7.34</v>
      </c>
      <c r="J162" s="287">
        <f t="shared" si="49"/>
        <v>837.8</v>
      </c>
      <c r="K162" s="287">
        <f t="shared" si="50"/>
        <v>1042.28</v>
      </c>
      <c r="L162" s="289">
        <f t="shared" si="46"/>
        <v>1.2030930021894913E-3</v>
      </c>
    </row>
    <row r="163" spans="1:13" s="645" customFormat="1" ht="45.75" customHeight="1" x14ac:dyDescent="0.25">
      <c r="A163" s="651" t="s">
        <v>962</v>
      </c>
      <c r="B163" s="470">
        <v>98295</v>
      </c>
      <c r="C163" s="470" t="s">
        <v>13</v>
      </c>
      <c r="D163" s="471" t="s">
        <v>1157</v>
      </c>
      <c r="E163" s="470" t="s">
        <v>16</v>
      </c>
      <c r="F163" s="389">
        <f>'Memória de Cálculo'!J772</f>
        <v>765.3</v>
      </c>
      <c r="G163" s="509">
        <v>5.69</v>
      </c>
      <c r="H163" s="288">
        <f t="shared" si="47"/>
        <v>0.2452</v>
      </c>
      <c r="I163" s="287">
        <f t="shared" si="48"/>
        <v>7.08</v>
      </c>
      <c r="J163" s="287">
        <f t="shared" si="49"/>
        <v>4354.55</v>
      </c>
      <c r="K163" s="287">
        <f t="shared" si="50"/>
        <v>5418.32</v>
      </c>
      <c r="L163" s="289">
        <f t="shared" si="46"/>
        <v>6.254310622503899E-3</v>
      </c>
    </row>
    <row r="164" spans="1:13" s="645" customFormat="1" ht="45.75" customHeight="1" x14ac:dyDescent="0.25">
      <c r="A164" s="651" t="s">
        <v>963</v>
      </c>
      <c r="B164" s="535">
        <v>91836</v>
      </c>
      <c r="C164" s="535" t="s">
        <v>13</v>
      </c>
      <c r="D164" s="536" t="s">
        <v>705</v>
      </c>
      <c r="E164" s="470" t="s">
        <v>16</v>
      </c>
      <c r="F164" s="389">
        <f>'Memória de Cálculo'!J776</f>
        <v>136</v>
      </c>
      <c r="G164" s="509">
        <v>22.34</v>
      </c>
      <c r="H164" s="288">
        <f t="shared" si="47"/>
        <v>0.2452</v>
      </c>
      <c r="I164" s="287">
        <f t="shared" si="48"/>
        <v>27.81</v>
      </c>
      <c r="J164" s="287">
        <f t="shared" si="49"/>
        <v>3038.24</v>
      </c>
      <c r="K164" s="287">
        <f t="shared" si="50"/>
        <v>3782.16</v>
      </c>
      <c r="L164" s="289">
        <f t="shared" si="46"/>
        <v>4.3657080910705437E-3</v>
      </c>
    </row>
    <row r="165" spans="1:13" s="645" customFormat="1" ht="45.75" customHeight="1" x14ac:dyDescent="0.25">
      <c r="A165" s="651" t="s">
        <v>964</v>
      </c>
      <c r="B165" s="470" t="s">
        <v>706</v>
      </c>
      <c r="C165" s="470" t="s">
        <v>15</v>
      </c>
      <c r="D165" s="471" t="s">
        <v>707</v>
      </c>
      <c r="E165" s="470" t="s">
        <v>14</v>
      </c>
      <c r="F165" s="389">
        <f>'Memória de Cálculo'!J780</f>
        <v>1</v>
      </c>
      <c r="G165" s="509">
        <v>2493.84</v>
      </c>
      <c r="H165" s="288">
        <f t="shared" si="47"/>
        <v>0.2452</v>
      </c>
      <c r="I165" s="287">
        <f t="shared" si="48"/>
        <v>3105.32</v>
      </c>
      <c r="J165" s="287">
        <f t="shared" si="49"/>
        <v>2493.84</v>
      </c>
      <c r="K165" s="287">
        <f t="shared" si="50"/>
        <v>3105.32</v>
      </c>
      <c r="L165" s="289">
        <f t="shared" si="46"/>
        <v>3.5844386935939203E-3</v>
      </c>
    </row>
    <row r="166" spans="1:13" s="645" customFormat="1" ht="45.75" customHeight="1" x14ac:dyDescent="0.25">
      <c r="A166" s="651" t="s">
        <v>965</v>
      </c>
      <c r="B166" s="470" t="s">
        <v>708</v>
      </c>
      <c r="C166" s="470" t="s">
        <v>15</v>
      </c>
      <c r="D166" s="471" t="s">
        <v>709</v>
      </c>
      <c r="E166" s="470" t="s">
        <v>14</v>
      </c>
      <c r="F166" s="389">
        <f>'Memória de Cálculo'!J784</f>
        <v>10</v>
      </c>
      <c r="G166" s="509">
        <v>57.74</v>
      </c>
      <c r="H166" s="288">
        <f t="shared" si="47"/>
        <v>0.2452</v>
      </c>
      <c r="I166" s="287">
        <f t="shared" si="48"/>
        <v>71.89</v>
      </c>
      <c r="J166" s="287">
        <f t="shared" si="49"/>
        <v>577.4</v>
      </c>
      <c r="K166" s="287">
        <f t="shared" si="50"/>
        <v>718.9</v>
      </c>
      <c r="L166" s="289">
        <f t="shared" si="46"/>
        <v>8.2981881958209432E-4</v>
      </c>
    </row>
    <row r="167" spans="1:13" s="645" customFormat="1" ht="45.75" customHeight="1" x14ac:dyDescent="0.25">
      <c r="A167" s="651" t="s">
        <v>966</v>
      </c>
      <c r="B167" s="470" t="s">
        <v>710</v>
      </c>
      <c r="C167" s="470" t="s">
        <v>15</v>
      </c>
      <c r="D167" s="471" t="s">
        <v>711</v>
      </c>
      <c r="E167" s="470" t="s">
        <v>14</v>
      </c>
      <c r="F167" s="389">
        <f>'Memória de Cálculo'!J788</f>
        <v>11</v>
      </c>
      <c r="G167" s="509">
        <v>45.66</v>
      </c>
      <c r="H167" s="288">
        <f t="shared" si="47"/>
        <v>0.2452</v>
      </c>
      <c r="I167" s="287">
        <f t="shared" si="48"/>
        <v>56.85</v>
      </c>
      <c r="J167" s="287">
        <f t="shared" si="49"/>
        <v>502.26</v>
      </c>
      <c r="K167" s="287">
        <f t="shared" si="50"/>
        <v>625.35</v>
      </c>
      <c r="L167" s="289">
        <f t="shared" si="46"/>
        <v>7.2183502410024024E-4</v>
      </c>
    </row>
    <row r="168" spans="1:13" s="645" customFormat="1" ht="45.75" customHeight="1" x14ac:dyDescent="0.25">
      <c r="A168" s="651" t="s">
        <v>967</v>
      </c>
      <c r="B168" s="470">
        <v>9534</v>
      </c>
      <c r="C168" s="470" t="s">
        <v>581</v>
      </c>
      <c r="D168" s="471" t="s">
        <v>713</v>
      </c>
      <c r="E168" s="470" t="s">
        <v>14</v>
      </c>
      <c r="F168" s="389">
        <f>'Memória de Cálculo'!J792</f>
        <v>21</v>
      </c>
      <c r="G168" s="509">
        <v>20.82</v>
      </c>
      <c r="H168" s="288">
        <f t="shared" si="47"/>
        <v>0.2452</v>
      </c>
      <c r="I168" s="287">
        <f t="shared" si="48"/>
        <v>25.92</v>
      </c>
      <c r="J168" s="287">
        <f t="shared" si="49"/>
        <v>437.22</v>
      </c>
      <c r="K168" s="287">
        <f t="shared" si="50"/>
        <v>544.32000000000005</v>
      </c>
      <c r="L168" s="289">
        <f t="shared" si="46"/>
        <v>6.2830293486566369E-4</v>
      </c>
    </row>
    <row r="169" spans="1:13" s="645" customFormat="1" ht="69.599999999999994" customHeight="1" x14ac:dyDescent="0.25">
      <c r="A169" s="651" t="s">
        <v>968</v>
      </c>
      <c r="B169" s="470">
        <v>13102</v>
      </c>
      <c r="C169" s="470" t="s">
        <v>581</v>
      </c>
      <c r="D169" s="471" t="s">
        <v>715</v>
      </c>
      <c r="E169" s="470" t="s">
        <v>14</v>
      </c>
      <c r="F169" s="389">
        <f>'Memória de Cálculo'!J796</f>
        <v>1</v>
      </c>
      <c r="G169" s="509">
        <v>239.35</v>
      </c>
      <c r="H169" s="288">
        <f t="shared" si="47"/>
        <v>0.2452</v>
      </c>
      <c r="I169" s="287">
        <f t="shared" si="48"/>
        <v>298.02999999999997</v>
      </c>
      <c r="J169" s="287">
        <f t="shared" si="49"/>
        <v>239.35</v>
      </c>
      <c r="K169" s="287">
        <f t="shared" si="50"/>
        <v>298.02999999999997</v>
      </c>
      <c r="L169" s="289">
        <f t="shared" si="46"/>
        <v>3.4401294032556902E-4</v>
      </c>
    </row>
    <row r="170" spans="1:13" s="645" customFormat="1" ht="45.75" customHeight="1" x14ac:dyDescent="0.25">
      <c r="A170" s="651" t="s">
        <v>969</v>
      </c>
      <c r="B170" s="470">
        <v>13103</v>
      </c>
      <c r="C170" s="470" t="s">
        <v>581</v>
      </c>
      <c r="D170" s="471" t="str">
        <f>UPPER("Contator 32 A, bobina de 24 a 220VAC, com contato NA-NF , para fixação em trilho.")</f>
        <v>CONTATOR 32 A, BOBINA DE 24 A 220VAC, COM CONTATO NA-NF , PARA FIXAÇÃO EM TRILHO.</v>
      </c>
      <c r="E170" s="470" t="s">
        <v>14</v>
      </c>
      <c r="F170" s="389">
        <f>'Memória de Cálculo'!J800</f>
        <v>1</v>
      </c>
      <c r="G170" s="509">
        <v>319.27</v>
      </c>
      <c r="H170" s="288">
        <f t="shared" si="47"/>
        <v>0.2452</v>
      </c>
      <c r="I170" s="287">
        <f t="shared" si="48"/>
        <v>397.55</v>
      </c>
      <c r="J170" s="287">
        <f t="shared" si="49"/>
        <v>319.27</v>
      </c>
      <c r="K170" s="287">
        <f t="shared" si="50"/>
        <v>397.55</v>
      </c>
      <c r="L170" s="289">
        <f t="shared" si="46"/>
        <v>4.5888784493651637E-4</v>
      </c>
    </row>
    <row r="171" spans="1:13" s="645" customFormat="1" ht="45.75" customHeight="1" x14ac:dyDescent="0.25">
      <c r="A171" s="651" t="s">
        <v>970</v>
      </c>
      <c r="B171" s="470">
        <v>780</v>
      </c>
      <c r="C171" s="470" t="s">
        <v>581</v>
      </c>
      <c r="D171" s="471" t="s">
        <v>719</v>
      </c>
      <c r="E171" s="470" t="s">
        <v>14</v>
      </c>
      <c r="F171" s="389">
        <f>'Memória de Cálculo'!J804</f>
        <v>1</v>
      </c>
      <c r="G171" s="509">
        <v>87.11</v>
      </c>
      <c r="H171" s="288">
        <f t="shared" si="47"/>
        <v>0.2452</v>
      </c>
      <c r="I171" s="287">
        <f t="shared" si="48"/>
        <v>108.46</v>
      </c>
      <c r="J171" s="287">
        <f t="shared" si="49"/>
        <v>87.11</v>
      </c>
      <c r="K171" s="287">
        <f t="shared" si="50"/>
        <v>108.46</v>
      </c>
      <c r="L171" s="289">
        <f t="shared" si="46"/>
        <v>1.2519425396004166E-4</v>
      </c>
    </row>
    <row r="172" spans="1:13" s="645" customFormat="1" ht="45.75" customHeight="1" x14ac:dyDescent="0.25">
      <c r="A172" s="651" t="s">
        <v>971</v>
      </c>
      <c r="B172" s="470" t="s">
        <v>1159</v>
      </c>
      <c r="C172" s="470" t="s">
        <v>15</v>
      </c>
      <c r="D172" s="471" t="s">
        <v>1158</v>
      </c>
      <c r="E172" s="470" t="s">
        <v>14</v>
      </c>
      <c r="F172" s="389">
        <f>'Memória de Cálculo'!J808</f>
        <v>11</v>
      </c>
      <c r="G172" s="509">
        <v>97.7</v>
      </c>
      <c r="H172" s="288">
        <f t="shared" si="47"/>
        <v>0.2452</v>
      </c>
      <c r="I172" s="287">
        <f t="shared" si="48"/>
        <v>121.65</v>
      </c>
      <c r="J172" s="287">
        <f t="shared" si="49"/>
        <v>1074.7</v>
      </c>
      <c r="K172" s="287">
        <f t="shared" si="50"/>
        <v>1338.15</v>
      </c>
      <c r="L172" s="289">
        <f t="shared" si="46"/>
        <v>1.5446126769005141E-3</v>
      </c>
    </row>
    <row r="173" spans="1:13" s="645" customFormat="1" ht="45.75" customHeight="1" x14ac:dyDescent="0.25">
      <c r="A173" s="651" t="s">
        <v>972</v>
      </c>
      <c r="B173" s="470">
        <v>91944</v>
      </c>
      <c r="C173" s="470" t="s">
        <v>13</v>
      </c>
      <c r="D173" s="471" t="s">
        <v>721</v>
      </c>
      <c r="E173" s="470" t="s">
        <v>14</v>
      </c>
      <c r="F173" s="389">
        <f>'Memória de Cálculo'!J812</f>
        <v>1</v>
      </c>
      <c r="G173" s="509">
        <v>16.37</v>
      </c>
      <c r="H173" s="288">
        <f t="shared" si="47"/>
        <v>0.2452</v>
      </c>
      <c r="I173" s="287">
        <f t="shared" si="48"/>
        <v>20.38</v>
      </c>
      <c r="J173" s="287">
        <f t="shared" si="49"/>
        <v>16.37</v>
      </c>
      <c r="K173" s="287">
        <f t="shared" si="50"/>
        <v>20.38</v>
      </c>
      <c r="L173" s="289">
        <f t="shared" si="46"/>
        <v>2.3524422789098738E-5</v>
      </c>
    </row>
    <row r="174" spans="1:13" s="673" customFormat="1" ht="18.75" customHeight="1" x14ac:dyDescent="0.25">
      <c r="A174" s="672">
        <v>6</v>
      </c>
      <c r="B174" s="341"/>
      <c r="C174" s="341"/>
      <c r="D174" s="342" t="s">
        <v>120</v>
      </c>
      <c r="E174" s="342"/>
      <c r="F174" s="390"/>
      <c r="G174" s="343"/>
      <c r="H174" s="343"/>
      <c r="I174" s="333"/>
      <c r="J174" s="333">
        <f>SUM(J175+J193+J243+J279)</f>
        <v>118257.56000000001</v>
      </c>
      <c r="K174" s="334">
        <f>SUM(K175,K193,K243,K279)</f>
        <v>147247.91</v>
      </c>
      <c r="L174" s="404">
        <f t="shared" si="46"/>
        <v>0.16996673648926203</v>
      </c>
    </row>
    <row r="175" spans="1:13" s="645" customFormat="1" ht="18" customHeight="1" x14ac:dyDescent="0.25">
      <c r="A175" s="669" t="s">
        <v>112</v>
      </c>
      <c r="B175" s="309"/>
      <c r="C175" s="309"/>
      <c r="D175" s="310" t="s">
        <v>121</v>
      </c>
      <c r="E175" s="311"/>
      <c r="F175" s="396"/>
      <c r="G175" s="312"/>
      <c r="H175" s="312"/>
      <c r="I175" s="326"/>
      <c r="J175" s="327">
        <f>SUM(J176:J192)</f>
        <v>40471.25</v>
      </c>
      <c r="K175" s="328">
        <f>SUM(K176:K192)</f>
        <v>50394.18</v>
      </c>
      <c r="L175" s="405">
        <f t="shared" si="46"/>
        <v>5.8169479707062995E-2</v>
      </c>
    </row>
    <row r="176" spans="1:13" s="645" customFormat="1" ht="67.5" customHeight="1" x14ac:dyDescent="0.25">
      <c r="A176" s="651" t="s">
        <v>978</v>
      </c>
      <c r="B176" s="285">
        <v>95472</v>
      </c>
      <c r="C176" s="285" t="s">
        <v>13</v>
      </c>
      <c r="D176" s="329" t="s">
        <v>125</v>
      </c>
      <c r="E176" s="285" t="s">
        <v>14</v>
      </c>
      <c r="F176" s="389">
        <f>'Memória de Cálculo'!J818</f>
        <v>6</v>
      </c>
      <c r="G176" s="509">
        <v>811.3</v>
      </c>
      <c r="H176" s="288">
        <f t="shared" ref="H176:H192" si="51">$K$4</f>
        <v>0.2452</v>
      </c>
      <c r="I176" s="287">
        <f>TRUNC(G176*1.2452,2)</f>
        <v>1010.23</v>
      </c>
      <c r="J176" s="287">
        <f>TRUNC(F176*G176,2)</f>
        <v>4867.8</v>
      </c>
      <c r="K176" s="287">
        <f>TRUNC(F176*I176,2)</f>
        <v>6061.38</v>
      </c>
      <c r="L176" s="289">
        <f t="shared" si="46"/>
        <v>6.9965881160641468E-3</v>
      </c>
      <c r="M176" s="645">
        <v>702.49</v>
      </c>
    </row>
    <row r="177" spans="1:13" s="645" customFormat="1" ht="39.75" customHeight="1" x14ac:dyDescent="0.25">
      <c r="A177" s="651" t="s">
        <v>979</v>
      </c>
      <c r="B177" s="285">
        <v>100849</v>
      </c>
      <c r="C177" s="285" t="s">
        <v>13</v>
      </c>
      <c r="D177" s="329" t="s">
        <v>24</v>
      </c>
      <c r="E177" s="285" t="s">
        <v>14</v>
      </c>
      <c r="F177" s="389">
        <f>'Memória de Cálculo'!J822</f>
        <v>6</v>
      </c>
      <c r="G177" s="509">
        <v>34.57</v>
      </c>
      <c r="H177" s="288">
        <f t="shared" si="51"/>
        <v>0.2452</v>
      </c>
      <c r="I177" s="287">
        <f t="shared" ref="I177:I192" si="52">TRUNC(G177*1.2452,2)</f>
        <v>43.04</v>
      </c>
      <c r="J177" s="287">
        <f t="shared" ref="J177:J192" si="53">TRUNC(F177*G177,2)</f>
        <v>207.42</v>
      </c>
      <c r="K177" s="287">
        <f t="shared" ref="K177:K192" si="54">TRUNC(F177*I177,2)</f>
        <v>258.24</v>
      </c>
      <c r="L177" s="289">
        <f t="shared" si="46"/>
        <v>2.9808375569464465E-4</v>
      </c>
      <c r="M177" s="645">
        <v>34.659999999999997</v>
      </c>
    </row>
    <row r="178" spans="1:13" s="645" customFormat="1" ht="34.5" customHeight="1" x14ac:dyDescent="0.25">
      <c r="A178" s="651" t="s">
        <v>980</v>
      </c>
      <c r="B178" s="285" t="s">
        <v>139</v>
      </c>
      <c r="C178" s="285" t="s">
        <v>15</v>
      </c>
      <c r="D178" s="329" t="s">
        <v>138</v>
      </c>
      <c r="E178" s="285" t="s">
        <v>14</v>
      </c>
      <c r="F178" s="389">
        <f>'Memória de Cálculo'!J826</f>
        <v>6</v>
      </c>
      <c r="G178" s="509">
        <v>77.260000000000005</v>
      </c>
      <c r="H178" s="288">
        <f t="shared" si="51"/>
        <v>0.2452</v>
      </c>
      <c r="I178" s="287">
        <f t="shared" si="52"/>
        <v>96.2</v>
      </c>
      <c r="J178" s="287">
        <f t="shared" si="53"/>
        <v>463.56</v>
      </c>
      <c r="K178" s="287">
        <f t="shared" si="54"/>
        <v>577.20000000000005</v>
      </c>
      <c r="L178" s="289">
        <f t="shared" si="46"/>
        <v>6.6625597810931266E-4</v>
      </c>
      <c r="M178" s="645">
        <v>68.8</v>
      </c>
    </row>
    <row r="179" spans="1:13" s="645" customFormat="1" ht="41.25" customHeight="1" x14ac:dyDescent="0.25">
      <c r="A179" s="651" t="s">
        <v>981</v>
      </c>
      <c r="B179" s="285" t="s">
        <v>226</v>
      </c>
      <c r="C179" s="285" t="s">
        <v>15</v>
      </c>
      <c r="D179" s="329" t="s">
        <v>225</v>
      </c>
      <c r="E179" s="285" t="s">
        <v>14</v>
      </c>
      <c r="F179" s="389">
        <f>'Memória de Cálculo'!J830</f>
        <v>7</v>
      </c>
      <c r="G179" s="509">
        <v>301.33999999999997</v>
      </c>
      <c r="H179" s="288">
        <f t="shared" si="51"/>
        <v>0.2452</v>
      </c>
      <c r="I179" s="287">
        <f t="shared" si="52"/>
        <v>375.22</v>
      </c>
      <c r="J179" s="287">
        <f t="shared" si="53"/>
        <v>2109.38</v>
      </c>
      <c r="K179" s="287">
        <f t="shared" si="54"/>
        <v>2626.54</v>
      </c>
      <c r="L179" s="289">
        <f t="shared" si="46"/>
        <v>3.0317879014955542E-3</v>
      </c>
      <c r="M179" s="645">
        <v>277.63</v>
      </c>
    </row>
    <row r="180" spans="1:13" s="645" customFormat="1" ht="42.75" customHeight="1" x14ac:dyDescent="0.25">
      <c r="A180" s="651" t="s">
        <v>982</v>
      </c>
      <c r="B180" s="285">
        <v>95547</v>
      </c>
      <c r="C180" s="285" t="s">
        <v>126</v>
      </c>
      <c r="D180" s="329" t="s">
        <v>23</v>
      </c>
      <c r="E180" s="285" t="s">
        <v>14</v>
      </c>
      <c r="F180" s="389">
        <f>'Memória de Cálculo'!J834</f>
        <v>7</v>
      </c>
      <c r="G180" s="509">
        <v>47.96</v>
      </c>
      <c r="H180" s="288">
        <f t="shared" si="51"/>
        <v>0.2452</v>
      </c>
      <c r="I180" s="287">
        <f t="shared" si="52"/>
        <v>59.71</v>
      </c>
      <c r="J180" s="287">
        <f t="shared" si="53"/>
        <v>335.72</v>
      </c>
      <c r="K180" s="287">
        <f t="shared" si="54"/>
        <v>417.97</v>
      </c>
      <c r="L180" s="289">
        <f t="shared" si="46"/>
        <v>4.8245843931106968E-4</v>
      </c>
      <c r="M180" s="645">
        <v>103.81</v>
      </c>
    </row>
    <row r="181" spans="1:13" s="645" customFormat="1" ht="30.75" customHeight="1" x14ac:dyDescent="0.25">
      <c r="A181" s="651" t="s">
        <v>983</v>
      </c>
      <c r="B181" s="285" t="s">
        <v>137</v>
      </c>
      <c r="C181" s="285" t="s">
        <v>15</v>
      </c>
      <c r="D181" s="329" t="s">
        <v>136</v>
      </c>
      <c r="E181" s="285" t="s">
        <v>14</v>
      </c>
      <c r="F181" s="389">
        <f>'Memória de Cálculo'!J838</f>
        <v>10</v>
      </c>
      <c r="G181" s="509">
        <v>66.33</v>
      </c>
      <c r="H181" s="288">
        <f t="shared" si="51"/>
        <v>0.2452</v>
      </c>
      <c r="I181" s="287">
        <f t="shared" si="52"/>
        <v>82.59</v>
      </c>
      <c r="J181" s="287">
        <f t="shared" si="53"/>
        <v>663.3</v>
      </c>
      <c r="K181" s="287">
        <f t="shared" si="54"/>
        <v>825.9</v>
      </c>
      <c r="L181" s="289">
        <f t="shared" si="46"/>
        <v>9.5332781067304455E-4</v>
      </c>
      <c r="M181" s="645">
        <v>53.94</v>
      </c>
    </row>
    <row r="182" spans="1:13" s="645" customFormat="1" ht="76.5" customHeight="1" x14ac:dyDescent="0.25">
      <c r="A182" s="651" t="s">
        <v>984</v>
      </c>
      <c r="B182" s="285">
        <v>86920</v>
      </c>
      <c r="C182" s="285" t="s">
        <v>13</v>
      </c>
      <c r="D182" s="329" t="s">
        <v>140</v>
      </c>
      <c r="E182" s="285" t="s">
        <v>14</v>
      </c>
      <c r="F182" s="389">
        <f>'Memória de Cálculo'!J842</f>
        <v>1</v>
      </c>
      <c r="G182" s="509">
        <v>863.87</v>
      </c>
      <c r="H182" s="288">
        <f t="shared" si="51"/>
        <v>0.2452</v>
      </c>
      <c r="I182" s="287">
        <f t="shared" si="52"/>
        <v>1075.69</v>
      </c>
      <c r="J182" s="287">
        <f t="shared" si="53"/>
        <v>863.87</v>
      </c>
      <c r="K182" s="287">
        <f t="shared" si="54"/>
        <v>1075.69</v>
      </c>
      <c r="L182" s="289">
        <f t="shared" ref="L182:L213" si="55">K182/$J$321</f>
        <v>1.2416578189404133E-3</v>
      </c>
      <c r="M182" s="645">
        <v>746.31</v>
      </c>
    </row>
    <row r="183" spans="1:13" s="645" customFormat="1" ht="31.5" customHeight="1" x14ac:dyDescent="0.25">
      <c r="A183" s="651" t="s">
        <v>985</v>
      </c>
      <c r="B183" s="285" t="s">
        <v>194</v>
      </c>
      <c r="C183" s="285" t="s">
        <v>15</v>
      </c>
      <c r="D183" s="329" t="s">
        <v>193</v>
      </c>
      <c r="E183" s="285" t="s">
        <v>21</v>
      </c>
      <c r="F183" s="389">
        <f>'Memória de Cálculo'!J846</f>
        <v>14.03</v>
      </c>
      <c r="G183" s="509">
        <v>921.96</v>
      </c>
      <c r="H183" s="288">
        <f t="shared" si="51"/>
        <v>0.2452</v>
      </c>
      <c r="I183" s="287">
        <f t="shared" si="52"/>
        <v>1148.02</v>
      </c>
      <c r="J183" s="287">
        <f t="shared" si="53"/>
        <v>12935.09</v>
      </c>
      <c r="K183" s="287">
        <f t="shared" si="54"/>
        <v>16106.72</v>
      </c>
      <c r="L183" s="289">
        <f t="shared" si="55"/>
        <v>1.8591819971817095E-2</v>
      </c>
      <c r="M183" s="645">
        <v>916.5</v>
      </c>
    </row>
    <row r="184" spans="1:13" s="645" customFormat="1" ht="45" customHeight="1" x14ac:dyDescent="0.25">
      <c r="A184" s="651" t="s">
        <v>986</v>
      </c>
      <c r="B184" s="285">
        <v>86900</v>
      </c>
      <c r="C184" s="285" t="s">
        <v>13</v>
      </c>
      <c r="D184" s="329" t="s">
        <v>217</v>
      </c>
      <c r="E184" s="285" t="s">
        <v>14</v>
      </c>
      <c r="F184" s="389">
        <f>'Memória de Cálculo'!J850</f>
        <v>9</v>
      </c>
      <c r="G184" s="509">
        <v>230.66</v>
      </c>
      <c r="H184" s="288">
        <f t="shared" si="51"/>
        <v>0.2452</v>
      </c>
      <c r="I184" s="287">
        <f t="shared" si="52"/>
        <v>287.20999999999998</v>
      </c>
      <c r="J184" s="287">
        <f t="shared" si="53"/>
        <v>2075.94</v>
      </c>
      <c r="K184" s="287">
        <f t="shared" si="54"/>
        <v>2584.89</v>
      </c>
      <c r="L184" s="289">
        <f t="shared" si="55"/>
        <v>2.9837117381409928E-3</v>
      </c>
      <c r="M184" s="645">
        <v>204.81</v>
      </c>
    </row>
    <row r="185" spans="1:13" s="645" customFormat="1" ht="45.75" customHeight="1" x14ac:dyDescent="0.25">
      <c r="A185" s="651" t="s">
        <v>987</v>
      </c>
      <c r="B185" s="285">
        <v>100867</v>
      </c>
      <c r="C185" s="285" t="s">
        <v>13</v>
      </c>
      <c r="D185" s="329" t="s">
        <v>195</v>
      </c>
      <c r="E185" s="285" t="s">
        <v>14</v>
      </c>
      <c r="F185" s="389">
        <f>'Memória de Cálculo'!J854</f>
        <v>14</v>
      </c>
      <c r="G185" s="509">
        <v>365</v>
      </c>
      <c r="H185" s="288">
        <f t="shared" si="51"/>
        <v>0.2452</v>
      </c>
      <c r="I185" s="287">
        <f t="shared" si="52"/>
        <v>454.49</v>
      </c>
      <c r="J185" s="287">
        <f t="shared" si="53"/>
        <v>5110</v>
      </c>
      <c r="K185" s="287">
        <f t="shared" si="54"/>
        <v>6362.86</v>
      </c>
      <c r="L185" s="289">
        <f t="shared" si="55"/>
        <v>7.3445833556351715E-3</v>
      </c>
      <c r="M185" s="645">
        <v>357.6</v>
      </c>
    </row>
    <row r="186" spans="1:13" s="645" customFormat="1" ht="41.25" customHeight="1" x14ac:dyDescent="0.25">
      <c r="A186" s="651" t="s">
        <v>988</v>
      </c>
      <c r="B186" s="285">
        <v>100868</v>
      </c>
      <c r="C186" s="285" t="s">
        <v>13</v>
      </c>
      <c r="D186" s="329" t="s">
        <v>196</v>
      </c>
      <c r="E186" s="285" t="s">
        <v>14</v>
      </c>
      <c r="F186" s="389">
        <f>'Memória de Cálculo'!J860</f>
        <v>10</v>
      </c>
      <c r="G186" s="509">
        <v>376.63</v>
      </c>
      <c r="H186" s="288">
        <f t="shared" si="51"/>
        <v>0.2452</v>
      </c>
      <c r="I186" s="287">
        <f t="shared" si="52"/>
        <v>468.97</v>
      </c>
      <c r="J186" s="287">
        <f t="shared" si="53"/>
        <v>3766.3</v>
      </c>
      <c r="K186" s="287">
        <f t="shared" si="54"/>
        <v>4689.7</v>
      </c>
      <c r="L186" s="289">
        <f t="shared" si="55"/>
        <v>5.4132721076563467E-3</v>
      </c>
      <c r="M186" s="645">
        <v>370.54</v>
      </c>
    </row>
    <row r="187" spans="1:13" s="645" customFormat="1" ht="42" customHeight="1" x14ac:dyDescent="0.25">
      <c r="A187" s="651" t="s">
        <v>989</v>
      </c>
      <c r="B187" s="285" t="s">
        <v>145</v>
      </c>
      <c r="C187" s="285" t="s">
        <v>15</v>
      </c>
      <c r="D187" s="292" t="s">
        <v>144</v>
      </c>
      <c r="E187" s="285" t="s">
        <v>14</v>
      </c>
      <c r="F187" s="389">
        <f>'Memória de Cálculo'!J864</f>
        <v>1</v>
      </c>
      <c r="G187" s="509">
        <v>1145.72</v>
      </c>
      <c r="H187" s="288">
        <f t="shared" si="51"/>
        <v>0.2452</v>
      </c>
      <c r="I187" s="287">
        <f t="shared" si="52"/>
        <v>1426.65</v>
      </c>
      <c r="J187" s="287">
        <f t="shared" si="53"/>
        <v>1145.72</v>
      </c>
      <c r="K187" s="287">
        <f t="shared" si="54"/>
        <v>1426.65</v>
      </c>
      <c r="L187" s="289">
        <f t="shared" si="55"/>
        <v>1.64676730971873E-3</v>
      </c>
      <c r="M187" s="645">
        <v>907.33</v>
      </c>
    </row>
    <row r="188" spans="1:13" s="645" customFormat="1" ht="40.5" customHeight="1" x14ac:dyDescent="0.25">
      <c r="A188" s="651" t="s">
        <v>990</v>
      </c>
      <c r="B188" s="285">
        <v>86913</v>
      </c>
      <c r="C188" s="285" t="s">
        <v>13</v>
      </c>
      <c r="D188" s="329" t="s">
        <v>127</v>
      </c>
      <c r="E188" s="285" t="s">
        <v>14</v>
      </c>
      <c r="F188" s="389">
        <f>'Memória de Cálculo'!J868</f>
        <v>1</v>
      </c>
      <c r="G188" s="509">
        <v>61.85</v>
      </c>
      <c r="H188" s="288">
        <f t="shared" si="51"/>
        <v>0.2452</v>
      </c>
      <c r="I188" s="287">
        <f t="shared" si="52"/>
        <v>77.010000000000005</v>
      </c>
      <c r="J188" s="287">
        <f t="shared" si="53"/>
        <v>61.85</v>
      </c>
      <c r="K188" s="287">
        <f t="shared" si="54"/>
        <v>77.010000000000005</v>
      </c>
      <c r="L188" s="289">
        <f t="shared" si="55"/>
        <v>8.8891844896393218E-5</v>
      </c>
      <c r="M188" s="645">
        <v>50.59</v>
      </c>
    </row>
    <row r="189" spans="1:13" s="645" customFormat="1" ht="48" customHeight="1" x14ac:dyDescent="0.25">
      <c r="A189" s="651" t="s">
        <v>991</v>
      </c>
      <c r="B189" s="285">
        <v>100853</v>
      </c>
      <c r="C189" s="285" t="s">
        <v>13</v>
      </c>
      <c r="D189" s="329" t="s">
        <v>218</v>
      </c>
      <c r="E189" s="285" t="s">
        <v>14</v>
      </c>
      <c r="F189" s="389">
        <f>'Memória de Cálculo'!J872</f>
        <v>8</v>
      </c>
      <c r="G189" s="509">
        <v>388.54</v>
      </c>
      <c r="H189" s="288">
        <f t="shared" si="51"/>
        <v>0.2452</v>
      </c>
      <c r="I189" s="287">
        <f t="shared" si="52"/>
        <v>483.81</v>
      </c>
      <c r="J189" s="287">
        <f t="shared" si="53"/>
        <v>3108.32</v>
      </c>
      <c r="K189" s="287">
        <f t="shared" si="54"/>
        <v>3870.48</v>
      </c>
      <c r="L189" s="289">
        <f t="shared" si="55"/>
        <v>4.4676549517542142E-3</v>
      </c>
      <c r="M189" s="645">
        <v>316.49</v>
      </c>
    </row>
    <row r="190" spans="1:13" s="645" customFormat="1" ht="45.75" customHeight="1" x14ac:dyDescent="0.25">
      <c r="A190" s="651" t="s">
        <v>992</v>
      </c>
      <c r="B190" s="285">
        <v>100860</v>
      </c>
      <c r="C190" s="285" t="s">
        <v>13</v>
      </c>
      <c r="D190" s="329" t="s">
        <v>146</v>
      </c>
      <c r="E190" s="285" t="s">
        <v>14</v>
      </c>
      <c r="F190" s="389">
        <f>'Memória de Cálculo'!J876</f>
        <v>2</v>
      </c>
      <c r="G190" s="509">
        <v>129.36000000000001</v>
      </c>
      <c r="H190" s="288">
        <f t="shared" si="51"/>
        <v>0.2452</v>
      </c>
      <c r="I190" s="287">
        <f t="shared" si="52"/>
        <v>161.07</v>
      </c>
      <c r="J190" s="287">
        <f t="shared" si="53"/>
        <v>258.72000000000003</v>
      </c>
      <c r="K190" s="287">
        <f t="shared" si="54"/>
        <v>322.14</v>
      </c>
      <c r="L190" s="289">
        <f t="shared" si="55"/>
        <v>3.7184286345830556E-4</v>
      </c>
      <c r="M190" s="645">
        <v>103.83</v>
      </c>
    </row>
    <row r="191" spans="1:13" s="645" customFormat="1" ht="45.75" customHeight="1" x14ac:dyDescent="0.25">
      <c r="A191" s="651" t="s">
        <v>993</v>
      </c>
      <c r="B191" s="470" t="s">
        <v>726</v>
      </c>
      <c r="C191" s="470" t="s">
        <v>581</v>
      </c>
      <c r="D191" s="471" t="s">
        <v>727</v>
      </c>
      <c r="E191" s="470" t="s">
        <v>14</v>
      </c>
      <c r="F191" s="389">
        <f>'Memória de Cálculo'!J880</f>
        <v>7</v>
      </c>
      <c r="G191" s="509">
        <v>336.92</v>
      </c>
      <c r="H191" s="288">
        <f t="shared" si="51"/>
        <v>0.2452</v>
      </c>
      <c r="I191" s="287">
        <f t="shared" si="52"/>
        <v>419.53</v>
      </c>
      <c r="J191" s="287">
        <f t="shared" si="53"/>
        <v>2358.44</v>
      </c>
      <c r="K191" s="287">
        <f t="shared" si="54"/>
        <v>2936.71</v>
      </c>
      <c r="L191" s="289">
        <f t="shared" si="55"/>
        <v>3.3898139180065828E-3</v>
      </c>
    </row>
    <row r="192" spans="1:13" s="645" customFormat="1" ht="45.75" customHeight="1" x14ac:dyDescent="0.25">
      <c r="A192" s="651" t="s">
        <v>994</v>
      </c>
      <c r="B192" s="470" t="s">
        <v>728</v>
      </c>
      <c r="C192" s="470" t="s">
        <v>15</v>
      </c>
      <c r="D192" s="471" t="s">
        <v>729</v>
      </c>
      <c r="E192" s="470" t="s">
        <v>14</v>
      </c>
      <c r="F192" s="389">
        <f>'Memória de Cálculo'!J884</f>
        <v>2</v>
      </c>
      <c r="G192" s="509">
        <v>69.91</v>
      </c>
      <c r="H192" s="288">
        <f t="shared" si="51"/>
        <v>0.2452</v>
      </c>
      <c r="I192" s="287">
        <f t="shared" si="52"/>
        <v>87.05</v>
      </c>
      <c r="J192" s="287">
        <f t="shared" si="53"/>
        <v>139.82</v>
      </c>
      <c r="K192" s="287">
        <f t="shared" si="54"/>
        <v>174.1</v>
      </c>
      <c r="L192" s="289">
        <f t="shared" si="55"/>
        <v>2.0096182569097598E-4</v>
      </c>
    </row>
    <row r="193" spans="1:13" s="645" customFormat="1" ht="22.5" customHeight="1" x14ac:dyDescent="0.25">
      <c r="A193" s="670" t="s">
        <v>114</v>
      </c>
      <c r="B193" s="293"/>
      <c r="C193" s="293"/>
      <c r="D193" s="294" t="s">
        <v>311</v>
      </c>
      <c r="E193" s="295"/>
      <c r="F193" s="391"/>
      <c r="G193" s="296"/>
      <c r="H193" s="296"/>
      <c r="I193" s="330"/>
      <c r="J193" s="331">
        <f>SUM(J194:J242)</f>
        <v>37123.629999999997</v>
      </c>
      <c r="K193" s="332">
        <f>SUM(K194:K242)</f>
        <v>46224.409999999989</v>
      </c>
      <c r="L193" s="419">
        <f t="shared" si="55"/>
        <v>5.3356357410041383E-2</v>
      </c>
    </row>
    <row r="194" spans="1:13" s="645" customFormat="1" ht="74.25" customHeight="1" x14ac:dyDescent="0.25">
      <c r="A194" s="651" t="s">
        <v>996</v>
      </c>
      <c r="B194" s="285">
        <v>94783</v>
      </c>
      <c r="C194" s="285" t="s">
        <v>13</v>
      </c>
      <c r="D194" s="329" t="s">
        <v>1161</v>
      </c>
      <c r="E194" s="285" t="s">
        <v>14</v>
      </c>
      <c r="F194" s="389">
        <f>'Memória de Cálculo'!J890</f>
        <v>2</v>
      </c>
      <c r="G194" s="537">
        <v>17.96</v>
      </c>
      <c r="H194" s="288">
        <f t="shared" ref="H194:H242" si="56">$K$4</f>
        <v>0.2452</v>
      </c>
      <c r="I194" s="287">
        <f>TRUNC(G194*1.2452,2)</f>
        <v>22.36</v>
      </c>
      <c r="J194" s="287">
        <f>TRUNC(F194*G194,2)</f>
        <v>35.92</v>
      </c>
      <c r="K194" s="287">
        <f>TRUNC(F194*I194,2)</f>
        <v>44.72</v>
      </c>
      <c r="L194" s="289">
        <f t="shared" si="55"/>
        <v>5.1619832538198993E-5</v>
      </c>
    </row>
    <row r="195" spans="1:13" s="645" customFormat="1" ht="74.25" customHeight="1" x14ac:dyDescent="0.25">
      <c r="A195" s="651" t="s">
        <v>997</v>
      </c>
      <c r="B195" s="285">
        <v>94705</v>
      </c>
      <c r="C195" s="285" t="s">
        <v>13</v>
      </c>
      <c r="D195" s="292" t="s">
        <v>1162</v>
      </c>
      <c r="E195" s="285" t="s">
        <v>14</v>
      </c>
      <c r="F195" s="389">
        <f>'Memória de Cálculo'!J894</f>
        <v>3</v>
      </c>
      <c r="G195" s="537">
        <v>34.82</v>
      </c>
      <c r="H195" s="288">
        <f t="shared" si="56"/>
        <v>0.2452</v>
      </c>
      <c r="I195" s="287">
        <f t="shared" ref="I195:I242" si="57">TRUNC(G195*1.2452,2)</f>
        <v>43.35</v>
      </c>
      <c r="J195" s="287">
        <f t="shared" ref="J195:J242" si="58">TRUNC(F195*G195,2)</f>
        <v>104.46</v>
      </c>
      <c r="K195" s="287">
        <f t="shared" ref="K195:K242" si="59">TRUNC(F195*I195,2)</f>
        <v>130.05000000000001</v>
      </c>
      <c r="L195" s="289">
        <f t="shared" si="55"/>
        <v>1.5011536720914087E-4</v>
      </c>
      <c r="M195" s="645">
        <v>7.17</v>
      </c>
    </row>
    <row r="196" spans="1:13" s="645" customFormat="1" ht="73.5" customHeight="1" x14ac:dyDescent="0.25">
      <c r="A196" s="651" t="s">
        <v>998</v>
      </c>
      <c r="B196" s="285">
        <v>94706</v>
      </c>
      <c r="C196" s="285" t="s">
        <v>13</v>
      </c>
      <c r="D196" s="329" t="s">
        <v>1163</v>
      </c>
      <c r="E196" s="285" t="s">
        <v>14</v>
      </c>
      <c r="F196" s="389">
        <f>'Memória de Cálculo'!J898</f>
        <v>2</v>
      </c>
      <c r="G196" s="537">
        <v>34.07</v>
      </c>
      <c r="H196" s="288">
        <f t="shared" si="56"/>
        <v>0.2452</v>
      </c>
      <c r="I196" s="287">
        <f t="shared" si="57"/>
        <v>42.42</v>
      </c>
      <c r="J196" s="287">
        <f t="shared" si="58"/>
        <v>68.14</v>
      </c>
      <c r="K196" s="287">
        <f t="shared" si="59"/>
        <v>84.84</v>
      </c>
      <c r="L196" s="289">
        <f t="shared" si="55"/>
        <v>9.7929932749123508E-5</v>
      </c>
      <c r="M196" s="645">
        <v>8.52</v>
      </c>
    </row>
    <row r="197" spans="1:13" s="645" customFormat="1" ht="74.25" customHeight="1" x14ac:dyDescent="0.25">
      <c r="A197" s="651" t="s">
        <v>999</v>
      </c>
      <c r="B197" s="285">
        <v>94707</v>
      </c>
      <c r="C197" s="285" t="s">
        <v>13</v>
      </c>
      <c r="D197" s="329" t="s">
        <v>1164</v>
      </c>
      <c r="E197" s="285" t="s">
        <v>14</v>
      </c>
      <c r="F197" s="389">
        <f>'Memória de Cálculo'!J902</f>
        <v>1</v>
      </c>
      <c r="G197" s="537">
        <v>53.65</v>
      </c>
      <c r="H197" s="288">
        <f t="shared" si="56"/>
        <v>0.2452</v>
      </c>
      <c r="I197" s="287">
        <f t="shared" si="57"/>
        <v>66.8</v>
      </c>
      <c r="J197" s="287">
        <f t="shared" si="58"/>
        <v>53.65</v>
      </c>
      <c r="K197" s="287">
        <f t="shared" si="59"/>
        <v>66.8</v>
      </c>
      <c r="L197" s="289">
        <f t="shared" si="55"/>
        <v>7.7106547709116562E-5</v>
      </c>
      <c r="M197" s="645">
        <v>40.65</v>
      </c>
    </row>
    <row r="198" spans="1:13" s="645" customFormat="1" ht="57" customHeight="1" x14ac:dyDescent="0.25">
      <c r="A198" s="651" t="s">
        <v>1000</v>
      </c>
      <c r="B198" s="285">
        <v>89376</v>
      </c>
      <c r="C198" s="285" t="s">
        <v>13</v>
      </c>
      <c r="D198" s="329" t="s">
        <v>319</v>
      </c>
      <c r="E198" s="285" t="s">
        <v>14</v>
      </c>
      <c r="F198" s="389">
        <f>'Memória de Cálculo'!J906</f>
        <v>2</v>
      </c>
      <c r="G198" s="537">
        <v>5.69</v>
      </c>
      <c r="H198" s="288">
        <f t="shared" si="56"/>
        <v>0.2452</v>
      </c>
      <c r="I198" s="287">
        <f t="shared" si="57"/>
        <v>7.08</v>
      </c>
      <c r="J198" s="287">
        <f t="shared" si="58"/>
        <v>11.38</v>
      </c>
      <c r="K198" s="287">
        <f t="shared" si="59"/>
        <v>14.16</v>
      </c>
      <c r="L198" s="289">
        <f t="shared" si="55"/>
        <v>1.6344741250914532E-5</v>
      </c>
      <c r="M198" s="645">
        <v>12.53</v>
      </c>
    </row>
    <row r="199" spans="1:13" s="645" customFormat="1" ht="60" customHeight="1" x14ac:dyDescent="0.25">
      <c r="A199" s="651" t="s">
        <v>1001</v>
      </c>
      <c r="B199" s="285">
        <v>103994</v>
      </c>
      <c r="C199" s="285" t="s">
        <v>13</v>
      </c>
      <c r="D199" s="329" t="s">
        <v>320</v>
      </c>
      <c r="E199" s="285" t="s">
        <v>14</v>
      </c>
      <c r="F199" s="389">
        <f>'Memória de Cálculo'!J910</f>
        <v>6</v>
      </c>
      <c r="G199" s="537">
        <v>13.78</v>
      </c>
      <c r="H199" s="288">
        <f t="shared" si="56"/>
        <v>0.2452</v>
      </c>
      <c r="I199" s="287">
        <f t="shared" si="57"/>
        <v>17.149999999999999</v>
      </c>
      <c r="J199" s="287">
        <f t="shared" si="58"/>
        <v>82.68</v>
      </c>
      <c r="K199" s="287">
        <f t="shared" si="59"/>
        <v>102.9</v>
      </c>
      <c r="L199" s="289">
        <f t="shared" si="55"/>
        <v>1.1877640358185771E-4</v>
      </c>
      <c r="M199" s="645">
        <v>13.36</v>
      </c>
    </row>
    <row r="200" spans="1:13" s="645" customFormat="1" ht="58.5" customHeight="1" x14ac:dyDescent="0.25">
      <c r="A200" s="651" t="s">
        <v>1002</v>
      </c>
      <c r="B200" s="285">
        <v>104001</v>
      </c>
      <c r="C200" s="285" t="s">
        <v>13</v>
      </c>
      <c r="D200" s="329" t="s">
        <v>321</v>
      </c>
      <c r="E200" s="285" t="s">
        <v>14</v>
      </c>
      <c r="F200" s="389">
        <f>'Memória de Cálculo'!J914</f>
        <v>12</v>
      </c>
      <c r="G200" s="537">
        <v>13.51</v>
      </c>
      <c r="H200" s="288">
        <f t="shared" si="56"/>
        <v>0.2452</v>
      </c>
      <c r="I200" s="287">
        <f t="shared" si="57"/>
        <v>16.82</v>
      </c>
      <c r="J200" s="287">
        <f t="shared" si="58"/>
        <v>162.12</v>
      </c>
      <c r="K200" s="287">
        <f t="shared" si="59"/>
        <v>201.84</v>
      </c>
      <c r="L200" s="289">
        <f t="shared" si="55"/>
        <v>2.3298182020371389E-4</v>
      </c>
      <c r="M200" s="645">
        <v>15.71</v>
      </c>
    </row>
    <row r="201" spans="1:13" s="645" customFormat="1" ht="42.75" customHeight="1" x14ac:dyDescent="0.25">
      <c r="A201" s="651" t="s">
        <v>1003</v>
      </c>
      <c r="B201" s="285">
        <v>102111</v>
      </c>
      <c r="C201" s="285" t="s">
        <v>13</v>
      </c>
      <c r="D201" s="329" t="s">
        <v>1165</v>
      </c>
      <c r="E201" s="285" t="s">
        <v>14</v>
      </c>
      <c r="F201" s="389">
        <f>'Memória de Cálculo'!J918</f>
        <v>2</v>
      </c>
      <c r="G201" s="537">
        <v>824.88</v>
      </c>
      <c r="H201" s="288">
        <f t="shared" si="56"/>
        <v>0.2452</v>
      </c>
      <c r="I201" s="287">
        <f t="shared" si="57"/>
        <v>1027.1400000000001</v>
      </c>
      <c r="J201" s="287">
        <f t="shared" si="58"/>
        <v>1649.76</v>
      </c>
      <c r="K201" s="287">
        <f t="shared" si="59"/>
        <v>2054.2800000000002</v>
      </c>
      <c r="L201" s="289">
        <f t="shared" si="55"/>
        <v>2.3712341141898805E-3</v>
      </c>
      <c r="M201" s="645">
        <v>7.74</v>
      </c>
    </row>
    <row r="202" spans="1:13" s="645" customFormat="1" ht="54" customHeight="1" x14ac:dyDescent="0.25">
      <c r="A202" s="651" t="s">
        <v>1004</v>
      </c>
      <c r="B202" s="285">
        <v>103948</v>
      </c>
      <c r="C202" s="285" t="s">
        <v>13</v>
      </c>
      <c r="D202" s="329" t="s">
        <v>313</v>
      </c>
      <c r="E202" s="285" t="s">
        <v>14</v>
      </c>
      <c r="F202" s="389">
        <f>'Memória de Cálculo'!J922</f>
        <v>5</v>
      </c>
      <c r="G202" s="537">
        <v>7.9</v>
      </c>
      <c r="H202" s="288">
        <f t="shared" si="56"/>
        <v>0.2452</v>
      </c>
      <c r="I202" s="287">
        <f t="shared" si="57"/>
        <v>9.83</v>
      </c>
      <c r="J202" s="287">
        <f t="shared" si="58"/>
        <v>39.5</v>
      </c>
      <c r="K202" s="287">
        <f t="shared" si="59"/>
        <v>49.15</v>
      </c>
      <c r="L202" s="289">
        <f t="shared" si="55"/>
        <v>5.6733335627291605E-5</v>
      </c>
      <c r="M202" s="645">
        <v>11.79</v>
      </c>
    </row>
    <row r="203" spans="1:13" s="645" customFormat="1" ht="53.25" customHeight="1" x14ac:dyDescent="0.25">
      <c r="A203" s="651" t="s">
        <v>1005</v>
      </c>
      <c r="B203" s="285">
        <v>104009</v>
      </c>
      <c r="C203" s="285" t="s">
        <v>13</v>
      </c>
      <c r="D203" s="329" t="s">
        <v>407</v>
      </c>
      <c r="E203" s="285" t="s">
        <v>14</v>
      </c>
      <c r="F203" s="389">
        <f>'Memória de Cálculo'!J926</f>
        <v>3</v>
      </c>
      <c r="G203" s="537">
        <v>13.05</v>
      </c>
      <c r="H203" s="288">
        <f t="shared" si="56"/>
        <v>0.2452</v>
      </c>
      <c r="I203" s="287">
        <f t="shared" si="57"/>
        <v>16.239999999999998</v>
      </c>
      <c r="J203" s="287">
        <f t="shared" si="58"/>
        <v>39.15</v>
      </c>
      <c r="K203" s="287">
        <f t="shared" si="59"/>
        <v>48.72</v>
      </c>
      <c r="L203" s="289">
        <f t="shared" si="55"/>
        <v>5.623699108365508E-5</v>
      </c>
    </row>
    <row r="204" spans="1:13" s="645" customFormat="1" ht="57.75" customHeight="1" x14ac:dyDescent="0.25">
      <c r="A204" s="651" t="s">
        <v>1006</v>
      </c>
      <c r="B204" s="285">
        <v>103971</v>
      </c>
      <c r="C204" s="285" t="s">
        <v>13</v>
      </c>
      <c r="D204" s="329" t="s">
        <v>408</v>
      </c>
      <c r="E204" s="285" t="s">
        <v>14</v>
      </c>
      <c r="F204" s="389">
        <f>'Memória de Cálculo'!J930</f>
        <v>1</v>
      </c>
      <c r="G204" s="537">
        <v>23.77</v>
      </c>
      <c r="H204" s="288">
        <f t="shared" si="56"/>
        <v>0.2452</v>
      </c>
      <c r="I204" s="287">
        <f t="shared" si="57"/>
        <v>29.59</v>
      </c>
      <c r="J204" s="287">
        <f t="shared" si="58"/>
        <v>23.77</v>
      </c>
      <c r="K204" s="287">
        <f t="shared" si="59"/>
        <v>29.59</v>
      </c>
      <c r="L204" s="289">
        <f t="shared" si="55"/>
        <v>3.4155430340011368E-5</v>
      </c>
      <c r="M204" s="645">
        <v>21.36</v>
      </c>
    </row>
    <row r="205" spans="1:13" s="645" customFormat="1" ht="57" customHeight="1" x14ac:dyDescent="0.25">
      <c r="A205" s="651" t="s">
        <v>1007</v>
      </c>
      <c r="B205" s="285">
        <v>103993</v>
      </c>
      <c r="C205" s="285" t="s">
        <v>13</v>
      </c>
      <c r="D205" s="329" t="s">
        <v>318</v>
      </c>
      <c r="E205" s="285" t="s">
        <v>14</v>
      </c>
      <c r="F205" s="389">
        <f>'Memória de Cálculo'!J934</f>
        <v>3</v>
      </c>
      <c r="G205" s="537">
        <v>9.75</v>
      </c>
      <c r="H205" s="288">
        <f t="shared" si="56"/>
        <v>0.2452</v>
      </c>
      <c r="I205" s="287">
        <f t="shared" si="57"/>
        <v>12.14</v>
      </c>
      <c r="J205" s="287">
        <f t="shared" si="58"/>
        <v>29.25</v>
      </c>
      <c r="K205" s="287">
        <f t="shared" si="59"/>
        <v>36.42</v>
      </c>
      <c r="L205" s="289">
        <f t="shared" si="55"/>
        <v>4.2039228556377629E-5</v>
      </c>
      <c r="M205" s="645">
        <v>18.739999999999998</v>
      </c>
    </row>
    <row r="206" spans="1:13" s="645" customFormat="1" ht="54.75" customHeight="1" x14ac:dyDescent="0.25">
      <c r="A206" s="651" t="s">
        <v>1008</v>
      </c>
      <c r="B206" s="285">
        <v>104014</v>
      </c>
      <c r="C206" s="285" t="s">
        <v>13</v>
      </c>
      <c r="D206" s="329" t="s">
        <v>421</v>
      </c>
      <c r="E206" s="285" t="s">
        <v>14</v>
      </c>
      <c r="F206" s="389">
        <f>'Memória de Cálculo'!J938</f>
        <v>1</v>
      </c>
      <c r="G206" s="537">
        <v>10.58</v>
      </c>
      <c r="H206" s="288">
        <f t="shared" si="56"/>
        <v>0.2452</v>
      </c>
      <c r="I206" s="287">
        <f t="shared" si="57"/>
        <v>13.17</v>
      </c>
      <c r="J206" s="287">
        <f t="shared" si="58"/>
        <v>10.58</v>
      </c>
      <c r="K206" s="287">
        <f t="shared" si="59"/>
        <v>13.17</v>
      </c>
      <c r="L206" s="289">
        <f t="shared" si="55"/>
        <v>1.5201994510914149E-5</v>
      </c>
      <c r="M206" s="645">
        <v>23.72</v>
      </c>
    </row>
    <row r="207" spans="1:13" s="645" customFormat="1" ht="45" customHeight="1" x14ac:dyDescent="0.25">
      <c r="A207" s="651" t="s">
        <v>1009</v>
      </c>
      <c r="B207" s="285" t="s">
        <v>89</v>
      </c>
      <c r="C207" s="285" t="s">
        <v>179</v>
      </c>
      <c r="D207" s="329" t="s">
        <v>355</v>
      </c>
      <c r="E207" s="285" t="s">
        <v>14</v>
      </c>
      <c r="F207" s="389">
        <f>'Memória de Cálculo'!J942</f>
        <v>2</v>
      </c>
      <c r="G207" s="537">
        <f>Composições!J80</f>
        <v>1390.84</v>
      </c>
      <c r="H207" s="288">
        <f t="shared" si="56"/>
        <v>0.2452</v>
      </c>
      <c r="I207" s="287">
        <f t="shared" si="57"/>
        <v>1731.87</v>
      </c>
      <c r="J207" s="287">
        <f t="shared" si="58"/>
        <v>2781.68</v>
      </c>
      <c r="K207" s="287">
        <f t="shared" si="59"/>
        <v>3463.74</v>
      </c>
      <c r="L207" s="289">
        <f t="shared" si="55"/>
        <v>3.9981591850595122E-3</v>
      </c>
      <c r="M207" s="645">
        <v>19.66</v>
      </c>
    </row>
    <row r="208" spans="1:13" s="645" customFormat="1" ht="52.5" customHeight="1" x14ac:dyDescent="0.25">
      <c r="A208" s="651" t="s">
        <v>1010</v>
      </c>
      <c r="B208" s="285">
        <v>89366</v>
      </c>
      <c r="C208" s="285" t="s">
        <v>13</v>
      </c>
      <c r="D208" s="329" t="s">
        <v>310</v>
      </c>
      <c r="E208" s="285" t="s">
        <v>14</v>
      </c>
      <c r="F208" s="389">
        <f>'Memória de Cálculo'!J946</f>
        <v>31</v>
      </c>
      <c r="G208" s="537">
        <v>15.95</v>
      </c>
      <c r="H208" s="288">
        <f t="shared" si="56"/>
        <v>0.2452</v>
      </c>
      <c r="I208" s="287">
        <f t="shared" si="57"/>
        <v>19.86</v>
      </c>
      <c r="J208" s="287">
        <f t="shared" si="58"/>
        <v>494.45</v>
      </c>
      <c r="K208" s="287">
        <f t="shared" si="59"/>
        <v>615.66</v>
      </c>
      <c r="L208" s="289">
        <f t="shared" si="55"/>
        <v>7.1064995752387285E-4</v>
      </c>
      <c r="M208" s="645">
        <v>27.31</v>
      </c>
    </row>
    <row r="209" spans="1:13" s="645" customFormat="1" ht="47.25" customHeight="1" x14ac:dyDescent="0.25">
      <c r="A209" s="651" t="s">
        <v>1011</v>
      </c>
      <c r="B209" s="285">
        <v>89358</v>
      </c>
      <c r="C209" s="285" t="s">
        <v>13</v>
      </c>
      <c r="D209" s="494" t="s">
        <v>308</v>
      </c>
      <c r="E209" s="285" t="s">
        <v>14</v>
      </c>
      <c r="F209" s="389">
        <f>'Memória de Cálculo'!J950</f>
        <v>10</v>
      </c>
      <c r="G209" s="537">
        <v>8.07</v>
      </c>
      <c r="H209" s="288">
        <f t="shared" si="56"/>
        <v>0.2452</v>
      </c>
      <c r="I209" s="287">
        <f t="shared" si="57"/>
        <v>10.039999999999999</v>
      </c>
      <c r="J209" s="287">
        <f t="shared" si="58"/>
        <v>80.7</v>
      </c>
      <c r="K209" s="287">
        <f t="shared" si="59"/>
        <v>100.4</v>
      </c>
      <c r="L209" s="289">
        <f t="shared" si="55"/>
        <v>1.1589067949094767E-4</v>
      </c>
      <c r="M209" s="645">
        <v>37.090000000000003</v>
      </c>
    </row>
    <row r="210" spans="1:13" s="645" customFormat="1" ht="43.5" customHeight="1" x14ac:dyDescent="0.25">
      <c r="A210" s="651" t="s">
        <v>1012</v>
      </c>
      <c r="B210" s="285">
        <v>89362</v>
      </c>
      <c r="C210" s="285" t="s">
        <v>13</v>
      </c>
      <c r="D210" s="292" t="s">
        <v>309</v>
      </c>
      <c r="E210" s="285" t="s">
        <v>14</v>
      </c>
      <c r="F210" s="389">
        <f>'Memória de Cálculo'!J954</f>
        <v>82</v>
      </c>
      <c r="G210" s="537">
        <v>9.59</v>
      </c>
      <c r="H210" s="288">
        <f t="shared" si="56"/>
        <v>0.2452</v>
      </c>
      <c r="I210" s="287">
        <f t="shared" si="57"/>
        <v>11.94</v>
      </c>
      <c r="J210" s="287">
        <f t="shared" si="58"/>
        <v>786.38</v>
      </c>
      <c r="K210" s="287">
        <f t="shared" si="59"/>
        <v>979.08</v>
      </c>
      <c r="L210" s="289">
        <f t="shared" si="55"/>
        <v>1.1301418971712853E-3</v>
      </c>
      <c r="M210" s="645">
        <v>42.96</v>
      </c>
    </row>
    <row r="211" spans="1:13" s="645" customFormat="1" ht="40.5" customHeight="1" x14ac:dyDescent="0.25">
      <c r="A211" s="651" t="s">
        <v>1013</v>
      </c>
      <c r="B211" s="285">
        <v>89367</v>
      </c>
      <c r="C211" s="285" t="s">
        <v>13</v>
      </c>
      <c r="D211" s="329" t="s">
        <v>420</v>
      </c>
      <c r="E211" s="285" t="s">
        <v>14</v>
      </c>
      <c r="F211" s="389">
        <f>'Memória de Cálculo'!J962</f>
        <v>2</v>
      </c>
      <c r="G211" s="537">
        <v>13.1</v>
      </c>
      <c r="H211" s="288">
        <f t="shared" si="56"/>
        <v>0.2452</v>
      </c>
      <c r="I211" s="287">
        <f t="shared" si="57"/>
        <v>16.309999999999999</v>
      </c>
      <c r="J211" s="287">
        <f t="shared" si="58"/>
        <v>26.2</v>
      </c>
      <c r="K211" s="287">
        <f t="shared" si="59"/>
        <v>32.619999999999997</v>
      </c>
      <c r="L211" s="289">
        <f t="shared" si="55"/>
        <v>3.7652927938194347E-5</v>
      </c>
      <c r="M211" s="645">
        <v>63.76</v>
      </c>
    </row>
    <row r="212" spans="1:13" s="645" customFormat="1" ht="40.5" customHeight="1" x14ac:dyDescent="0.25">
      <c r="A212" s="651" t="s">
        <v>1014</v>
      </c>
      <c r="B212" s="285">
        <v>89497</v>
      </c>
      <c r="C212" s="285" t="s">
        <v>13</v>
      </c>
      <c r="D212" s="292" t="s">
        <v>315</v>
      </c>
      <c r="E212" s="285" t="s">
        <v>14</v>
      </c>
      <c r="F212" s="389">
        <f>'Memória de Cálculo'!J966</f>
        <v>3</v>
      </c>
      <c r="G212" s="537">
        <v>12.86</v>
      </c>
      <c r="H212" s="288">
        <f t="shared" si="56"/>
        <v>0.2452</v>
      </c>
      <c r="I212" s="287">
        <f t="shared" si="57"/>
        <v>16.010000000000002</v>
      </c>
      <c r="J212" s="287">
        <f t="shared" si="58"/>
        <v>38.58</v>
      </c>
      <c r="K212" s="287">
        <f t="shared" si="59"/>
        <v>48.03</v>
      </c>
      <c r="L212" s="289">
        <f t="shared" si="55"/>
        <v>5.5440531234563905E-5</v>
      </c>
      <c r="M212" s="645">
        <v>7.12</v>
      </c>
    </row>
    <row r="213" spans="1:13" s="645" customFormat="1" ht="44.25" customHeight="1" x14ac:dyDescent="0.25">
      <c r="A213" s="651" t="s">
        <v>1015</v>
      </c>
      <c r="B213" s="285">
        <v>89501</v>
      </c>
      <c r="C213" s="285" t="s">
        <v>13</v>
      </c>
      <c r="D213" s="469" t="s">
        <v>316</v>
      </c>
      <c r="E213" s="285" t="s">
        <v>14</v>
      </c>
      <c r="F213" s="389">
        <f>'Memória de Cálculo'!J970</f>
        <v>10</v>
      </c>
      <c r="G213" s="537">
        <v>14.04</v>
      </c>
      <c r="H213" s="288">
        <f t="shared" si="56"/>
        <v>0.2452</v>
      </c>
      <c r="I213" s="287">
        <f t="shared" si="57"/>
        <v>17.48</v>
      </c>
      <c r="J213" s="287">
        <f t="shared" si="58"/>
        <v>140.4</v>
      </c>
      <c r="K213" s="287">
        <f t="shared" si="59"/>
        <v>174.8</v>
      </c>
      <c r="L213" s="289">
        <f t="shared" si="55"/>
        <v>2.0176982843643081E-4</v>
      </c>
      <c r="M213" s="645">
        <v>12.21</v>
      </c>
    </row>
    <row r="214" spans="1:13" s="645" customFormat="1" ht="44.25" customHeight="1" x14ac:dyDescent="0.25">
      <c r="A214" s="651" t="s">
        <v>1016</v>
      </c>
      <c r="B214" s="285">
        <v>89505</v>
      </c>
      <c r="C214" s="285" t="s">
        <v>13</v>
      </c>
      <c r="D214" s="469" t="s">
        <v>409</v>
      </c>
      <c r="E214" s="285" t="s">
        <v>14</v>
      </c>
      <c r="F214" s="389">
        <f>'Memória de Cálculo'!J974</f>
        <v>2</v>
      </c>
      <c r="G214" s="537">
        <v>39.18</v>
      </c>
      <c r="H214" s="288">
        <f t="shared" si="56"/>
        <v>0.2452</v>
      </c>
      <c r="I214" s="287">
        <f t="shared" si="57"/>
        <v>48.78</v>
      </c>
      <c r="J214" s="287">
        <f t="shared" si="58"/>
        <v>78.36</v>
      </c>
      <c r="K214" s="287">
        <f t="shared" si="59"/>
        <v>97.56</v>
      </c>
      <c r="L214" s="289">
        <f t="shared" ref="L214:L245" si="60">K214/$J$321</f>
        <v>1.1261249692367384E-4</v>
      </c>
      <c r="M214" s="645">
        <v>8.98</v>
      </c>
    </row>
    <row r="215" spans="1:13" s="645" customFormat="1" ht="33.75" customHeight="1" x14ac:dyDescent="0.25">
      <c r="A215" s="651" t="s">
        <v>1017</v>
      </c>
      <c r="B215" s="285">
        <v>104058</v>
      </c>
      <c r="C215" s="285" t="s">
        <v>13</v>
      </c>
      <c r="D215" s="329" t="s">
        <v>424</v>
      </c>
      <c r="E215" s="285" t="s">
        <v>14</v>
      </c>
      <c r="F215" s="389">
        <f>'Memória de Cálculo'!J978</f>
        <v>1</v>
      </c>
      <c r="G215" s="537">
        <v>6.49</v>
      </c>
      <c r="H215" s="288">
        <f t="shared" si="56"/>
        <v>0.2452</v>
      </c>
      <c r="I215" s="287">
        <f t="shared" si="57"/>
        <v>8.08</v>
      </c>
      <c r="J215" s="287">
        <f t="shared" si="58"/>
        <v>6.49</v>
      </c>
      <c r="K215" s="287">
        <f t="shared" si="59"/>
        <v>8.08</v>
      </c>
      <c r="L215" s="289">
        <f t="shared" si="60"/>
        <v>9.3266602618212863E-6</v>
      </c>
      <c r="M215" s="645">
        <v>24.44</v>
      </c>
    </row>
    <row r="216" spans="1:13" s="645" customFormat="1" ht="54" customHeight="1" x14ac:dyDescent="0.25">
      <c r="A216" s="651" t="s">
        <v>1018</v>
      </c>
      <c r="B216" s="285">
        <v>89385</v>
      </c>
      <c r="C216" s="285" t="s">
        <v>13</v>
      </c>
      <c r="D216" s="329" t="s">
        <v>425</v>
      </c>
      <c r="E216" s="285" t="s">
        <v>14</v>
      </c>
      <c r="F216" s="389">
        <f>'Memória de Cálculo'!J982</f>
        <v>2</v>
      </c>
      <c r="G216" s="537">
        <v>7.24</v>
      </c>
      <c r="H216" s="288">
        <f t="shared" si="56"/>
        <v>0.2452</v>
      </c>
      <c r="I216" s="287">
        <f t="shared" si="57"/>
        <v>9.01</v>
      </c>
      <c r="J216" s="287">
        <f t="shared" si="58"/>
        <v>14.48</v>
      </c>
      <c r="K216" s="287">
        <f t="shared" si="59"/>
        <v>18.02</v>
      </c>
      <c r="L216" s="289">
        <f t="shared" si="60"/>
        <v>2.080029924727965E-5</v>
      </c>
      <c r="M216" s="645">
        <v>5.16</v>
      </c>
    </row>
    <row r="217" spans="1:13" s="645" customFormat="1" ht="40.5" customHeight="1" x14ac:dyDescent="0.25">
      <c r="A217" s="651" t="s">
        <v>1019</v>
      </c>
      <c r="B217" s="285">
        <v>94497</v>
      </c>
      <c r="C217" s="285" t="s">
        <v>13</v>
      </c>
      <c r="D217" s="329" t="s">
        <v>412</v>
      </c>
      <c r="E217" s="285" t="s">
        <v>14</v>
      </c>
      <c r="F217" s="389">
        <f>'Memória de Cálculo'!J986</f>
        <v>12</v>
      </c>
      <c r="G217" s="537">
        <v>121.09</v>
      </c>
      <c r="H217" s="288">
        <f t="shared" si="56"/>
        <v>0.2452</v>
      </c>
      <c r="I217" s="287">
        <f t="shared" si="57"/>
        <v>150.78</v>
      </c>
      <c r="J217" s="287">
        <f t="shared" si="58"/>
        <v>1453.08</v>
      </c>
      <c r="K217" s="287">
        <f t="shared" si="59"/>
        <v>1809.36</v>
      </c>
      <c r="L217" s="289">
        <f t="shared" si="60"/>
        <v>2.0885254964516041E-3</v>
      </c>
      <c r="M217" s="645">
        <v>18.78</v>
      </c>
    </row>
    <row r="218" spans="1:13" s="645" customFormat="1" ht="38.25" customHeight="1" x14ac:dyDescent="0.25">
      <c r="A218" s="651" t="s">
        <v>1020</v>
      </c>
      <c r="B218" s="285">
        <v>94496</v>
      </c>
      <c r="C218" s="285" t="s">
        <v>13</v>
      </c>
      <c r="D218" s="329" t="s">
        <v>323</v>
      </c>
      <c r="E218" s="285" t="s">
        <v>14</v>
      </c>
      <c r="F218" s="389">
        <f>'Memória de Cálculo'!J990</f>
        <v>7</v>
      </c>
      <c r="G218" s="537">
        <v>95.59</v>
      </c>
      <c r="H218" s="288">
        <f t="shared" si="56"/>
        <v>0.2452</v>
      </c>
      <c r="I218" s="287">
        <f t="shared" si="57"/>
        <v>119.02</v>
      </c>
      <c r="J218" s="287">
        <f t="shared" si="58"/>
        <v>669.13</v>
      </c>
      <c r="K218" s="287">
        <f t="shared" si="59"/>
        <v>833.14</v>
      </c>
      <c r="L218" s="289">
        <f t="shared" si="60"/>
        <v>9.6168486764032003E-4</v>
      </c>
      <c r="M218" s="645">
        <v>10.68</v>
      </c>
    </row>
    <row r="219" spans="1:13" s="645" customFormat="1" ht="53.25" customHeight="1" x14ac:dyDescent="0.25">
      <c r="A219" s="651" t="s">
        <v>1021</v>
      </c>
      <c r="B219" s="285">
        <v>89986</v>
      </c>
      <c r="C219" s="285" t="s">
        <v>13</v>
      </c>
      <c r="D219" s="329" t="s">
        <v>322</v>
      </c>
      <c r="E219" s="285" t="s">
        <v>14</v>
      </c>
      <c r="F219" s="389">
        <f>'Memória de Cálculo'!J994</f>
        <v>1</v>
      </c>
      <c r="G219" s="537">
        <v>94.93</v>
      </c>
      <c r="H219" s="288">
        <f t="shared" si="56"/>
        <v>0.2452</v>
      </c>
      <c r="I219" s="287">
        <f t="shared" si="57"/>
        <v>118.2</v>
      </c>
      <c r="J219" s="287">
        <f t="shared" si="58"/>
        <v>94.93</v>
      </c>
      <c r="K219" s="287">
        <f t="shared" si="59"/>
        <v>118.2</v>
      </c>
      <c r="L219" s="289">
        <f t="shared" si="60"/>
        <v>1.3643703501822722E-4</v>
      </c>
      <c r="M219" s="645">
        <v>12.79</v>
      </c>
    </row>
    <row r="220" spans="1:13" s="645" customFormat="1" ht="48.75" customHeight="1" x14ac:dyDescent="0.25">
      <c r="A220" s="651" t="s">
        <v>1022</v>
      </c>
      <c r="B220" s="285" t="s">
        <v>281</v>
      </c>
      <c r="C220" s="285" t="s">
        <v>179</v>
      </c>
      <c r="D220" s="329" t="s">
        <v>333</v>
      </c>
      <c r="E220" s="285" t="s">
        <v>14</v>
      </c>
      <c r="F220" s="389">
        <f>'Memória de Cálculo'!J998</f>
        <v>1</v>
      </c>
      <c r="G220" s="537">
        <f>Composições!J105</f>
        <v>14501.75</v>
      </c>
      <c r="H220" s="288">
        <f t="shared" si="56"/>
        <v>0.2452</v>
      </c>
      <c r="I220" s="287">
        <f t="shared" si="57"/>
        <v>18057.57</v>
      </c>
      <c r="J220" s="287">
        <f t="shared" si="58"/>
        <v>14501.75</v>
      </c>
      <c r="K220" s="287">
        <f t="shared" si="59"/>
        <v>18057.57</v>
      </c>
      <c r="L220" s="289">
        <f t="shared" si="60"/>
        <v>2.0843665908917845E-2</v>
      </c>
      <c r="M220" s="645">
        <v>27.73</v>
      </c>
    </row>
    <row r="221" spans="1:13" s="645" customFormat="1" ht="46.5" customHeight="1" x14ac:dyDescent="0.25">
      <c r="A221" s="651" t="s">
        <v>1023</v>
      </c>
      <c r="B221" s="285">
        <v>89395</v>
      </c>
      <c r="C221" s="285" t="s">
        <v>13</v>
      </c>
      <c r="D221" s="494" t="s">
        <v>312</v>
      </c>
      <c r="E221" s="285" t="s">
        <v>14</v>
      </c>
      <c r="F221" s="389">
        <f>'Memória de Cálculo'!J1002</f>
        <v>21</v>
      </c>
      <c r="G221" s="537">
        <v>13.19</v>
      </c>
      <c r="H221" s="288">
        <f t="shared" si="56"/>
        <v>0.2452</v>
      </c>
      <c r="I221" s="287">
        <f t="shared" si="57"/>
        <v>16.420000000000002</v>
      </c>
      <c r="J221" s="287">
        <f t="shared" si="58"/>
        <v>276.99</v>
      </c>
      <c r="K221" s="287">
        <f t="shared" si="59"/>
        <v>344.82</v>
      </c>
      <c r="L221" s="289">
        <f t="shared" si="60"/>
        <v>3.9802215241104152E-4</v>
      </c>
      <c r="M221" s="645">
        <v>791.05</v>
      </c>
    </row>
    <row r="222" spans="1:13" s="645" customFormat="1" ht="48" customHeight="1" x14ac:dyDescent="0.25">
      <c r="A222" s="651" t="s">
        <v>1024</v>
      </c>
      <c r="B222" s="285">
        <v>104011</v>
      </c>
      <c r="C222" s="285" t="s">
        <v>13</v>
      </c>
      <c r="D222" s="329" t="s">
        <v>422</v>
      </c>
      <c r="E222" s="285" t="s">
        <v>14</v>
      </c>
      <c r="F222" s="389">
        <f>'Memória de Cálculo'!J1006</f>
        <v>2</v>
      </c>
      <c r="G222" s="537">
        <v>24.8</v>
      </c>
      <c r="H222" s="288">
        <f t="shared" si="56"/>
        <v>0.2452</v>
      </c>
      <c r="I222" s="287">
        <f t="shared" si="57"/>
        <v>30.88</v>
      </c>
      <c r="J222" s="287">
        <f t="shared" si="58"/>
        <v>49.6</v>
      </c>
      <c r="K222" s="287">
        <f t="shared" si="59"/>
        <v>61.76</v>
      </c>
      <c r="L222" s="289">
        <f t="shared" si="60"/>
        <v>7.1288927941841909E-5</v>
      </c>
      <c r="M222" s="645">
        <v>9.7799999999999994</v>
      </c>
    </row>
    <row r="223" spans="1:13" s="645" customFormat="1" ht="60" customHeight="1" x14ac:dyDescent="0.25">
      <c r="A223" s="651" t="s">
        <v>1025</v>
      </c>
      <c r="B223" s="285">
        <v>90374</v>
      </c>
      <c r="C223" s="285" t="s">
        <v>13</v>
      </c>
      <c r="D223" s="329" t="s">
        <v>329</v>
      </c>
      <c r="E223" s="285" t="s">
        <v>14</v>
      </c>
      <c r="F223" s="389">
        <f>'Memória de Cálculo'!J1010</f>
        <v>3</v>
      </c>
      <c r="G223" s="537">
        <v>21.69</v>
      </c>
      <c r="H223" s="288">
        <f t="shared" si="56"/>
        <v>0.2452</v>
      </c>
      <c r="I223" s="287">
        <f t="shared" si="57"/>
        <v>27</v>
      </c>
      <c r="J223" s="287">
        <f t="shared" si="58"/>
        <v>65.069999999999993</v>
      </c>
      <c r="K223" s="287">
        <f t="shared" si="59"/>
        <v>81</v>
      </c>
      <c r="L223" s="289">
        <f t="shared" si="60"/>
        <v>9.3497460545485662E-5</v>
      </c>
      <c r="M223" s="645">
        <v>11.56</v>
      </c>
    </row>
    <row r="224" spans="1:13" s="645" customFormat="1" ht="42.75" customHeight="1" x14ac:dyDescent="0.25">
      <c r="A224" s="651" t="s">
        <v>1026</v>
      </c>
      <c r="B224" s="285">
        <v>89400</v>
      </c>
      <c r="C224" s="285" t="s">
        <v>13</v>
      </c>
      <c r="D224" s="292" t="s">
        <v>317</v>
      </c>
      <c r="E224" s="285" t="s">
        <v>14</v>
      </c>
      <c r="F224" s="389">
        <f>'Memória de Cálculo'!J1014</f>
        <v>3</v>
      </c>
      <c r="G224" s="537">
        <v>19.77</v>
      </c>
      <c r="H224" s="288">
        <f t="shared" si="56"/>
        <v>0.2452</v>
      </c>
      <c r="I224" s="287">
        <f t="shared" si="57"/>
        <v>24.61</v>
      </c>
      <c r="J224" s="287">
        <f t="shared" si="58"/>
        <v>59.31</v>
      </c>
      <c r="K224" s="287">
        <f t="shared" si="59"/>
        <v>73.83</v>
      </c>
      <c r="L224" s="289">
        <f t="shared" si="60"/>
        <v>8.5221203852755629E-5</v>
      </c>
      <c r="M224" s="645">
        <v>85.24</v>
      </c>
    </row>
    <row r="225" spans="1:13" s="645" customFormat="1" ht="41.25" customHeight="1" x14ac:dyDescent="0.25">
      <c r="A225" s="651" t="s">
        <v>1027</v>
      </c>
      <c r="B225" s="285" t="s">
        <v>415</v>
      </c>
      <c r="C225" s="285" t="s">
        <v>179</v>
      </c>
      <c r="D225" s="290" t="s">
        <v>426</v>
      </c>
      <c r="E225" s="285" t="s">
        <v>14</v>
      </c>
      <c r="F225" s="389">
        <f>'Memória de Cálculo'!J1018</f>
        <v>4</v>
      </c>
      <c r="G225" s="537">
        <f>Composições!J113</f>
        <v>28.6</v>
      </c>
      <c r="H225" s="288">
        <f t="shared" si="56"/>
        <v>0.2452</v>
      </c>
      <c r="I225" s="287">
        <f t="shared" si="57"/>
        <v>35.61</v>
      </c>
      <c r="J225" s="287">
        <f t="shared" si="58"/>
        <v>114.4</v>
      </c>
      <c r="K225" s="287">
        <f t="shared" si="59"/>
        <v>142.44</v>
      </c>
      <c r="L225" s="289">
        <f t="shared" si="60"/>
        <v>1.6441701580369107E-4</v>
      </c>
      <c r="M225" s="645">
        <v>96.83</v>
      </c>
    </row>
    <row r="226" spans="1:13" s="645" customFormat="1" ht="44.25" customHeight="1" x14ac:dyDescent="0.25">
      <c r="A226" s="651" t="s">
        <v>1028</v>
      </c>
      <c r="B226" s="285">
        <v>104006</v>
      </c>
      <c r="C226" s="285" t="s">
        <v>13</v>
      </c>
      <c r="D226" s="329" t="s">
        <v>413</v>
      </c>
      <c r="E226" s="285" t="s">
        <v>14</v>
      </c>
      <c r="F226" s="389">
        <f>'Memória de Cálculo'!J1022</f>
        <v>10</v>
      </c>
      <c r="G226" s="537">
        <v>24.56</v>
      </c>
      <c r="H226" s="288">
        <f t="shared" si="56"/>
        <v>0.2452</v>
      </c>
      <c r="I226" s="287">
        <f t="shared" si="57"/>
        <v>30.58</v>
      </c>
      <c r="J226" s="287">
        <f t="shared" si="58"/>
        <v>245.6</v>
      </c>
      <c r="K226" s="287">
        <f t="shared" si="59"/>
        <v>305.8</v>
      </c>
      <c r="L226" s="289">
        <f t="shared" si="60"/>
        <v>3.5298177080011746E-4</v>
      </c>
      <c r="M226" s="645">
        <v>85.78</v>
      </c>
    </row>
    <row r="227" spans="1:13" s="645" customFormat="1" ht="41.25" customHeight="1" x14ac:dyDescent="0.25">
      <c r="A227" s="651" t="s">
        <v>1029</v>
      </c>
      <c r="B227" s="285">
        <v>94795</v>
      </c>
      <c r="C227" s="285" t="s">
        <v>13</v>
      </c>
      <c r="D227" s="329" t="s">
        <v>314</v>
      </c>
      <c r="E227" s="285" t="s">
        <v>14</v>
      </c>
      <c r="F227" s="389">
        <f>'Memória de Cálculo'!J1026</f>
        <v>3</v>
      </c>
      <c r="G227" s="537">
        <v>31.86</v>
      </c>
      <c r="H227" s="288">
        <f t="shared" si="56"/>
        <v>0.2452</v>
      </c>
      <c r="I227" s="287">
        <f t="shared" si="57"/>
        <v>39.67</v>
      </c>
      <c r="J227" s="287">
        <f t="shared" si="58"/>
        <v>95.58</v>
      </c>
      <c r="K227" s="287">
        <f t="shared" si="59"/>
        <v>119.01</v>
      </c>
      <c r="L227" s="289">
        <f t="shared" si="60"/>
        <v>1.3737200962368209E-4</v>
      </c>
      <c r="M227" s="645">
        <v>150.1</v>
      </c>
    </row>
    <row r="228" spans="1:13" s="645" customFormat="1" ht="38.25" customHeight="1" x14ac:dyDescent="0.25">
      <c r="A228" s="651" t="s">
        <v>1030</v>
      </c>
      <c r="B228" s="285">
        <v>89355</v>
      </c>
      <c r="C228" s="285" t="s">
        <v>13</v>
      </c>
      <c r="D228" s="329" t="s">
        <v>324</v>
      </c>
      <c r="E228" s="285" t="s">
        <v>16</v>
      </c>
      <c r="F228" s="389">
        <f>'Memória de Cálculo'!J1030</f>
        <v>87.55</v>
      </c>
      <c r="G228" s="537">
        <v>20.64</v>
      </c>
      <c r="H228" s="288">
        <f t="shared" si="56"/>
        <v>0.2452</v>
      </c>
      <c r="I228" s="287">
        <f t="shared" si="57"/>
        <v>25.7</v>
      </c>
      <c r="J228" s="287">
        <f t="shared" si="58"/>
        <v>1807.03</v>
      </c>
      <c r="K228" s="287">
        <f t="shared" si="59"/>
        <v>2250.0300000000002</v>
      </c>
      <c r="L228" s="289">
        <f t="shared" si="60"/>
        <v>2.5971863105081375E-3</v>
      </c>
      <c r="M228" s="645">
        <v>91.89</v>
      </c>
    </row>
    <row r="229" spans="1:13" s="645" customFormat="1" ht="41.25" customHeight="1" x14ac:dyDescent="0.25">
      <c r="A229" s="651" t="s">
        <v>1031</v>
      </c>
      <c r="B229" s="285">
        <v>89356</v>
      </c>
      <c r="C229" s="285" t="s">
        <v>13</v>
      </c>
      <c r="D229" s="329" t="s">
        <v>325</v>
      </c>
      <c r="E229" s="285" t="s">
        <v>16</v>
      </c>
      <c r="F229" s="389">
        <f>'Memória de Cálculo'!J1034</f>
        <v>167.1</v>
      </c>
      <c r="G229" s="537">
        <v>23.82</v>
      </c>
      <c r="H229" s="288">
        <f t="shared" si="56"/>
        <v>0.2452</v>
      </c>
      <c r="I229" s="287">
        <f t="shared" si="57"/>
        <v>29.66</v>
      </c>
      <c r="J229" s="287">
        <f t="shared" si="58"/>
        <v>3980.32</v>
      </c>
      <c r="K229" s="287">
        <f t="shared" si="59"/>
        <v>4956.18</v>
      </c>
      <c r="L229" s="289">
        <f t="shared" si="60"/>
        <v>5.7208672099546311E-3</v>
      </c>
      <c r="M229" s="645">
        <v>18.84</v>
      </c>
    </row>
    <row r="230" spans="1:13" s="645" customFormat="1" ht="43.5" customHeight="1" x14ac:dyDescent="0.25">
      <c r="A230" s="651" t="s">
        <v>1032</v>
      </c>
      <c r="B230" s="285">
        <v>89357</v>
      </c>
      <c r="C230" s="285" t="s">
        <v>13</v>
      </c>
      <c r="D230" s="329" t="s">
        <v>326</v>
      </c>
      <c r="E230" s="285" t="s">
        <v>16</v>
      </c>
      <c r="F230" s="389">
        <f>'Memória de Cálculo'!J1038</f>
        <v>11.45</v>
      </c>
      <c r="G230" s="537">
        <v>32.43</v>
      </c>
      <c r="H230" s="288">
        <f t="shared" si="56"/>
        <v>0.2452</v>
      </c>
      <c r="I230" s="287">
        <f t="shared" si="57"/>
        <v>40.380000000000003</v>
      </c>
      <c r="J230" s="287">
        <f t="shared" si="58"/>
        <v>371.32</v>
      </c>
      <c r="K230" s="287">
        <f t="shared" si="59"/>
        <v>462.35</v>
      </c>
      <c r="L230" s="289">
        <f t="shared" si="60"/>
        <v>5.3368581337290494E-4</v>
      </c>
      <c r="M230" s="645">
        <v>21.71</v>
      </c>
    </row>
    <row r="231" spans="1:13" s="645" customFormat="1" ht="44.25" customHeight="1" x14ac:dyDescent="0.25">
      <c r="A231" s="651" t="s">
        <v>1033</v>
      </c>
      <c r="B231" s="285">
        <v>103978</v>
      </c>
      <c r="C231" s="285" t="s">
        <v>13</v>
      </c>
      <c r="D231" s="329" t="s">
        <v>327</v>
      </c>
      <c r="E231" s="285" t="s">
        <v>16</v>
      </c>
      <c r="F231" s="389">
        <f>'Memória de Cálculo'!J1042</f>
        <v>22.6</v>
      </c>
      <c r="G231" s="537">
        <v>25.7</v>
      </c>
      <c r="H231" s="288">
        <f t="shared" si="56"/>
        <v>0.2452</v>
      </c>
      <c r="I231" s="287">
        <f t="shared" si="57"/>
        <v>32</v>
      </c>
      <c r="J231" s="287">
        <f t="shared" si="58"/>
        <v>580.82000000000005</v>
      </c>
      <c r="K231" s="287">
        <f t="shared" si="59"/>
        <v>723.2</v>
      </c>
      <c r="L231" s="289">
        <f t="shared" si="60"/>
        <v>8.3478226501845971E-4</v>
      </c>
      <c r="M231" s="645">
        <v>30.35</v>
      </c>
    </row>
    <row r="232" spans="1:13" s="645" customFormat="1" ht="47.25" customHeight="1" x14ac:dyDescent="0.25">
      <c r="A232" s="651" t="s">
        <v>1034</v>
      </c>
      <c r="B232" s="285">
        <v>103979</v>
      </c>
      <c r="C232" s="285" t="s">
        <v>13</v>
      </c>
      <c r="D232" s="329" t="s">
        <v>328</v>
      </c>
      <c r="E232" s="285" t="s">
        <v>16</v>
      </c>
      <c r="F232" s="389">
        <f>'Memória de Cálculo'!J1046</f>
        <v>43.8</v>
      </c>
      <c r="G232" s="537">
        <v>29.33</v>
      </c>
      <c r="H232" s="288">
        <f t="shared" si="56"/>
        <v>0.2452</v>
      </c>
      <c r="I232" s="287">
        <f t="shared" si="57"/>
        <v>36.520000000000003</v>
      </c>
      <c r="J232" s="287">
        <f t="shared" si="58"/>
        <v>1284.6500000000001</v>
      </c>
      <c r="K232" s="287">
        <f t="shared" si="59"/>
        <v>1599.57</v>
      </c>
      <c r="L232" s="289">
        <f t="shared" si="60"/>
        <v>1.8463670736387962E-3</v>
      </c>
      <c r="M232" s="645">
        <v>25.67</v>
      </c>
    </row>
    <row r="233" spans="1:13" s="645" customFormat="1" ht="41.25" customHeight="1" x14ac:dyDescent="0.25">
      <c r="A233" s="651" t="s">
        <v>1035</v>
      </c>
      <c r="B233" s="285">
        <v>89450</v>
      </c>
      <c r="C233" s="285" t="s">
        <v>13</v>
      </c>
      <c r="D233" s="329" t="s">
        <v>406</v>
      </c>
      <c r="E233" s="285" t="s">
        <v>16</v>
      </c>
      <c r="F233" s="389">
        <f>'Memória de Cálculo'!J1050</f>
        <v>6.7</v>
      </c>
      <c r="G233" s="537">
        <v>27.65</v>
      </c>
      <c r="H233" s="288">
        <f t="shared" si="56"/>
        <v>0.2452</v>
      </c>
      <c r="I233" s="287">
        <f t="shared" si="57"/>
        <v>34.42</v>
      </c>
      <c r="J233" s="287">
        <f t="shared" si="58"/>
        <v>185.25</v>
      </c>
      <c r="K233" s="287">
        <f t="shared" si="59"/>
        <v>230.61</v>
      </c>
      <c r="L233" s="289">
        <f t="shared" si="60"/>
        <v>2.6619073304190677E-4</v>
      </c>
      <c r="M233" s="645">
        <v>29.15</v>
      </c>
    </row>
    <row r="234" spans="1:13" s="645" customFormat="1" ht="41.25" customHeight="1" x14ac:dyDescent="0.25">
      <c r="A234" s="651" t="s">
        <v>1036</v>
      </c>
      <c r="B234" s="470" t="s">
        <v>758</v>
      </c>
      <c r="C234" s="470" t="s">
        <v>13</v>
      </c>
      <c r="D234" s="532" t="s">
        <v>759</v>
      </c>
      <c r="E234" s="416" t="s">
        <v>14</v>
      </c>
      <c r="F234" s="389">
        <f>'Memória de Cálculo'!J1054</f>
        <v>3</v>
      </c>
      <c r="G234" s="537">
        <v>45.3</v>
      </c>
      <c r="H234" s="288">
        <f t="shared" si="56"/>
        <v>0.2452</v>
      </c>
      <c r="I234" s="287">
        <f t="shared" si="57"/>
        <v>56.4</v>
      </c>
      <c r="J234" s="287">
        <f t="shared" si="58"/>
        <v>135.9</v>
      </c>
      <c r="K234" s="287">
        <f t="shared" si="59"/>
        <v>169.2</v>
      </c>
      <c r="L234" s="289">
        <f t="shared" si="60"/>
        <v>1.9530580647279225E-4</v>
      </c>
    </row>
    <row r="235" spans="1:13" s="645" customFormat="1" ht="41.25" customHeight="1" x14ac:dyDescent="0.25">
      <c r="A235" s="651" t="s">
        <v>1037</v>
      </c>
      <c r="B235" s="470">
        <v>94794</v>
      </c>
      <c r="C235" s="470" t="s">
        <v>13</v>
      </c>
      <c r="D235" s="532" t="s">
        <v>761</v>
      </c>
      <c r="E235" s="416" t="s">
        <v>14</v>
      </c>
      <c r="F235" s="389">
        <f>'Memória de Cálculo'!J1060</f>
        <v>1</v>
      </c>
      <c r="G235" s="537">
        <v>191.06</v>
      </c>
      <c r="H235" s="288">
        <f t="shared" si="56"/>
        <v>0.2452</v>
      </c>
      <c r="I235" s="287">
        <f t="shared" si="57"/>
        <v>237.9</v>
      </c>
      <c r="J235" s="287">
        <f t="shared" si="58"/>
        <v>191.06</v>
      </c>
      <c r="K235" s="287">
        <f t="shared" si="59"/>
        <v>237.9</v>
      </c>
      <c r="L235" s="289">
        <f t="shared" si="60"/>
        <v>2.7460550449100049E-4</v>
      </c>
    </row>
    <row r="236" spans="1:13" s="645" customFormat="1" ht="41.25" customHeight="1" x14ac:dyDescent="0.25">
      <c r="A236" s="651" t="s">
        <v>1038</v>
      </c>
      <c r="B236" s="470">
        <v>99622</v>
      </c>
      <c r="C236" s="470" t="s">
        <v>13</v>
      </c>
      <c r="D236" s="532" t="s">
        <v>763</v>
      </c>
      <c r="E236" s="416" t="s">
        <v>14</v>
      </c>
      <c r="F236" s="389">
        <f>'Memória de Cálculo'!J1065</f>
        <v>2</v>
      </c>
      <c r="G236" s="537">
        <v>322.7</v>
      </c>
      <c r="H236" s="288">
        <f t="shared" si="56"/>
        <v>0.2452</v>
      </c>
      <c r="I236" s="287">
        <f t="shared" si="57"/>
        <v>401.82</v>
      </c>
      <c r="J236" s="287">
        <f t="shared" si="58"/>
        <v>645.4</v>
      </c>
      <c r="K236" s="287">
        <f t="shared" si="59"/>
        <v>803.64</v>
      </c>
      <c r="L236" s="289">
        <f t="shared" si="60"/>
        <v>9.2763332336758138E-4</v>
      </c>
    </row>
    <row r="237" spans="1:13" s="645" customFormat="1" ht="41.25" customHeight="1" x14ac:dyDescent="0.25">
      <c r="A237" s="651" t="s">
        <v>1039</v>
      </c>
      <c r="B237" s="470">
        <v>89383</v>
      </c>
      <c r="C237" s="470" t="s">
        <v>13</v>
      </c>
      <c r="D237" s="532" t="s">
        <v>765</v>
      </c>
      <c r="E237" s="416" t="s">
        <v>14</v>
      </c>
      <c r="F237" s="389">
        <f>'Memória de Cálculo'!J1071</f>
        <v>48</v>
      </c>
      <c r="G237" s="537">
        <v>6.64</v>
      </c>
      <c r="H237" s="288">
        <f t="shared" si="56"/>
        <v>0.2452</v>
      </c>
      <c r="I237" s="287">
        <f t="shared" si="57"/>
        <v>8.26</v>
      </c>
      <c r="J237" s="287">
        <f t="shared" si="58"/>
        <v>318.72000000000003</v>
      </c>
      <c r="K237" s="287">
        <f t="shared" si="59"/>
        <v>396.48</v>
      </c>
      <c r="L237" s="289">
        <f t="shared" si="60"/>
        <v>4.5765275502560688E-4</v>
      </c>
    </row>
    <row r="238" spans="1:13" s="645" customFormat="1" ht="41.25" customHeight="1" x14ac:dyDescent="0.25">
      <c r="A238" s="651" t="s">
        <v>1040</v>
      </c>
      <c r="B238" s="470">
        <v>103966</v>
      </c>
      <c r="C238" s="470" t="s">
        <v>13</v>
      </c>
      <c r="D238" s="471" t="s">
        <v>767</v>
      </c>
      <c r="E238" s="416" t="s">
        <v>14</v>
      </c>
      <c r="F238" s="389">
        <f>'Memória de Cálculo'!J1079</f>
        <v>6</v>
      </c>
      <c r="G238" s="537">
        <v>9.34</v>
      </c>
      <c r="H238" s="288">
        <f t="shared" si="56"/>
        <v>0.2452</v>
      </c>
      <c r="I238" s="287">
        <f t="shared" si="57"/>
        <v>11.63</v>
      </c>
      <c r="J238" s="287">
        <f t="shared" si="58"/>
        <v>56.04</v>
      </c>
      <c r="K238" s="287">
        <f t="shared" si="59"/>
        <v>69.78</v>
      </c>
      <c r="L238" s="289">
        <f t="shared" si="60"/>
        <v>8.0546330825481346E-5</v>
      </c>
    </row>
    <row r="239" spans="1:13" s="645" customFormat="1" ht="41.25" customHeight="1" x14ac:dyDescent="0.25">
      <c r="A239" s="651" t="s">
        <v>1041</v>
      </c>
      <c r="B239" s="470">
        <v>103995</v>
      </c>
      <c r="C239" s="470" t="s">
        <v>13</v>
      </c>
      <c r="D239" s="471" t="s">
        <v>769</v>
      </c>
      <c r="E239" s="416" t="s">
        <v>14</v>
      </c>
      <c r="F239" s="389">
        <f>'Memória de Cálculo'!J1084</f>
        <v>3</v>
      </c>
      <c r="G239" s="537">
        <v>14.83</v>
      </c>
      <c r="H239" s="288">
        <f t="shared" si="56"/>
        <v>0.2452</v>
      </c>
      <c r="I239" s="287">
        <f t="shared" si="57"/>
        <v>18.46</v>
      </c>
      <c r="J239" s="287">
        <f t="shared" si="58"/>
        <v>44.49</v>
      </c>
      <c r="K239" s="287">
        <f t="shared" si="59"/>
        <v>55.38</v>
      </c>
      <c r="L239" s="289">
        <f t="shared" si="60"/>
        <v>6.3924560061839455E-5</v>
      </c>
    </row>
    <row r="240" spans="1:13" s="645" customFormat="1" ht="41.25" customHeight="1" x14ac:dyDescent="0.25">
      <c r="A240" s="651" t="s">
        <v>1042</v>
      </c>
      <c r="B240" s="470">
        <v>104004</v>
      </c>
      <c r="C240" s="470" t="s">
        <v>13</v>
      </c>
      <c r="D240" s="471" t="s">
        <v>771</v>
      </c>
      <c r="E240" s="416" t="s">
        <v>14</v>
      </c>
      <c r="F240" s="389">
        <f>'Memória de Cálculo'!J1089</f>
        <v>6</v>
      </c>
      <c r="G240" s="537">
        <v>29.15</v>
      </c>
      <c r="H240" s="288">
        <f t="shared" si="56"/>
        <v>0.2452</v>
      </c>
      <c r="I240" s="287">
        <f t="shared" si="57"/>
        <v>36.29</v>
      </c>
      <c r="J240" s="287">
        <f t="shared" si="58"/>
        <v>174.9</v>
      </c>
      <c r="K240" s="287">
        <f t="shared" si="59"/>
        <v>217.74</v>
      </c>
      <c r="L240" s="289">
        <f t="shared" si="60"/>
        <v>2.5133502542190183E-4</v>
      </c>
    </row>
    <row r="241" spans="1:13" s="645" customFormat="1" ht="41.25" customHeight="1" x14ac:dyDescent="0.25">
      <c r="A241" s="651" t="s">
        <v>1043</v>
      </c>
      <c r="B241" s="470">
        <v>90373</v>
      </c>
      <c r="C241" s="470" t="s">
        <v>13</v>
      </c>
      <c r="D241" s="471" t="s">
        <v>772</v>
      </c>
      <c r="E241" s="416" t="s">
        <v>14</v>
      </c>
      <c r="F241" s="389">
        <f>'Memória de Cálculo'!J1094</f>
        <v>31</v>
      </c>
      <c r="G241" s="537">
        <v>12.82</v>
      </c>
      <c r="H241" s="288">
        <f t="shared" si="56"/>
        <v>0.2452</v>
      </c>
      <c r="I241" s="287">
        <f t="shared" si="57"/>
        <v>15.96</v>
      </c>
      <c r="J241" s="287">
        <f t="shared" si="58"/>
        <v>397.42</v>
      </c>
      <c r="K241" s="287">
        <f t="shared" si="59"/>
        <v>494.76</v>
      </c>
      <c r="L241" s="289">
        <f t="shared" si="60"/>
        <v>5.7109634048746276E-4</v>
      </c>
    </row>
    <row r="242" spans="1:13" s="645" customFormat="1" ht="41.25" customHeight="1" x14ac:dyDescent="0.25">
      <c r="A242" s="651" t="s">
        <v>1044</v>
      </c>
      <c r="B242" s="470" t="s">
        <v>773</v>
      </c>
      <c r="C242" s="470" t="s">
        <v>15</v>
      </c>
      <c r="D242" s="471" t="s">
        <v>774</v>
      </c>
      <c r="E242" s="416" t="s">
        <v>21</v>
      </c>
      <c r="F242" s="389">
        <f>'Memória de Cálculo'!J1099</f>
        <v>29.5</v>
      </c>
      <c r="G242" s="537">
        <v>87.01</v>
      </c>
      <c r="H242" s="288">
        <f t="shared" si="56"/>
        <v>0.2452</v>
      </c>
      <c r="I242" s="287">
        <f t="shared" si="57"/>
        <v>108.34</v>
      </c>
      <c r="J242" s="287">
        <f t="shared" si="58"/>
        <v>2566.79</v>
      </c>
      <c r="K242" s="287">
        <f t="shared" si="59"/>
        <v>3196.03</v>
      </c>
      <c r="L242" s="289">
        <f t="shared" si="60"/>
        <v>3.6891443065085005E-3</v>
      </c>
    </row>
    <row r="243" spans="1:13" s="645" customFormat="1" ht="27" customHeight="1" x14ac:dyDescent="0.25">
      <c r="A243" s="670" t="s">
        <v>227</v>
      </c>
      <c r="B243" s="293"/>
      <c r="C243" s="293"/>
      <c r="D243" s="294" t="s">
        <v>280</v>
      </c>
      <c r="E243" s="295"/>
      <c r="F243" s="391"/>
      <c r="G243" s="296"/>
      <c r="H243" s="296"/>
      <c r="I243" s="330"/>
      <c r="J243" s="331">
        <f>SUM(J244:J278)</f>
        <v>30236.130000000005</v>
      </c>
      <c r="K243" s="332">
        <f>SUM(K244:K278)</f>
        <v>37647.01</v>
      </c>
      <c r="L243" s="405">
        <f t="shared" si="60"/>
        <v>4.3455553483092643E-2</v>
      </c>
    </row>
    <row r="244" spans="1:13" s="645" customFormat="1" ht="60.75" customHeight="1" x14ac:dyDescent="0.25">
      <c r="A244" s="651" t="s">
        <v>1045</v>
      </c>
      <c r="B244" s="285">
        <v>104341</v>
      </c>
      <c r="C244" s="285" t="s">
        <v>13</v>
      </c>
      <c r="D244" s="329" t="s">
        <v>428</v>
      </c>
      <c r="E244" s="285" t="s">
        <v>14</v>
      </c>
      <c r="F244" s="389">
        <f>'Memória de Cálculo'!J1109</f>
        <v>1</v>
      </c>
      <c r="G244" s="509">
        <v>10.76</v>
      </c>
      <c r="H244" s="288">
        <f t="shared" ref="H244:H278" si="61">$K$4</f>
        <v>0.2452</v>
      </c>
      <c r="I244" s="287">
        <f>TRUNC(G244*1.2452,2)</f>
        <v>13.39</v>
      </c>
      <c r="J244" s="287">
        <f>TRUNC(F244*G244,2)</f>
        <v>10.76</v>
      </c>
      <c r="K244" s="287">
        <f>TRUNC(F244*I244,2)</f>
        <v>13.39</v>
      </c>
      <c r="L244" s="289">
        <f t="shared" si="60"/>
        <v>1.5455938230914235E-5</v>
      </c>
      <c r="M244" s="645">
        <v>9.31</v>
      </c>
    </row>
    <row r="245" spans="1:13" s="645" customFormat="1" ht="51.75" customHeight="1" x14ac:dyDescent="0.25">
      <c r="A245" s="651" t="s">
        <v>1046</v>
      </c>
      <c r="B245" s="285" t="s">
        <v>435</v>
      </c>
      <c r="C245" s="285" t="s">
        <v>179</v>
      </c>
      <c r="D245" s="329" t="s">
        <v>358</v>
      </c>
      <c r="E245" s="285" t="s">
        <v>14</v>
      </c>
      <c r="F245" s="389">
        <f>'Memória de Cálculo'!J1113</f>
        <v>1</v>
      </c>
      <c r="G245" s="509">
        <f>Composições!J129</f>
        <v>520.75999999999988</v>
      </c>
      <c r="H245" s="288">
        <f t="shared" si="61"/>
        <v>0.2452</v>
      </c>
      <c r="I245" s="287">
        <f t="shared" ref="I245:I278" si="62">TRUNC(G245*1.2452,2)</f>
        <v>648.45000000000005</v>
      </c>
      <c r="J245" s="287">
        <f t="shared" ref="J245:J278" si="63">TRUNC(F245*G245,2)</f>
        <v>520.76</v>
      </c>
      <c r="K245" s="287">
        <f t="shared" ref="K245:K278" si="64">TRUNC(F245*I245,2)</f>
        <v>648.45000000000005</v>
      </c>
      <c r="L245" s="289">
        <f t="shared" si="60"/>
        <v>7.484991147002491E-4</v>
      </c>
    </row>
    <row r="246" spans="1:13" s="645" customFormat="1" ht="57" customHeight="1" x14ac:dyDescent="0.25">
      <c r="A246" s="651" t="s">
        <v>1047</v>
      </c>
      <c r="B246" s="285">
        <v>97902</v>
      </c>
      <c r="C246" s="285" t="s">
        <v>13</v>
      </c>
      <c r="D246" s="329" t="s">
        <v>286</v>
      </c>
      <c r="E246" s="285" t="s">
        <v>14</v>
      </c>
      <c r="F246" s="389">
        <f>'Memória de Cálculo'!J1117</f>
        <v>8</v>
      </c>
      <c r="G246" s="509">
        <v>562.89</v>
      </c>
      <c r="H246" s="288">
        <f t="shared" si="61"/>
        <v>0.2452</v>
      </c>
      <c r="I246" s="287">
        <f t="shared" si="62"/>
        <v>700.91</v>
      </c>
      <c r="J246" s="287">
        <f t="shared" si="63"/>
        <v>4503.12</v>
      </c>
      <c r="K246" s="287">
        <f t="shared" si="64"/>
        <v>5607.28</v>
      </c>
      <c r="L246" s="289">
        <f t="shared" ref="L246:L263" si="65">K246/$J$321</f>
        <v>6.4724251921912442E-3</v>
      </c>
      <c r="M246" s="645">
        <v>520.20000000000005</v>
      </c>
    </row>
    <row r="247" spans="1:13" s="645" customFormat="1" ht="57.75" customHeight="1" x14ac:dyDescent="0.25">
      <c r="A247" s="651" t="s">
        <v>1048</v>
      </c>
      <c r="B247" s="285">
        <v>104329</v>
      </c>
      <c r="C247" s="285" t="s">
        <v>13</v>
      </c>
      <c r="D247" s="329" t="s">
        <v>287</v>
      </c>
      <c r="E247" s="285" t="s">
        <v>14</v>
      </c>
      <c r="F247" s="389">
        <f>'Memória de Cálculo'!J1121</f>
        <v>13</v>
      </c>
      <c r="G247" s="509">
        <v>81.010000000000005</v>
      </c>
      <c r="H247" s="288">
        <f t="shared" si="61"/>
        <v>0.2452</v>
      </c>
      <c r="I247" s="287">
        <f t="shared" si="62"/>
        <v>100.87</v>
      </c>
      <c r="J247" s="287">
        <f t="shared" si="63"/>
        <v>1053.1300000000001</v>
      </c>
      <c r="K247" s="287">
        <f t="shared" si="64"/>
        <v>1311.31</v>
      </c>
      <c r="L247" s="289">
        <f t="shared" si="65"/>
        <v>1.5136315430605036E-3</v>
      </c>
      <c r="M247" s="645">
        <v>67.97</v>
      </c>
    </row>
    <row r="248" spans="1:13" s="645" customFormat="1" ht="63" customHeight="1" x14ac:dyDescent="0.25">
      <c r="A248" s="651" t="s">
        <v>1049</v>
      </c>
      <c r="B248" s="285">
        <v>89750</v>
      </c>
      <c r="C248" s="285" t="s">
        <v>13</v>
      </c>
      <c r="D248" s="329" t="s">
        <v>288</v>
      </c>
      <c r="E248" s="285" t="s">
        <v>289</v>
      </c>
      <c r="F248" s="389">
        <f>'Memória de Cálculo'!J1125</f>
        <v>7</v>
      </c>
      <c r="G248" s="509">
        <v>69.05</v>
      </c>
      <c r="H248" s="288">
        <f t="shared" si="61"/>
        <v>0.2452</v>
      </c>
      <c r="I248" s="287">
        <f t="shared" si="62"/>
        <v>85.98</v>
      </c>
      <c r="J248" s="287">
        <f t="shared" si="63"/>
        <v>483.35</v>
      </c>
      <c r="K248" s="287">
        <f t="shared" si="64"/>
        <v>601.86</v>
      </c>
      <c r="L248" s="289">
        <f t="shared" si="65"/>
        <v>6.9472076054204939E-4</v>
      </c>
      <c r="M248" s="645">
        <v>77.91</v>
      </c>
    </row>
    <row r="249" spans="1:13" s="645" customFormat="1" ht="60.75" customHeight="1" x14ac:dyDescent="0.25">
      <c r="A249" s="651" t="s">
        <v>1050</v>
      </c>
      <c r="B249" s="285">
        <v>89746</v>
      </c>
      <c r="C249" s="285" t="s">
        <v>13</v>
      </c>
      <c r="D249" s="292" t="s">
        <v>294</v>
      </c>
      <c r="E249" s="285" t="s">
        <v>289</v>
      </c>
      <c r="F249" s="389">
        <f>'Memória de Cálculo'!J1129</f>
        <v>7</v>
      </c>
      <c r="G249" s="509">
        <v>28.1</v>
      </c>
      <c r="H249" s="288">
        <f t="shared" si="61"/>
        <v>0.2452</v>
      </c>
      <c r="I249" s="287">
        <f t="shared" si="62"/>
        <v>34.99</v>
      </c>
      <c r="J249" s="287">
        <f t="shared" si="63"/>
        <v>196.7</v>
      </c>
      <c r="K249" s="287">
        <f t="shared" si="64"/>
        <v>244.93</v>
      </c>
      <c r="L249" s="289">
        <f t="shared" si="65"/>
        <v>2.8272016063463957E-4</v>
      </c>
      <c r="M249" s="645">
        <v>28.48</v>
      </c>
    </row>
    <row r="250" spans="1:13" s="645" customFormat="1" ht="56.25" customHeight="1" x14ac:dyDescent="0.25">
      <c r="A250" s="651" t="s">
        <v>1051</v>
      </c>
      <c r="B250" s="285">
        <v>89726</v>
      </c>
      <c r="C250" s="285" t="s">
        <v>13</v>
      </c>
      <c r="D250" s="292" t="s">
        <v>293</v>
      </c>
      <c r="E250" s="285" t="s">
        <v>289</v>
      </c>
      <c r="F250" s="389">
        <f>'Memória de Cálculo'!J1133</f>
        <v>49</v>
      </c>
      <c r="G250" s="509">
        <v>10.220000000000001</v>
      </c>
      <c r="H250" s="288">
        <f t="shared" si="61"/>
        <v>0.2452</v>
      </c>
      <c r="I250" s="287">
        <f t="shared" si="62"/>
        <v>12.72</v>
      </c>
      <c r="J250" s="287">
        <f t="shared" si="63"/>
        <v>500.78</v>
      </c>
      <c r="K250" s="287">
        <f t="shared" si="64"/>
        <v>623.28</v>
      </c>
      <c r="L250" s="289">
        <f t="shared" si="65"/>
        <v>7.1944564455296664E-4</v>
      </c>
      <c r="M250" s="645">
        <v>9.5399999999999991</v>
      </c>
    </row>
    <row r="251" spans="1:13" s="645" customFormat="1" ht="55.5" customHeight="1" x14ac:dyDescent="0.25">
      <c r="A251" s="651" t="s">
        <v>1052</v>
      </c>
      <c r="B251" s="285">
        <v>89732</v>
      </c>
      <c r="C251" s="285" t="s">
        <v>13</v>
      </c>
      <c r="D251" s="290" t="s">
        <v>290</v>
      </c>
      <c r="E251" s="285" t="s">
        <v>289</v>
      </c>
      <c r="F251" s="389">
        <f>'Memória de Cálculo'!J1137</f>
        <v>17</v>
      </c>
      <c r="G251" s="509">
        <v>15.8</v>
      </c>
      <c r="H251" s="288">
        <f t="shared" si="61"/>
        <v>0.2452</v>
      </c>
      <c r="I251" s="287">
        <f t="shared" si="62"/>
        <v>19.670000000000002</v>
      </c>
      <c r="J251" s="287">
        <f t="shared" si="63"/>
        <v>268.60000000000002</v>
      </c>
      <c r="K251" s="287">
        <f t="shared" si="64"/>
        <v>334.39</v>
      </c>
      <c r="L251" s="289">
        <f t="shared" si="65"/>
        <v>3.8598291150376482E-4</v>
      </c>
      <c r="M251" s="645">
        <v>15.64</v>
      </c>
    </row>
    <row r="252" spans="1:13" s="645" customFormat="1" ht="61.5" customHeight="1" x14ac:dyDescent="0.25">
      <c r="A252" s="651" t="s">
        <v>1053</v>
      </c>
      <c r="B252" s="285">
        <v>89724</v>
      </c>
      <c r="C252" s="285" t="s">
        <v>13</v>
      </c>
      <c r="D252" s="292" t="s">
        <v>292</v>
      </c>
      <c r="E252" s="285" t="s">
        <v>289</v>
      </c>
      <c r="F252" s="389">
        <f>'Memória de Cálculo'!J1141</f>
        <v>11</v>
      </c>
      <c r="G252" s="509">
        <v>10.029999999999999</v>
      </c>
      <c r="H252" s="288">
        <f t="shared" si="61"/>
        <v>0.2452</v>
      </c>
      <c r="I252" s="287">
        <f t="shared" si="62"/>
        <v>12.48</v>
      </c>
      <c r="J252" s="287">
        <f t="shared" si="63"/>
        <v>110.33</v>
      </c>
      <c r="K252" s="287">
        <f t="shared" si="64"/>
        <v>137.28</v>
      </c>
      <c r="L252" s="289">
        <f t="shared" si="65"/>
        <v>1.5846088128005273E-4</v>
      </c>
      <c r="M252" s="645">
        <v>9.31</v>
      </c>
    </row>
    <row r="253" spans="1:13" s="645" customFormat="1" ht="58.5" customHeight="1" x14ac:dyDescent="0.25">
      <c r="A253" s="651" t="s">
        <v>1054</v>
      </c>
      <c r="B253" s="285">
        <v>89731</v>
      </c>
      <c r="C253" s="285" t="s">
        <v>13</v>
      </c>
      <c r="D253" s="329" t="s">
        <v>291</v>
      </c>
      <c r="E253" s="285" t="s">
        <v>289</v>
      </c>
      <c r="F253" s="389">
        <f>'Memória de Cálculo'!J1145</f>
        <v>9</v>
      </c>
      <c r="G253" s="509">
        <v>15.19</v>
      </c>
      <c r="H253" s="288">
        <f t="shared" si="61"/>
        <v>0.2452</v>
      </c>
      <c r="I253" s="287">
        <f t="shared" si="62"/>
        <v>18.91</v>
      </c>
      <c r="J253" s="287">
        <f t="shared" si="63"/>
        <v>136.71</v>
      </c>
      <c r="K253" s="287">
        <f t="shared" si="64"/>
        <v>170.19</v>
      </c>
      <c r="L253" s="289">
        <f t="shared" si="65"/>
        <v>1.9644855321279263E-4</v>
      </c>
      <c r="M253" s="645">
        <v>14.91</v>
      </c>
    </row>
    <row r="254" spans="1:13" s="645" customFormat="1" ht="57.75" customHeight="1" x14ac:dyDescent="0.25">
      <c r="A254" s="651" t="s">
        <v>1055</v>
      </c>
      <c r="B254" s="285">
        <v>89801</v>
      </c>
      <c r="C254" s="285" t="s">
        <v>13</v>
      </c>
      <c r="D254" s="329" t="s">
        <v>356</v>
      </c>
      <c r="E254" s="285" t="s">
        <v>289</v>
      </c>
      <c r="F254" s="389">
        <f>'Memória de Cálculo'!J1149</f>
        <v>25</v>
      </c>
      <c r="G254" s="509">
        <v>9.89</v>
      </c>
      <c r="H254" s="288">
        <f t="shared" si="61"/>
        <v>0.2452</v>
      </c>
      <c r="I254" s="287">
        <f t="shared" si="62"/>
        <v>12.31</v>
      </c>
      <c r="J254" s="287">
        <f t="shared" si="63"/>
        <v>247.25</v>
      </c>
      <c r="K254" s="287">
        <f t="shared" si="64"/>
        <v>307.75</v>
      </c>
      <c r="L254" s="289">
        <f t="shared" si="65"/>
        <v>3.5523263559102732E-4</v>
      </c>
      <c r="M254" s="645">
        <v>10.3</v>
      </c>
    </row>
    <row r="255" spans="1:13" s="645" customFormat="1" ht="58.5" customHeight="1" x14ac:dyDescent="0.25">
      <c r="A255" s="651" t="s">
        <v>1056</v>
      </c>
      <c r="B255" s="285">
        <v>89834</v>
      </c>
      <c r="C255" s="285" t="s">
        <v>13</v>
      </c>
      <c r="D255" s="329" t="s">
        <v>330</v>
      </c>
      <c r="E255" s="285" t="s">
        <v>289</v>
      </c>
      <c r="F255" s="389">
        <f>'Memória de Cálculo'!J1153</f>
        <v>5</v>
      </c>
      <c r="G255" s="509">
        <v>50.78</v>
      </c>
      <c r="H255" s="288">
        <f t="shared" si="61"/>
        <v>0.2452</v>
      </c>
      <c r="I255" s="287">
        <f t="shared" si="62"/>
        <v>63.23</v>
      </c>
      <c r="J255" s="287">
        <f t="shared" si="63"/>
        <v>253.9</v>
      </c>
      <c r="K255" s="287">
        <f t="shared" si="64"/>
        <v>316.14999999999998</v>
      </c>
      <c r="L255" s="289">
        <f t="shared" si="65"/>
        <v>3.6492866853648506E-4</v>
      </c>
      <c r="M255" s="645">
        <v>53.12</v>
      </c>
    </row>
    <row r="256" spans="1:13" s="645" customFormat="1" ht="60.75" customHeight="1" x14ac:dyDescent="0.25">
      <c r="A256" s="651" t="s">
        <v>1057</v>
      </c>
      <c r="B256" s="285">
        <v>104345</v>
      </c>
      <c r="C256" s="285" t="s">
        <v>13</v>
      </c>
      <c r="D256" s="329" t="s">
        <v>296</v>
      </c>
      <c r="E256" s="285" t="s">
        <v>289</v>
      </c>
      <c r="F256" s="389">
        <f>'Memória de Cálculo'!J1157</f>
        <v>33</v>
      </c>
      <c r="G256" s="509">
        <v>41.22</v>
      </c>
      <c r="H256" s="288">
        <f t="shared" si="61"/>
        <v>0.2452</v>
      </c>
      <c r="I256" s="287">
        <f t="shared" si="62"/>
        <v>51.32</v>
      </c>
      <c r="J256" s="287">
        <f t="shared" si="63"/>
        <v>1360.26</v>
      </c>
      <c r="K256" s="287">
        <f t="shared" si="64"/>
        <v>1693.56</v>
      </c>
      <c r="L256" s="289">
        <f t="shared" si="65"/>
        <v>1.9548587565606504E-3</v>
      </c>
      <c r="M256" s="645">
        <v>43.1</v>
      </c>
    </row>
    <row r="257" spans="1:13" s="645" customFormat="1" ht="61.5" customHeight="1" x14ac:dyDescent="0.25">
      <c r="A257" s="651" t="s">
        <v>1058</v>
      </c>
      <c r="B257" s="285">
        <v>89783</v>
      </c>
      <c r="C257" s="285" t="s">
        <v>13</v>
      </c>
      <c r="D257" s="329" t="s">
        <v>295</v>
      </c>
      <c r="E257" s="285" t="s">
        <v>289</v>
      </c>
      <c r="F257" s="389">
        <f>'Memória de Cálculo'!J1161</f>
        <v>6</v>
      </c>
      <c r="G257" s="509">
        <v>14.48</v>
      </c>
      <c r="H257" s="288">
        <f t="shared" si="61"/>
        <v>0.2452</v>
      </c>
      <c r="I257" s="287">
        <f t="shared" si="62"/>
        <v>18.03</v>
      </c>
      <c r="J257" s="287">
        <f t="shared" si="63"/>
        <v>86.88</v>
      </c>
      <c r="K257" s="287">
        <f t="shared" si="64"/>
        <v>108.18</v>
      </c>
      <c r="L257" s="289">
        <f t="shared" si="65"/>
        <v>1.2487105286185975E-4</v>
      </c>
      <c r="M257" s="645">
        <v>13.65</v>
      </c>
    </row>
    <row r="258" spans="1:13" s="645" customFormat="1" ht="58.5" customHeight="1" x14ac:dyDescent="0.25">
      <c r="A258" s="651" t="s">
        <v>1059</v>
      </c>
      <c r="B258" s="285">
        <v>104327</v>
      </c>
      <c r="C258" s="285" t="s">
        <v>13</v>
      </c>
      <c r="D258" s="292" t="s">
        <v>297</v>
      </c>
      <c r="E258" s="285" t="s">
        <v>289</v>
      </c>
      <c r="F258" s="389">
        <f>'Memória de Cálculo'!J1165</f>
        <v>3</v>
      </c>
      <c r="G258" s="509">
        <v>19.489999999999998</v>
      </c>
      <c r="H258" s="288">
        <f t="shared" si="61"/>
        <v>0.2452</v>
      </c>
      <c r="I258" s="287">
        <f t="shared" si="62"/>
        <v>24.26</v>
      </c>
      <c r="J258" s="287">
        <f t="shared" si="63"/>
        <v>58.47</v>
      </c>
      <c r="K258" s="287">
        <f t="shared" si="64"/>
        <v>72.78</v>
      </c>
      <c r="L258" s="289">
        <f t="shared" si="65"/>
        <v>8.4009199734573419E-5</v>
      </c>
      <c r="M258" s="645">
        <v>16.5</v>
      </c>
    </row>
    <row r="259" spans="1:13" s="645" customFormat="1" ht="58.5" customHeight="1" x14ac:dyDescent="0.25">
      <c r="A259" s="651" t="s">
        <v>1060</v>
      </c>
      <c r="B259" s="285">
        <v>104348</v>
      </c>
      <c r="C259" s="285" t="s">
        <v>13</v>
      </c>
      <c r="D259" s="292" t="s">
        <v>357</v>
      </c>
      <c r="E259" s="285" t="s">
        <v>289</v>
      </c>
      <c r="F259" s="389">
        <f>'Memória de Cálculo'!J1169</f>
        <v>10</v>
      </c>
      <c r="G259" s="509">
        <v>9.4700000000000006</v>
      </c>
      <c r="H259" s="288">
        <f t="shared" si="61"/>
        <v>0.2452</v>
      </c>
      <c r="I259" s="287">
        <f t="shared" si="62"/>
        <v>11.79</v>
      </c>
      <c r="J259" s="287">
        <f t="shared" si="63"/>
        <v>94.7</v>
      </c>
      <c r="K259" s="287">
        <f t="shared" si="64"/>
        <v>117.9</v>
      </c>
      <c r="L259" s="289">
        <f t="shared" si="65"/>
        <v>1.3609074812731802E-4</v>
      </c>
      <c r="M259" s="645">
        <v>10.82</v>
      </c>
    </row>
    <row r="260" spans="1:13" s="645" customFormat="1" ht="55.5" customHeight="1" x14ac:dyDescent="0.25">
      <c r="A260" s="651" t="s">
        <v>1061</v>
      </c>
      <c r="B260" s="285">
        <v>89711</v>
      </c>
      <c r="C260" s="285" t="s">
        <v>13</v>
      </c>
      <c r="D260" s="329" t="s">
        <v>300</v>
      </c>
      <c r="E260" s="285" t="s">
        <v>16</v>
      </c>
      <c r="F260" s="389">
        <f>'Memória de Cálculo'!J1173</f>
        <v>62.2</v>
      </c>
      <c r="G260" s="509">
        <v>20.74</v>
      </c>
      <c r="H260" s="288">
        <f t="shared" si="61"/>
        <v>0.2452</v>
      </c>
      <c r="I260" s="287">
        <f t="shared" si="62"/>
        <v>25.82</v>
      </c>
      <c r="J260" s="287">
        <f t="shared" si="63"/>
        <v>1290.02</v>
      </c>
      <c r="K260" s="287">
        <f t="shared" si="64"/>
        <v>1606</v>
      </c>
      <c r="L260" s="289">
        <f t="shared" si="65"/>
        <v>1.8537891560006169E-3</v>
      </c>
      <c r="M260" s="645">
        <v>19.940000000000001</v>
      </c>
    </row>
    <row r="261" spans="1:13" s="645" customFormat="1" ht="59.25" customHeight="1" x14ac:dyDescent="0.25">
      <c r="A261" s="651" t="s">
        <v>1062</v>
      </c>
      <c r="B261" s="285">
        <v>89712</v>
      </c>
      <c r="C261" s="285" t="s">
        <v>13</v>
      </c>
      <c r="D261" s="329" t="s">
        <v>299</v>
      </c>
      <c r="E261" s="285" t="s">
        <v>16</v>
      </c>
      <c r="F261" s="389">
        <f>'Memória de Cálculo'!J1177</f>
        <v>21.59</v>
      </c>
      <c r="G261" s="509">
        <v>25.78</v>
      </c>
      <c r="H261" s="288">
        <f t="shared" si="61"/>
        <v>0.2452</v>
      </c>
      <c r="I261" s="287">
        <f t="shared" si="62"/>
        <v>32.1</v>
      </c>
      <c r="J261" s="287">
        <f t="shared" si="63"/>
        <v>556.59</v>
      </c>
      <c r="K261" s="287">
        <f t="shared" si="64"/>
        <v>693.03</v>
      </c>
      <c r="L261" s="289">
        <f t="shared" si="65"/>
        <v>7.9995734668935714E-4</v>
      </c>
      <c r="M261" s="645">
        <v>25.57</v>
      </c>
    </row>
    <row r="262" spans="1:13" s="645" customFormat="1" ht="56.25" customHeight="1" x14ac:dyDescent="0.25">
      <c r="A262" s="651" t="s">
        <v>1063</v>
      </c>
      <c r="B262" s="285">
        <v>89713</v>
      </c>
      <c r="C262" s="285" t="s">
        <v>13</v>
      </c>
      <c r="D262" s="329" t="s">
        <v>430</v>
      </c>
      <c r="E262" s="285" t="s">
        <v>16</v>
      </c>
      <c r="F262" s="389">
        <f>'Memória de Cálculo'!J1181</f>
        <v>1.2</v>
      </c>
      <c r="G262" s="509">
        <v>31.97</v>
      </c>
      <c r="H262" s="288">
        <f t="shared" si="61"/>
        <v>0.2452</v>
      </c>
      <c r="I262" s="287">
        <f t="shared" si="62"/>
        <v>39.799999999999997</v>
      </c>
      <c r="J262" s="287">
        <f t="shared" si="63"/>
        <v>38.36</v>
      </c>
      <c r="K262" s="287">
        <f t="shared" si="64"/>
        <v>47.76</v>
      </c>
      <c r="L262" s="289">
        <f t="shared" si="65"/>
        <v>5.5128873032745616E-5</v>
      </c>
    </row>
    <row r="263" spans="1:13" s="645" customFormat="1" ht="56.25" customHeight="1" x14ac:dyDescent="0.25">
      <c r="A263" s="651" t="s">
        <v>1064</v>
      </c>
      <c r="B263" s="285">
        <v>89714</v>
      </c>
      <c r="C263" s="285" t="s">
        <v>13</v>
      </c>
      <c r="D263" s="329" t="s">
        <v>298</v>
      </c>
      <c r="E263" s="285" t="s">
        <v>16</v>
      </c>
      <c r="F263" s="389">
        <f>'Memória de Cálculo'!J1185</f>
        <v>103.15</v>
      </c>
      <c r="G263" s="509">
        <v>35.909999999999997</v>
      </c>
      <c r="H263" s="288">
        <f t="shared" si="61"/>
        <v>0.2452</v>
      </c>
      <c r="I263" s="287">
        <f t="shared" si="62"/>
        <v>44.71</v>
      </c>
      <c r="J263" s="287">
        <f t="shared" si="63"/>
        <v>3704.11</v>
      </c>
      <c r="K263" s="287">
        <f t="shared" si="64"/>
        <v>4611.83</v>
      </c>
      <c r="L263" s="289">
        <f t="shared" si="65"/>
        <v>5.3233875736726803E-3</v>
      </c>
      <c r="M263" s="645">
        <v>35.61</v>
      </c>
    </row>
    <row r="264" spans="1:13" s="645" customFormat="1" ht="56.25" customHeight="1" x14ac:dyDescent="0.25">
      <c r="A264" s="651" t="s">
        <v>1065</v>
      </c>
      <c r="B264" s="470">
        <v>86883</v>
      </c>
      <c r="C264" s="470" t="s">
        <v>13</v>
      </c>
      <c r="D264" s="532" t="s">
        <v>779</v>
      </c>
      <c r="E264" s="533" t="s">
        <v>14</v>
      </c>
      <c r="F264" s="389">
        <f>'Memória de Cálculo'!J1190</f>
        <v>9</v>
      </c>
      <c r="G264" s="509">
        <v>11.38</v>
      </c>
      <c r="H264" s="288">
        <f t="shared" si="61"/>
        <v>0.2452</v>
      </c>
      <c r="I264" s="287">
        <f t="shared" si="62"/>
        <v>14.17</v>
      </c>
      <c r="J264" s="287">
        <f t="shared" si="63"/>
        <v>102.42</v>
      </c>
      <c r="K264" s="287">
        <f t="shared" si="64"/>
        <v>127.53</v>
      </c>
      <c r="L264" s="289">
        <f t="shared" ref="L264:L278" si="66">K264/$J$321</f>
        <v>1.4720655732550352E-4</v>
      </c>
    </row>
    <row r="265" spans="1:13" s="645" customFormat="1" ht="56.25" customHeight="1" x14ac:dyDescent="0.25">
      <c r="A265" s="651" t="s">
        <v>1066</v>
      </c>
      <c r="B265" s="470">
        <v>86879</v>
      </c>
      <c r="C265" s="470" t="s">
        <v>13</v>
      </c>
      <c r="D265" s="532" t="s">
        <v>780</v>
      </c>
      <c r="E265" s="533" t="s">
        <v>14</v>
      </c>
      <c r="F265" s="389">
        <f>'Memória de Cálculo'!J1194</f>
        <v>17</v>
      </c>
      <c r="G265" s="509">
        <v>9.32</v>
      </c>
      <c r="H265" s="288">
        <f t="shared" si="61"/>
        <v>0.2452</v>
      </c>
      <c r="I265" s="287">
        <f t="shared" si="62"/>
        <v>11.6</v>
      </c>
      <c r="J265" s="287">
        <f t="shared" si="63"/>
        <v>158.44</v>
      </c>
      <c r="K265" s="287">
        <f t="shared" si="64"/>
        <v>197.2</v>
      </c>
      <c r="L265" s="289">
        <f t="shared" si="66"/>
        <v>2.2762591629098484E-4</v>
      </c>
    </row>
    <row r="266" spans="1:13" s="645" customFormat="1" ht="56.25" customHeight="1" x14ac:dyDescent="0.25">
      <c r="A266" s="651" t="s">
        <v>1067</v>
      </c>
      <c r="B266" s="470">
        <v>89728</v>
      </c>
      <c r="C266" s="470" t="s">
        <v>13</v>
      </c>
      <c r="D266" s="532" t="s">
        <v>781</v>
      </c>
      <c r="E266" s="470" t="s">
        <v>14</v>
      </c>
      <c r="F266" s="389">
        <f>'Memória de Cálculo'!J1200</f>
        <v>21</v>
      </c>
      <c r="G266" s="509">
        <v>12.46</v>
      </c>
      <c r="H266" s="288">
        <f t="shared" si="61"/>
        <v>0.2452</v>
      </c>
      <c r="I266" s="287">
        <f t="shared" si="62"/>
        <v>15.51</v>
      </c>
      <c r="J266" s="287">
        <f t="shared" si="63"/>
        <v>261.66000000000003</v>
      </c>
      <c r="K266" s="287">
        <f t="shared" si="64"/>
        <v>325.70999999999998</v>
      </c>
      <c r="L266" s="289">
        <f t="shared" si="66"/>
        <v>3.759636774601251E-4</v>
      </c>
    </row>
    <row r="267" spans="1:13" s="645" customFormat="1" ht="56.25" customHeight="1" x14ac:dyDescent="0.25">
      <c r="A267" s="651" t="s">
        <v>1068</v>
      </c>
      <c r="B267" s="470">
        <v>1672</v>
      </c>
      <c r="C267" s="470" t="s">
        <v>581</v>
      </c>
      <c r="D267" s="532" t="s">
        <v>782</v>
      </c>
      <c r="E267" s="533" t="s">
        <v>14</v>
      </c>
      <c r="F267" s="389">
        <f>'Memória de Cálculo'!J1204</f>
        <v>15</v>
      </c>
      <c r="G267" s="509">
        <v>16.34</v>
      </c>
      <c r="H267" s="288">
        <f t="shared" si="61"/>
        <v>0.2452</v>
      </c>
      <c r="I267" s="287">
        <f t="shared" si="62"/>
        <v>20.34</v>
      </c>
      <c r="J267" s="287">
        <f t="shared" si="63"/>
        <v>245.1</v>
      </c>
      <c r="K267" s="287">
        <f t="shared" si="64"/>
        <v>305.10000000000002</v>
      </c>
      <c r="L267" s="289">
        <f t="shared" si="66"/>
        <v>3.5217376805466268E-4</v>
      </c>
    </row>
    <row r="268" spans="1:13" s="645" customFormat="1" ht="56.25" customHeight="1" x14ac:dyDescent="0.25">
      <c r="A268" s="651" t="s">
        <v>1069</v>
      </c>
      <c r="B268" s="470">
        <v>89802</v>
      </c>
      <c r="C268" s="470" t="s">
        <v>13</v>
      </c>
      <c r="D268" s="532" t="s">
        <v>784</v>
      </c>
      <c r="E268" s="470" t="s">
        <v>14</v>
      </c>
      <c r="F268" s="389">
        <f>'Memória de Cálculo'!J1208</f>
        <v>14</v>
      </c>
      <c r="G268" s="509">
        <v>10.5</v>
      </c>
      <c r="H268" s="288">
        <f t="shared" si="61"/>
        <v>0.2452</v>
      </c>
      <c r="I268" s="287">
        <f t="shared" si="62"/>
        <v>13.07</v>
      </c>
      <c r="J268" s="287">
        <f t="shared" si="63"/>
        <v>147</v>
      </c>
      <c r="K268" s="287">
        <f t="shared" si="64"/>
        <v>182.98</v>
      </c>
      <c r="L268" s="289">
        <f t="shared" si="66"/>
        <v>2.1121191766188845E-4</v>
      </c>
    </row>
    <row r="269" spans="1:13" s="645" customFormat="1" ht="56.25" customHeight="1" x14ac:dyDescent="0.25">
      <c r="A269" s="651" t="s">
        <v>1070</v>
      </c>
      <c r="B269" s="470">
        <v>89785</v>
      </c>
      <c r="C269" s="470" t="s">
        <v>13</v>
      </c>
      <c r="D269" s="471" t="s">
        <v>785</v>
      </c>
      <c r="E269" s="470" t="s">
        <v>14</v>
      </c>
      <c r="F269" s="389">
        <f>'Memória de Cálculo'!J1214</f>
        <v>4</v>
      </c>
      <c r="G269" s="509">
        <v>26.01</v>
      </c>
      <c r="H269" s="288">
        <f t="shared" si="61"/>
        <v>0.2452</v>
      </c>
      <c r="I269" s="287">
        <f t="shared" si="62"/>
        <v>32.380000000000003</v>
      </c>
      <c r="J269" s="287">
        <f t="shared" si="63"/>
        <v>104.04</v>
      </c>
      <c r="K269" s="287">
        <f t="shared" si="64"/>
        <v>129.52000000000001</v>
      </c>
      <c r="L269" s="289">
        <f t="shared" si="66"/>
        <v>1.4950359370186794E-4</v>
      </c>
    </row>
    <row r="270" spans="1:13" s="645" customFormat="1" ht="56.25" customHeight="1" x14ac:dyDescent="0.25">
      <c r="A270" s="651" t="s">
        <v>1071</v>
      </c>
      <c r="B270" s="470">
        <v>89849</v>
      </c>
      <c r="C270" s="470" t="s">
        <v>13</v>
      </c>
      <c r="D270" s="532" t="s">
        <v>786</v>
      </c>
      <c r="E270" s="470" t="s">
        <v>16</v>
      </c>
      <c r="F270" s="389">
        <f>'Memória de Cálculo'!J1218</f>
        <v>4.91</v>
      </c>
      <c r="G270" s="509">
        <v>50.22</v>
      </c>
      <c r="H270" s="288">
        <f t="shared" si="61"/>
        <v>0.2452</v>
      </c>
      <c r="I270" s="287">
        <f t="shared" si="62"/>
        <v>62.53</v>
      </c>
      <c r="J270" s="287">
        <f t="shared" si="63"/>
        <v>246.58</v>
      </c>
      <c r="K270" s="287">
        <f t="shared" si="64"/>
        <v>307.02</v>
      </c>
      <c r="L270" s="289">
        <f t="shared" si="66"/>
        <v>3.5439000415648153E-4</v>
      </c>
    </row>
    <row r="271" spans="1:13" s="645" customFormat="1" ht="56.25" customHeight="1" x14ac:dyDescent="0.25">
      <c r="A271" s="651" t="s">
        <v>1072</v>
      </c>
      <c r="B271" s="470">
        <v>89778</v>
      </c>
      <c r="C271" s="470" t="s">
        <v>13</v>
      </c>
      <c r="D271" s="471" t="s">
        <v>787</v>
      </c>
      <c r="E271" s="470" t="s">
        <v>14</v>
      </c>
      <c r="F271" s="389">
        <f>'Memória de Cálculo'!J1222</f>
        <v>25</v>
      </c>
      <c r="G271" s="509">
        <v>16.63</v>
      </c>
      <c r="H271" s="288">
        <f t="shared" si="61"/>
        <v>0.2452</v>
      </c>
      <c r="I271" s="287">
        <f t="shared" si="62"/>
        <v>20.7</v>
      </c>
      <c r="J271" s="287">
        <f t="shared" si="63"/>
        <v>415.75</v>
      </c>
      <c r="K271" s="287">
        <f t="shared" si="64"/>
        <v>517.5</v>
      </c>
      <c r="L271" s="289">
        <f t="shared" si="66"/>
        <v>5.9734488681838064E-4</v>
      </c>
    </row>
    <row r="272" spans="1:13" s="645" customFormat="1" ht="56.25" customHeight="1" x14ac:dyDescent="0.25">
      <c r="A272" s="651" t="s">
        <v>1073</v>
      </c>
      <c r="B272" s="470">
        <v>89753</v>
      </c>
      <c r="C272" s="470" t="s">
        <v>13</v>
      </c>
      <c r="D272" s="471" t="s">
        <v>788</v>
      </c>
      <c r="E272" s="470" t="s">
        <v>14</v>
      </c>
      <c r="F272" s="389">
        <f>'Memória de Cálculo'!J1231</f>
        <v>65</v>
      </c>
      <c r="G272" s="509">
        <v>8.81</v>
      </c>
      <c r="H272" s="288">
        <f t="shared" si="61"/>
        <v>0.2452</v>
      </c>
      <c r="I272" s="287">
        <f t="shared" si="62"/>
        <v>10.97</v>
      </c>
      <c r="J272" s="287">
        <f t="shared" si="63"/>
        <v>572.65</v>
      </c>
      <c r="K272" s="287">
        <f t="shared" si="64"/>
        <v>713.05</v>
      </c>
      <c r="L272" s="289">
        <f t="shared" si="66"/>
        <v>8.2306622520936473E-4</v>
      </c>
    </row>
    <row r="273" spans="1:13" s="645" customFormat="1" ht="56.25" customHeight="1" x14ac:dyDescent="0.25">
      <c r="A273" s="651" t="s">
        <v>1074</v>
      </c>
      <c r="B273" s="470">
        <v>1595</v>
      </c>
      <c r="C273" s="470" t="s">
        <v>581</v>
      </c>
      <c r="D273" s="532" t="s">
        <v>789</v>
      </c>
      <c r="E273" s="470" t="s">
        <v>14</v>
      </c>
      <c r="F273" s="389">
        <f>'Memória de Cálculo'!J1242</f>
        <v>6</v>
      </c>
      <c r="G273" s="509">
        <v>23.45</v>
      </c>
      <c r="H273" s="288">
        <f t="shared" si="61"/>
        <v>0.2452</v>
      </c>
      <c r="I273" s="287">
        <f t="shared" si="62"/>
        <v>29.19</v>
      </c>
      <c r="J273" s="287">
        <f t="shared" si="63"/>
        <v>140.69999999999999</v>
      </c>
      <c r="K273" s="287">
        <f t="shared" si="64"/>
        <v>175.14</v>
      </c>
      <c r="L273" s="289">
        <f t="shared" si="66"/>
        <v>2.0216228691279453E-4</v>
      </c>
    </row>
    <row r="274" spans="1:13" s="645" customFormat="1" ht="56.25" customHeight="1" x14ac:dyDescent="0.25">
      <c r="A274" s="651" t="s">
        <v>1075</v>
      </c>
      <c r="B274" s="470">
        <v>89804</v>
      </c>
      <c r="C274" s="470" t="s">
        <v>13</v>
      </c>
      <c r="D274" s="532" t="s">
        <v>790</v>
      </c>
      <c r="E274" s="470" t="s">
        <v>14</v>
      </c>
      <c r="F274" s="389">
        <f>'Memória de Cálculo'!J1246</f>
        <v>2</v>
      </c>
      <c r="G274" s="509">
        <v>18.739999999999998</v>
      </c>
      <c r="H274" s="288">
        <f t="shared" si="61"/>
        <v>0.2452</v>
      </c>
      <c r="I274" s="287">
        <f t="shared" si="62"/>
        <v>23.33</v>
      </c>
      <c r="J274" s="287">
        <f t="shared" si="63"/>
        <v>37.479999999999997</v>
      </c>
      <c r="K274" s="287">
        <f t="shared" si="64"/>
        <v>46.66</v>
      </c>
      <c r="L274" s="289">
        <f t="shared" si="66"/>
        <v>5.3859154432745191E-5</v>
      </c>
    </row>
    <row r="275" spans="1:13" s="645" customFormat="1" ht="56.25" customHeight="1" x14ac:dyDescent="0.25">
      <c r="A275" s="651" t="s">
        <v>1076</v>
      </c>
      <c r="B275" s="470">
        <v>89798</v>
      </c>
      <c r="C275" s="470" t="s">
        <v>13</v>
      </c>
      <c r="D275" s="532" t="s">
        <v>429</v>
      </c>
      <c r="E275" s="470" t="s">
        <v>16</v>
      </c>
      <c r="F275" s="389">
        <f>'Memória de Cálculo'!J1251</f>
        <v>53.86</v>
      </c>
      <c r="G275" s="509">
        <v>11.61</v>
      </c>
      <c r="H275" s="288">
        <f t="shared" si="61"/>
        <v>0.2452</v>
      </c>
      <c r="I275" s="287">
        <f t="shared" si="62"/>
        <v>14.45</v>
      </c>
      <c r="J275" s="287">
        <f t="shared" si="63"/>
        <v>625.30999999999995</v>
      </c>
      <c r="K275" s="287">
        <f t="shared" si="64"/>
        <v>778.27</v>
      </c>
      <c r="L275" s="289">
        <f t="shared" si="66"/>
        <v>8.9834899529302626E-4</v>
      </c>
    </row>
    <row r="276" spans="1:13" s="645" customFormat="1" ht="56.25" customHeight="1" x14ac:dyDescent="0.25">
      <c r="A276" s="651" t="s">
        <v>1077</v>
      </c>
      <c r="B276" s="470">
        <v>104352</v>
      </c>
      <c r="C276" s="470" t="s">
        <v>13</v>
      </c>
      <c r="D276" s="471" t="s">
        <v>791</v>
      </c>
      <c r="E276" s="470" t="s">
        <v>14</v>
      </c>
      <c r="F276" s="389">
        <f>'Memória de Cálculo'!J1255</f>
        <v>1</v>
      </c>
      <c r="G276" s="509">
        <v>38.26</v>
      </c>
      <c r="H276" s="288">
        <f t="shared" si="61"/>
        <v>0.2452</v>
      </c>
      <c r="I276" s="287">
        <f t="shared" si="62"/>
        <v>47.64</v>
      </c>
      <c r="J276" s="287">
        <f t="shared" si="63"/>
        <v>38.26</v>
      </c>
      <c r="K276" s="287">
        <f t="shared" si="64"/>
        <v>47.64</v>
      </c>
      <c r="L276" s="289">
        <f t="shared" si="66"/>
        <v>5.4990358276381938E-5</v>
      </c>
    </row>
    <row r="277" spans="1:13" s="645" customFormat="1" ht="56.25" customHeight="1" x14ac:dyDescent="0.25">
      <c r="A277" s="651" t="s">
        <v>1078</v>
      </c>
      <c r="B277" s="470">
        <v>89825</v>
      </c>
      <c r="C277" s="470" t="s">
        <v>13</v>
      </c>
      <c r="D277" s="471" t="s">
        <v>792</v>
      </c>
      <c r="E277" s="470" t="s">
        <v>14</v>
      </c>
      <c r="F277" s="389">
        <f>'Memória de Cálculo'!J1260</f>
        <v>16</v>
      </c>
      <c r="G277" s="509">
        <v>16.98</v>
      </c>
      <c r="H277" s="288">
        <f t="shared" si="61"/>
        <v>0.2452</v>
      </c>
      <c r="I277" s="287">
        <f t="shared" si="62"/>
        <v>21.14</v>
      </c>
      <c r="J277" s="287">
        <f t="shared" si="63"/>
        <v>271.68</v>
      </c>
      <c r="K277" s="287">
        <f t="shared" si="64"/>
        <v>338.24</v>
      </c>
      <c r="L277" s="289">
        <f t="shared" si="66"/>
        <v>3.904269266037663E-4</v>
      </c>
    </row>
    <row r="278" spans="1:13" s="645" customFormat="1" ht="56.25" customHeight="1" x14ac:dyDescent="0.25">
      <c r="A278" s="651" t="s">
        <v>1079</v>
      </c>
      <c r="B278" s="470">
        <v>98069</v>
      </c>
      <c r="C278" s="470" t="s">
        <v>13</v>
      </c>
      <c r="D278" s="471" t="s">
        <v>863</v>
      </c>
      <c r="E278" s="470" t="s">
        <v>14</v>
      </c>
      <c r="F278" s="389">
        <f>'Memória de Cálculo'!J1264</f>
        <v>1</v>
      </c>
      <c r="G278" s="509">
        <v>11394.28</v>
      </c>
      <c r="H278" s="288">
        <f t="shared" si="61"/>
        <v>0.2452</v>
      </c>
      <c r="I278" s="287">
        <f t="shared" si="62"/>
        <v>14188.15</v>
      </c>
      <c r="J278" s="287">
        <f t="shared" si="63"/>
        <v>11394.28</v>
      </c>
      <c r="K278" s="287">
        <f t="shared" si="64"/>
        <v>14188.15</v>
      </c>
      <c r="L278" s="289">
        <f t="shared" si="66"/>
        <v>1.6377234504178176E-2</v>
      </c>
    </row>
    <row r="279" spans="1:13" s="645" customFormat="1" ht="19.5" customHeight="1" x14ac:dyDescent="0.25">
      <c r="A279" s="670" t="s">
        <v>228</v>
      </c>
      <c r="B279" s="293"/>
      <c r="C279" s="293"/>
      <c r="D279" s="294" t="s">
        <v>301</v>
      </c>
      <c r="E279" s="295"/>
      <c r="F279" s="391"/>
      <c r="G279" s="296"/>
      <c r="H279" s="296"/>
      <c r="I279" s="330"/>
      <c r="J279" s="331">
        <f>SUM(J280:J295)</f>
        <v>10426.549999999999</v>
      </c>
      <c r="K279" s="332">
        <f>SUM(K280:K295)</f>
        <v>12982.31</v>
      </c>
      <c r="L279" s="405">
        <f t="shared" ref="L279:L286" si="67">K279/$J$321</f>
        <v>1.4985345889064987E-2</v>
      </c>
    </row>
    <row r="280" spans="1:13" s="645" customFormat="1" ht="56.25" customHeight="1" x14ac:dyDescent="0.25">
      <c r="A280" s="651" t="s">
        <v>1080</v>
      </c>
      <c r="B280" s="285">
        <v>99253</v>
      </c>
      <c r="C280" s="285" t="s">
        <v>13</v>
      </c>
      <c r="D280" s="329" t="s">
        <v>332</v>
      </c>
      <c r="E280" s="285" t="s">
        <v>289</v>
      </c>
      <c r="F280" s="389">
        <f>'Memória de Cálculo'!J1269</f>
        <v>7</v>
      </c>
      <c r="G280" s="509">
        <v>543.9</v>
      </c>
      <c r="H280" s="288">
        <f t="shared" ref="H280:H295" si="68">$K$4</f>
        <v>0.2452</v>
      </c>
      <c r="I280" s="287">
        <f>TRUNC(G280*1.2452,2)</f>
        <v>677.26</v>
      </c>
      <c r="J280" s="287">
        <f>TRUNC(F280*G280,2)</f>
        <v>3807.3</v>
      </c>
      <c r="K280" s="287">
        <f>TRUNC(F280*I280,2)</f>
        <v>4740.82</v>
      </c>
      <c r="L280" s="289">
        <f t="shared" si="67"/>
        <v>5.4722793938672756E-3</v>
      </c>
      <c r="M280" s="645">
        <v>501.21</v>
      </c>
    </row>
    <row r="281" spans="1:13" s="645" customFormat="1" ht="54.75" customHeight="1" x14ac:dyDescent="0.25">
      <c r="A281" s="651" t="s">
        <v>1081</v>
      </c>
      <c r="B281" s="285">
        <v>99250</v>
      </c>
      <c r="C281" s="285" t="s">
        <v>13</v>
      </c>
      <c r="D281" s="329" t="s">
        <v>369</v>
      </c>
      <c r="E281" s="285" t="s">
        <v>289</v>
      </c>
      <c r="F281" s="389">
        <f>'Memória de Cálculo'!J1273</f>
        <v>2</v>
      </c>
      <c r="G281" s="509">
        <v>181.02</v>
      </c>
      <c r="H281" s="288">
        <f t="shared" si="68"/>
        <v>0.2452</v>
      </c>
      <c r="I281" s="287">
        <f t="shared" ref="I281:I295" si="69">TRUNC(G281*1.2452,2)</f>
        <v>225.4</v>
      </c>
      <c r="J281" s="287">
        <f t="shared" ref="J281:J295" si="70">TRUNC(F281*G281,2)</f>
        <v>362.04</v>
      </c>
      <c r="K281" s="287">
        <f t="shared" ref="K281:K295" si="71">TRUNC(F281*I281,2)</f>
        <v>450.8</v>
      </c>
      <c r="L281" s="289">
        <f t="shared" si="67"/>
        <v>5.203537680729004E-4</v>
      </c>
      <c r="M281" s="645">
        <v>167.05</v>
      </c>
    </row>
    <row r="282" spans="1:13" s="645" customFormat="1" ht="54" customHeight="1" x14ac:dyDescent="0.25">
      <c r="A282" s="651" t="s">
        <v>1082</v>
      </c>
      <c r="B282" s="285">
        <v>104168</v>
      </c>
      <c r="C282" s="285" t="s">
        <v>13</v>
      </c>
      <c r="D282" s="292" t="s">
        <v>303</v>
      </c>
      <c r="E282" s="285" t="s">
        <v>289</v>
      </c>
      <c r="F282" s="389">
        <f>'Memória de Cálculo'!J1277</f>
        <v>2</v>
      </c>
      <c r="G282" s="509">
        <v>110.12</v>
      </c>
      <c r="H282" s="288">
        <f t="shared" si="68"/>
        <v>0.2452</v>
      </c>
      <c r="I282" s="287">
        <f t="shared" si="69"/>
        <v>137.12</v>
      </c>
      <c r="J282" s="287">
        <f t="shared" si="70"/>
        <v>220.24</v>
      </c>
      <c r="K282" s="287">
        <f t="shared" si="71"/>
        <v>274.24</v>
      </c>
      <c r="L282" s="289">
        <f t="shared" si="67"/>
        <v>3.16552389876469E-4</v>
      </c>
      <c r="M282" s="645">
        <v>122.55</v>
      </c>
    </row>
    <row r="283" spans="1:13" s="645" customFormat="1" ht="53.25" customHeight="1" x14ac:dyDescent="0.25">
      <c r="A283" s="651" t="s">
        <v>1083</v>
      </c>
      <c r="B283" s="285">
        <v>89531</v>
      </c>
      <c r="C283" s="285" t="s">
        <v>13</v>
      </c>
      <c r="D283" s="292" t="s">
        <v>302</v>
      </c>
      <c r="E283" s="285" t="s">
        <v>289</v>
      </c>
      <c r="F283" s="389">
        <f>'Memória de Cálculo'!J1281</f>
        <v>4</v>
      </c>
      <c r="G283" s="509">
        <v>35.54</v>
      </c>
      <c r="H283" s="288">
        <f t="shared" si="68"/>
        <v>0.2452</v>
      </c>
      <c r="I283" s="287">
        <f t="shared" si="69"/>
        <v>44.25</v>
      </c>
      <c r="J283" s="287">
        <f t="shared" si="70"/>
        <v>142.16</v>
      </c>
      <c r="K283" s="287">
        <f t="shared" si="71"/>
        <v>177</v>
      </c>
      <c r="L283" s="289">
        <f t="shared" si="67"/>
        <v>2.0430926563643162E-4</v>
      </c>
      <c r="M283" s="645">
        <v>38.380000000000003</v>
      </c>
    </row>
    <row r="284" spans="1:13" s="645" customFormat="1" ht="41.25" customHeight="1" x14ac:dyDescent="0.25">
      <c r="A284" s="651" t="s">
        <v>1084</v>
      </c>
      <c r="B284" s="285">
        <v>104064</v>
      </c>
      <c r="C284" s="285" t="s">
        <v>13</v>
      </c>
      <c r="D284" s="329" t="s">
        <v>331</v>
      </c>
      <c r="E284" s="285" t="s">
        <v>289</v>
      </c>
      <c r="F284" s="389">
        <f>'Memória de Cálculo'!J1285</f>
        <v>1</v>
      </c>
      <c r="G284" s="509">
        <v>149.05000000000001</v>
      </c>
      <c r="H284" s="288">
        <f t="shared" si="68"/>
        <v>0.2452</v>
      </c>
      <c r="I284" s="287">
        <f t="shared" si="69"/>
        <v>185.59</v>
      </c>
      <c r="J284" s="287">
        <f t="shared" si="70"/>
        <v>149.05000000000001</v>
      </c>
      <c r="K284" s="287">
        <f t="shared" si="71"/>
        <v>185.59</v>
      </c>
      <c r="L284" s="289">
        <f t="shared" si="67"/>
        <v>2.1422461361279857E-4</v>
      </c>
      <c r="M284" s="645">
        <v>178.77</v>
      </c>
    </row>
    <row r="285" spans="1:13" s="645" customFormat="1" ht="54.75" customHeight="1" x14ac:dyDescent="0.25">
      <c r="A285" s="651" t="s">
        <v>1085</v>
      </c>
      <c r="B285" s="285">
        <v>95695</v>
      </c>
      <c r="C285" s="285" t="s">
        <v>13</v>
      </c>
      <c r="D285" s="292" t="s">
        <v>304</v>
      </c>
      <c r="E285" s="285" t="s">
        <v>289</v>
      </c>
      <c r="F285" s="389">
        <f>'Memória de Cálculo'!J1289</f>
        <v>3</v>
      </c>
      <c r="G285" s="509">
        <v>55.44</v>
      </c>
      <c r="H285" s="288">
        <f t="shared" si="68"/>
        <v>0.2452</v>
      </c>
      <c r="I285" s="287">
        <f t="shared" si="69"/>
        <v>69.03</v>
      </c>
      <c r="J285" s="287">
        <f t="shared" si="70"/>
        <v>166.32</v>
      </c>
      <c r="K285" s="287">
        <f t="shared" si="71"/>
        <v>207.09</v>
      </c>
      <c r="L285" s="289">
        <f t="shared" si="67"/>
        <v>2.3904184079462501E-4</v>
      </c>
      <c r="M285" s="645">
        <v>59.9</v>
      </c>
    </row>
    <row r="286" spans="1:13" s="660" customFormat="1" ht="54.75" customHeight="1" x14ac:dyDescent="0.25">
      <c r="A286" s="651" t="s">
        <v>1086</v>
      </c>
      <c r="B286" s="500" t="s">
        <v>824</v>
      </c>
      <c r="C286" s="500" t="s">
        <v>13</v>
      </c>
      <c r="D286" s="471" t="s">
        <v>825</v>
      </c>
      <c r="E286" s="500" t="s">
        <v>14</v>
      </c>
      <c r="F286" s="387">
        <f>'Memória de Cálculo'!J1293</f>
        <v>1</v>
      </c>
      <c r="G286" s="509">
        <v>53.81</v>
      </c>
      <c r="H286" s="288">
        <f t="shared" si="68"/>
        <v>0.2452</v>
      </c>
      <c r="I286" s="287">
        <f t="shared" si="69"/>
        <v>67</v>
      </c>
      <c r="J286" s="287">
        <f t="shared" si="70"/>
        <v>53.81</v>
      </c>
      <c r="K286" s="287">
        <f t="shared" si="71"/>
        <v>67</v>
      </c>
      <c r="L286" s="289">
        <f t="shared" si="67"/>
        <v>7.7337405636389368E-5</v>
      </c>
    </row>
    <row r="287" spans="1:13" s="645" customFormat="1" ht="53.25" customHeight="1" x14ac:dyDescent="0.25">
      <c r="A287" s="651" t="s">
        <v>1087</v>
      </c>
      <c r="B287" s="285">
        <v>89576</v>
      </c>
      <c r="C287" s="285" t="s">
        <v>13</v>
      </c>
      <c r="D287" s="329" t="s">
        <v>305</v>
      </c>
      <c r="E287" s="285" t="s">
        <v>16</v>
      </c>
      <c r="F287" s="389">
        <f>'Memória de Cálculo'!J1298</f>
        <v>5.5</v>
      </c>
      <c r="G287" s="509">
        <v>22.56</v>
      </c>
      <c r="H287" s="288">
        <f t="shared" si="68"/>
        <v>0.2452</v>
      </c>
      <c r="I287" s="287">
        <f t="shared" si="69"/>
        <v>28.09</v>
      </c>
      <c r="J287" s="287">
        <f t="shared" si="70"/>
        <v>124.08</v>
      </c>
      <c r="K287" s="287">
        <f t="shared" si="71"/>
        <v>154.49</v>
      </c>
      <c r="L287" s="289">
        <f>K287/$J$321</f>
        <v>1.7832620592187753E-4</v>
      </c>
      <c r="M287" s="645">
        <v>26.39</v>
      </c>
    </row>
    <row r="288" spans="1:13" s="645" customFormat="1" ht="50.25" customHeight="1" x14ac:dyDescent="0.25">
      <c r="A288" s="651" t="s">
        <v>1088</v>
      </c>
      <c r="B288" s="285">
        <v>89578</v>
      </c>
      <c r="C288" s="285" t="s">
        <v>13</v>
      </c>
      <c r="D288" s="329" t="s">
        <v>306</v>
      </c>
      <c r="E288" s="285" t="s">
        <v>16</v>
      </c>
      <c r="F288" s="389">
        <f>'Memória de Cálculo'!J1302</f>
        <v>34.43</v>
      </c>
      <c r="G288" s="509">
        <v>28.16</v>
      </c>
      <c r="H288" s="288">
        <f t="shared" si="68"/>
        <v>0.2452</v>
      </c>
      <c r="I288" s="287">
        <f t="shared" si="69"/>
        <v>35.06</v>
      </c>
      <c r="J288" s="287">
        <f t="shared" si="70"/>
        <v>969.54</v>
      </c>
      <c r="K288" s="287">
        <f t="shared" si="71"/>
        <v>1207.1099999999999</v>
      </c>
      <c r="L288" s="289">
        <f>K288/$J$321</f>
        <v>1.3933545629513727E-3</v>
      </c>
      <c r="M288" s="645">
        <v>32.68</v>
      </c>
    </row>
    <row r="289" spans="1:13" s="645" customFormat="1" ht="42.75" customHeight="1" x14ac:dyDescent="0.25">
      <c r="A289" s="651" t="s">
        <v>1089</v>
      </c>
      <c r="B289" s="285">
        <v>89580</v>
      </c>
      <c r="C289" s="285" t="s">
        <v>13</v>
      </c>
      <c r="D289" s="329" t="s">
        <v>307</v>
      </c>
      <c r="E289" s="285" t="s">
        <v>16</v>
      </c>
      <c r="F289" s="389">
        <f>'Memória de Cálculo'!J1306</f>
        <v>51.73</v>
      </c>
      <c r="G289" s="509">
        <v>57.98</v>
      </c>
      <c r="H289" s="288">
        <f t="shared" si="68"/>
        <v>0.2452</v>
      </c>
      <c r="I289" s="287">
        <f t="shared" si="69"/>
        <v>72.19</v>
      </c>
      <c r="J289" s="287">
        <f t="shared" si="70"/>
        <v>2999.3</v>
      </c>
      <c r="K289" s="287">
        <f t="shared" si="71"/>
        <v>3734.38</v>
      </c>
      <c r="L289" s="289">
        <f>K289/$J$321</f>
        <v>4.3105561322450709E-3</v>
      </c>
      <c r="M289" s="645">
        <v>67.709999999999994</v>
      </c>
    </row>
    <row r="290" spans="1:13" s="645" customFormat="1" ht="48" customHeight="1" x14ac:dyDescent="0.25">
      <c r="A290" s="651" t="s">
        <v>1090</v>
      </c>
      <c r="B290" s="285">
        <v>89584</v>
      </c>
      <c r="C290" s="285" t="s">
        <v>13</v>
      </c>
      <c r="D290" s="329" t="s">
        <v>411</v>
      </c>
      <c r="E290" s="285" t="s">
        <v>289</v>
      </c>
      <c r="F290" s="389">
        <f>'Memória de Cálculo'!J1310</f>
        <v>8</v>
      </c>
      <c r="G290" s="509">
        <v>42.06</v>
      </c>
      <c r="H290" s="288">
        <f t="shared" si="68"/>
        <v>0.2452</v>
      </c>
      <c r="I290" s="287">
        <f t="shared" si="69"/>
        <v>52.37</v>
      </c>
      <c r="J290" s="287">
        <f t="shared" si="70"/>
        <v>336.48</v>
      </c>
      <c r="K290" s="287">
        <f t="shared" si="71"/>
        <v>418.96</v>
      </c>
      <c r="L290" s="289">
        <f>K290/$J$321</f>
        <v>4.8360118605107001E-4</v>
      </c>
      <c r="M290" s="645">
        <v>43.75</v>
      </c>
    </row>
    <row r="291" spans="1:13" s="645" customFormat="1" ht="48" customHeight="1" x14ac:dyDescent="0.25">
      <c r="A291" s="651" t="s">
        <v>1091</v>
      </c>
      <c r="B291" s="470" t="s">
        <v>826</v>
      </c>
      <c r="C291" s="470" t="s">
        <v>581</v>
      </c>
      <c r="D291" s="471" t="s">
        <v>827</v>
      </c>
      <c r="E291" s="470" t="s">
        <v>14</v>
      </c>
      <c r="F291" s="389">
        <f>'Memória de Cálculo'!J1314</f>
        <v>6</v>
      </c>
      <c r="G291" s="509">
        <v>41.81</v>
      </c>
      <c r="H291" s="288">
        <f t="shared" si="68"/>
        <v>0.2452</v>
      </c>
      <c r="I291" s="287">
        <f t="shared" si="69"/>
        <v>52.06</v>
      </c>
      <c r="J291" s="287">
        <f t="shared" si="70"/>
        <v>250.86</v>
      </c>
      <c r="K291" s="287">
        <f t="shared" si="71"/>
        <v>312.36</v>
      </c>
      <c r="L291" s="289">
        <f t="shared" ref="L291:L295" si="72">K291/$J$321</f>
        <v>3.6055391081466544E-4</v>
      </c>
    </row>
    <row r="292" spans="1:13" s="645" customFormat="1" ht="48" customHeight="1" x14ac:dyDescent="0.25">
      <c r="A292" s="651" t="s">
        <v>1092</v>
      </c>
      <c r="B292" s="470" t="s">
        <v>828</v>
      </c>
      <c r="C292" s="470" t="s">
        <v>13</v>
      </c>
      <c r="D292" s="471" t="s">
        <v>829</v>
      </c>
      <c r="E292" s="470" t="s">
        <v>14</v>
      </c>
      <c r="F292" s="389">
        <f>'Memória de Cálculo'!J1318</f>
        <v>1</v>
      </c>
      <c r="G292" s="509">
        <v>18.64</v>
      </c>
      <c r="H292" s="288">
        <f t="shared" si="68"/>
        <v>0.2452</v>
      </c>
      <c r="I292" s="287">
        <f t="shared" si="69"/>
        <v>23.21</v>
      </c>
      <c r="J292" s="287">
        <f t="shared" si="70"/>
        <v>18.64</v>
      </c>
      <c r="K292" s="287">
        <f t="shared" si="71"/>
        <v>23.21</v>
      </c>
      <c r="L292" s="289">
        <f t="shared" si="72"/>
        <v>2.6791062460008917E-5</v>
      </c>
    </row>
    <row r="293" spans="1:13" s="645" customFormat="1" ht="48" customHeight="1" x14ac:dyDescent="0.25">
      <c r="A293" s="651" t="s">
        <v>1093</v>
      </c>
      <c r="B293" s="470">
        <v>89699</v>
      </c>
      <c r="C293" s="470" t="s">
        <v>13</v>
      </c>
      <c r="D293" s="471" t="s">
        <v>830</v>
      </c>
      <c r="E293" s="470" t="s">
        <v>14</v>
      </c>
      <c r="F293" s="389">
        <f>'Memória de Cálculo'!J1322</f>
        <v>1</v>
      </c>
      <c r="G293" s="509">
        <v>180.25</v>
      </c>
      <c r="H293" s="288">
        <f t="shared" si="68"/>
        <v>0.2452</v>
      </c>
      <c r="I293" s="287">
        <f t="shared" si="69"/>
        <v>224.44</v>
      </c>
      <c r="J293" s="287">
        <f t="shared" si="70"/>
        <v>180.25</v>
      </c>
      <c r="K293" s="287">
        <f t="shared" si="71"/>
        <v>224.44</v>
      </c>
      <c r="L293" s="289">
        <f t="shared" si="72"/>
        <v>2.5906876598554078E-4</v>
      </c>
    </row>
    <row r="294" spans="1:13" s="645" customFormat="1" ht="48" customHeight="1" x14ac:dyDescent="0.25">
      <c r="A294" s="651" t="s">
        <v>1094</v>
      </c>
      <c r="B294" s="470">
        <v>89669</v>
      </c>
      <c r="C294" s="470" t="s">
        <v>13</v>
      </c>
      <c r="D294" s="471" t="s">
        <v>831</v>
      </c>
      <c r="E294" s="470" t="s">
        <v>14</v>
      </c>
      <c r="F294" s="389">
        <f>'Memória de Cálculo'!J1326</f>
        <v>16</v>
      </c>
      <c r="G294" s="509">
        <v>31.28</v>
      </c>
      <c r="H294" s="288">
        <f t="shared" si="68"/>
        <v>0.2452</v>
      </c>
      <c r="I294" s="287">
        <f t="shared" si="69"/>
        <v>38.94</v>
      </c>
      <c r="J294" s="287">
        <f t="shared" si="70"/>
        <v>500.48</v>
      </c>
      <c r="K294" s="287">
        <f t="shared" si="71"/>
        <v>623.04</v>
      </c>
      <c r="L294" s="289">
        <f t="shared" si="72"/>
        <v>7.1916861504023929E-4</v>
      </c>
    </row>
    <row r="295" spans="1:13" s="645" customFormat="1" ht="48" customHeight="1" x14ac:dyDescent="0.25">
      <c r="A295" s="651" t="s">
        <v>1095</v>
      </c>
      <c r="B295" s="470">
        <v>89693</v>
      </c>
      <c r="C295" s="470" t="s">
        <v>13</v>
      </c>
      <c r="D295" s="471" t="s">
        <v>832</v>
      </c>
      <c r="E295" s="470" t="s">
        <v>14</v>
      </c>
      <c r="F295" s="389">
        <f>'Memória de Cálculo'!J1334</f>
        <v>2</v>
      </c>
      <c r="G295" s="509">
        <v>73</v>
      </c>
      <c r="H295" s="288">
        <f t="shared" si="68"/>
        <v>0.2452</v>
      </c>
      <c r="I295" s="287">
        <f t="shared" si="69"/>
        <v>90.89</v>
      </c>
      <c r="J295" s="287">
        <f t="shared" si="70"/>
        <v>146</v>
      </c>
      <c r="K295" s="287">
        <f t="shared" si="71"/>
        <v>181.78</v>
      </c>
      <c r="L295" s="289">
        <f t="shared" si="72"/>
        <v>2.0982677009825164E-4</v>
      </c>
    </row>
    <row r="296" spans="1:13" s="645" customFormat="1" ht="21.75" customHeight="1" x14ac:dyDescent="0.25">
      <c r="A296" s="674">
        <v>10</v>
      </c>
      <c r="B296" s="406"/>
      <c r="C296" s="406"/>
      <c r="D296" s="407" t="s">
        <v>371</v>
      </c>
      <c r="E296" s="291"/>
      <c r="F296" s="408"/>
      <c r="G296" s="409"/>
      <c r="H296" s="409"/>
      <c r="I296" s="513"/>
      <c r="J296" s="514">
        <f>SUM(J297:J313)</f>
        <v>51600.630000000005</v>
      </c>
      <c r="K296" s="515">
        <f>SUM(K297:K313)</f>
        <v>64251.06</v>
      </c>
      <c r="L296" s="404">
        <f>K296/$J$321</f>
        <v>7.4164332683402862E-2</v>
      </c>
    </row>
    <row r="297" spans="1:13" s="645" customFormat="1" ht="54.75" customHeight="1" x14ac:dyDescent="0.25">
      <c r="A297" s="651" t="s">
        <v>116</v>
      </c>
      <c r="B297" s="285">
        <v>103957</v>
      </c>
      <c r="C297" s="285" t="s">
        <v>13</v>
      </c>
      <c r="D297" s="329" t="s">
        <v>431</v>
      </c>
      <c r="E297" s="285" t="s">
        <v>14</v>
      </c>
      <c r="F297" s="389">
        <f>'Memória de Cálculo'!J1339</f>
        <v>14</v>
      </c>
      <c r="G297" s="509">
        <v>4.8499999999999996</v>
      </c>
      <c r="H297" s="288">
        <f t="shared" ref="H297:H313" si="73">$K$4</f>
        <v>0.2452</v>
      </c>
      <c r="I297" s="287">
        <f>TRUNC(G297*1.2452,2)</f>
        <v>6.03</v>
      </c>
      <c r="J297" s="287">
        <f>TRUNC(F297*G297,2)</f>
        <v>67.900000000000006</v>
      </c>
      <c r="K297" s="287">
        <f>TRUNC(F297*I297,2)</f>
        <v>84.42</v>
      </c>
      <c r="L297" s="289">
        <f t="shared" ref="L297:L318" si="74">K297/$J$321</f>
        <v>9.7445131101850607E-5</v>
      </c>
      <c r="M297" s="645">
        <v>9.24</v>
      </c>
    </row>
    <row r="298" spans="1:13" s="645" customFormat="1" ht="41.25" customHeight="1" x14ac:dyDescent="0.25">
      <c r="A298" s="651" t="s">
        <v>117</v>
      </c>
      <c r="B298" s="285">
        <v>89867</v>
      </c>
      <c r="C298" s="285" t="s">
        <v>13</v>
      </c>
      <c r="D298" s="329" t="s">
        <v>376</v>
      </c>
      <c r="E298" s="285" t="s">
        <v>14</v>
      </c>
      <c r="F298" s="389">
        <f>'Memória de Cálculo'!J1343</f>
        <v>11</v>
      </c>
      <c r="G298" s="509">
        <v>8.16</v>
      </c>
      <c r="H298" s="288">
        <f t="shared" si="73"/>
        <v>0.2452</v>
      </c>
      <c r="I298" s="287">
        <f t="shared" ref="I298:I313" si="75">TRUNC(G298*1.2452,2)</f>
        <v>10.16</v>
      </c>
      <c r="J298" s="287">
        <f t="shared" ref="J298:J313" si="76">TRUNC(F298*G298,2)</f>
        <v>89.76</v>
      </c>
      <c r="K298" s="287">
        <f t="shared" ref="K298:K313" si="77">TRUNC(F298*I298,2)</f>
        <v>111.76</v>
      </c>
      <c r="L298" s="289">
        <f t="shared" si="74"/>
        <v>1.2900340976004294E-4</v>
      </c>
    </row>
    <row r="299" spans="1:13" s="645" customFormat="1" ht="45.75" customHeight="1" x14ac:dyDescent="0.25">
      <c r="A299" s="651" t="s">
        <v>118</v>
      </c>
      <c r="B299" s="675">
        <v>104320</v>
      </c>
      <c r="C299" s="285" t="s">
        <v>13</v>
      </c>
      <c r="D299" s="676" t="s">
        <v>410</v>
      </c>
      <c r="E299" s="285" t="s">
        <v>14</v>
      </c>
      <c r="F299" s="389">
        <f>'Memória de Cálculo'!J1347</f>
        <v>10</v>
      </c>
      <c r="G299" s="509">
        <v>11.46</v>
      </c>
      <c r="H299" s="288">
        <f t="shared" si="73"/>
        <v>0.2452</v>
      </c>
      <c r="I299" s="287">
        <f t="shared" si="75"/>
        <v>14.26</v>
      </c>
      <c r="J299" s="287">
        <f t="shared" si="76"/>
        <v>114.6</v>
      </c>
      <c r="K299" s="287">
        <f t="shared" si="77"/>
        <v>142.6</v>
      </c>
      <c r="L299" s="289">
        <f t="shared" si="74"/>
        <v>1.6460170214550933E-4</v>
      </c>
    </row>
    <row r="300" spans="1:13" s="645" customFormat="1" ht="45.75" customHeight="1" x14ac:dyDescent="0.25">
      <c r="A300" s="651" t="s">
        <v>119</v>
      </c>
      <c r="B300" s="285">
        <v>89866</v>
      </c>
      <c r="C300" s="285" t="s">
        <v>13</v>
      </c>
      <c r="D300" s="329" t="s">
        <v>377</v>
      </c>
      <c r="E300" s="285" t="s">
        <v>14</v>
      </c>
      <c r="F300" s="389">
        <f>'Memória de Cálculo'!J1351</f>
        <v>38</v>
      </c>
      <c r="G300" s="509">
        <v>7.42</v>
      </c>
      <c r="H300" s="288">
        <f t="shared" si="73"/>
        <v>0.2452</v>
      </c>
      <c r="I300" s="287">
        <f t="shared" si="75"/>
        <v>9.23</v>
      </c>
      <c r="J300" s="287">
        <f t="shared" si="76"/>
        <v>281.95999999999998</v>
      </c>
      <c r="K300" s="287">
        <f t="shared" si="77"/>
        <v>350.74</v>
      </c>
      <c r="L300" s="289">
        <f t="shared" si="74"/>
        <v>4.0485554705831659E-4</v>
      </c>
    </row>
    <row r="301" spans="1:13" s="645" customFormat="1" ht="43.5" customHeight="1" x14ac:dyDescent="0.25">
      <c r="A301" s="651" t="s">
        <v>370</v>
      </c>
      <c r="B301" s="285">
        <v>89532</v>
      </c>
      <c r="C301" s="285" t="s">
        <v>13</v>
      </c>
      <c r="D301" s="329" t="s">
        <v>378</v>
      </c>
      <c r="E301" s="285" t="s">
        <v>14</v>
      </c>
      <c r="F301" s="389">
        <f>'Memória de Cálculo'!J1355</f>
        <v>15</v>
      </c>
      <c r="G301" s="509">
        <v>6.91</v>
      </c>
      <c r="H301" s="288">
        <f t="shared" si="73"/>
        <v>0.2452</v>
      </c>
      <c r="I301" s="287">
        <f t="shared" si="75"/>
        <v>8.6</v>
      </c>
      <c r="J301" s="287">
        <f t="shared" si="76"/>
        <v>103.65</v>
      </c>
      <c r="K301" s="287">
        <f t="shared" si="77"/>
        <v>129</v>
      </c>
      <c r="L301" s="289">
        <f t="shared" si="74"/>
        <v>1.4890336309095865E-4</v>
      </c>
    </row>
    <row r="302" spans="1:13" s="645" customFormat="1" ht="44.25" customHeight="1" x14ac:dyDescent="0.25">
      <c r="A302" s="651" t="s">
        <v>1096</v>
      </c>
      <c r="B302" s="285">
        <v>89869</v>
      </c>
      <c r="C302" s="285" t="s">
        <v>13</v>
      </c>
      <c r="D302" s="329" t="s">
        <v>374</v>
      </c>
      <c r="E302" s="285" t="s">
        <v>14</v>
      </c>
      <c r="F302" s="389">
        <f>'Memória de Cálculo'!J1359</f>
        <v>2</v>
      </c>
      <c r="G302" s="509">
        <v>10.29</v>
      </c>
      <c r="H302" s="288">
        <f t="shared" si="73"/>
        <v>0.2452</v>
      </c>
      <c r="I302" s="287">
        <f t="shared" si="75"/>
        <v>12.81</v>
      </c>
      <c r="J302" s="287">
        <f t="shared" si="76"/>
        <v>20.58</v>
      </c>
      <c r="K302" s="287">
        <f t="shared" si="77"/>
        <v>25.62</v>
      </c>
      <c r="L302" s="289">
        <f t="shared" si="74"/>
        <v>2.9572900483646207E-5</v>
      </c>
      <c r="M302" s="645">
        <v>12.91</v>
      </c>
    </row>
    <row r="303" spans="1:13" s="645" customFormat="1" ht="39" customHeight="1" x14ac:dyDescent="0.25">
      <c r="A303" s="651" t="s">
        <v>1097</v>
      </c>
      <c r="B303" s="285">
        <v>104324</v>
      </c>
      <c r="C303" s="285" t="s">
        <v>13</v>
      </c>
      <c r="D303" s="329" t="s">
        <v>375</v>
      </c>
      <c r="E303" s="285" t="s">
        <v>14</v>
      </c>
      <c r="F303" s="389">
        <f>'Memória de Cálculo'!J1363</f>
        <v>10</v>
      </c>
      <c r="G303" s="509">
        <v>13.84</v>
      </c>
      <c r="H303" s="288">
        <f t="shared" si="73"/>
        <v>0.2452</v>
      </c>
      <c r="I303" s="287">
        <f t="shared" si="75"/>
        <v>17.23</v>
      </c>
      <c r="J303" s="287">
        <f t="shared" si="76"/>
        <v>138.4</v>
      </c>
      <c r="K303" s="287">
        <f t="shared" si="77"/>
        <v>172.3</v>
      </c>
      <c r="L303" s="289">
        <f t="shared" si="74"/>
        <v>1.9888410434552075E-4</v>
      </c>
      <c r="M303" s="645">
        <v>7.43</v>
      </c>
    </row>
    <row r="304" spans="1:13" s="645" customFormat="1" ht="43.5" customHeight="1" x14ac:dyDescent="0.25">
      <c r="A304" s="651" t="s">
        <v>1098</v>
      </c>
      <c r="B304" s="285">
        <v>89400</v>
      </c>
      <c r="C304" s="285" t="s">
        <v>13</v>
      </c>
      <c r="D304" s="329" t="s">
        <v>317</v>
      </c>
      <c r="E304" s="285" t="s">
        <v>14</v>
      </c>
      <c r="F304" s="389">
        <f>'Memória de Cálculo'!J1367</f>
        <v>2</v>
      </c>
      <c r="G304" s="509">
        <v>19.77</v>
      </c>
      <c r="H304" s="288">
        <f t="shared" si="73"/>
        <v>0.2452</v>
      </c>
      <c r="I304" s="287">
        <f t="shared" si="75"/>
        <v>24.61</v>
      </c>
      <c r="J304" s="287">
        <f t="shared" si="76"/>
        <v>39.54</v>
      </c>
      <c r="K304" s="287">
        <f t="shared" si="77"/>
        <v>49.22</v>
      </c>
      <c r="L304" s="289">
        <f t="shared" si="74"/>
        <v>5.6814135901837088E-5</v>
      </c>
      <c r="M304" s="645">
        <v>18.739999999999998</v>
      </c>
    </row>
    <row r="305" spans="1:17" s="645" customFormat="1" ht="39.75" customHeight="1" x14ac:dyDescent="0.25">
      <c r="A305" s="651" t="s">
        <v>1099</v>
      </c>
      <c r="B305" s="285">
        <v>89865</v>
      </c>
      <c r="C305" s="285" t="s">
        <v>13</v>
      </c>
      <c r="D305" s="329" t="s">
        <v>373</v>
      </c>
      <c r="E305" s="285" t="s">
        <v>16</v>
      </c>
      <c r="F305" s="389">
        <f>'Memória de Cálculo'!J1371</f>
        <v>30.95</v>
      </c>
      <c r="G305" s="509">
        <v>17.29</v>
      </c>
      <c r="H305" s="288">
        <f t="shared" si="73"/>
        <v>0.2452</v>
      </c>
      <c r="I305" s="287">
        <f t="shared" si="75"/>
        <v>21.52</v>
      </c>
      <c r="J305" s="287">
        <f t="shared" si="76"/>
        <v>535.12</v>
      </c>
      <c r="K305" s="287">
        <f t="shared" si="77"/>
        <v>666.04</v>
      </c>
      <c r="L305" s="289">
        <f t="shared" si="74"/>
        <v>7.6880306940389222E-4</v>
      </c>
      <c r="M305" s="645">
        <v>16.010000000000002</v>
      </c>
    </row>
    <row r="306" spans="1:17" s="645" customFormat="1" ht="46.5" customHeight="1" x14ac:dyDescent="0.25">
      <c r="A306" s="651" t="s">
        <v>1100</v>
      </c>
      <c r="B306" s="285">
        <v>104316</v>
      </c>
      <c r="C306" s="285" t="s">
        <v>13</v>
      </c>
      <c r="D306" s="329" t="s">
        <v>372</v>
      </c>
      <c r="E306" s="285" t="s">
        <v>16</v>
      </c>
      <c r="F306" s="389">
        <f>'Memória de Cálculo'!J1375</f>
        <v>44.65</v>
      </c>
      <c r="G306" s="509">
        <v>23.07</v>
      </c>
      <c r="H306" s="288">
        <f t="shared" si="73"/>
        <v>0.2452</v>
      </c>
      <c r="I306" s="287">
        <f t="shared" si="75"/>
        <v>28.72</v>
      </c>
      <c r="J306" s="287">
        <f t="shared" si="76"/>
        <v>1030.07</v>
      </c>
      <c r="K306" s="287">
        <f t="shared" si="77"/>
        <v>1282.3399999999999</v>
      </c>
      <c r="L306" s="289">
        <f t="shared" si="74"/>
        <v>1.4801917722950379E-3</v>
      </c>
      <c r="M306" s="645">
        <v>22.18</v>
      </c>
    </row>
    <row r="307" spans="1:17" s="645" customFormat="1" ht="46.5" customHeight="1" x14ac:dyDescent="0.25">
      <c r="A307" s="651" t="s">
        <v>1101</v>
      </c>
      <c r="B307" s="470" t="s">
        <v>841</v>
      </c>
      <c r="C307" s="470" t="s">
        <v>13</v>
      </c>
      <c r="D307" s="471" t="s">
        <v>842</v>
      </c>
      <c r="E307" s="470" t="s">
        <v>16</v>
      </c>
      <c r="F307" s="389">
        <f>'Memória de Cálculo'!J1379</f>
        <v>52.5</v>
      </c>
      <c r="G307" s="509">
        <v>62.36</v>
      </c>
      <c r="H307" s="288">
        <f t="shared" si="73"/>
        <v>0.2452</v>
      </c>
      <c r="I307" s="287">
        <f t="shared" si="75"/>
        <v>77.650000000000006</v>
      </c>
      <c r="J307" s="287">
        <f t="shared" si="76"/>
        <v>3273.9</v>
      </c>
      <c r="K307" s="287">
        <f t="shared" si="77"/>
        <v>4076.62</v>
      </c>
      <c r="L307" s="289">
        <f t="shared" si="74"/>
        <v>4.7056002173942934E-3</v>
      </c>
    </row>
    <row r="308" spans="1:17" s="645" customFormat="1" ht="46.5" customHeight="1" x14ac:dyDescent="0.25">
      <c r="A308" s="651" t="s">
        <v>1102</v>
      </c>
      <c r="B308" s="470" t="s">
        <v>843</v>
      </c>
      <c r="C308" s="470" t="s">
        <v>13</v>
      </c>
      <c r="D308" s="471" t="s">
        <v>844</v>
      </c>
      <c r="E308" s="470" t="s">
        <v>16</v>
      </c>
      <c r="F308" s="389">
        <f>'Memória de Cálculo'!J1383</f>
        <v>52.5</v>
      </c>
      <c r="G308" s="509">
        <v>75.58</v>
      </c>
      <c r="H308" s="288">
        <f t="shared" si="73"/>
        <v>0.2452</v>
      </c>
      <c r="I308" s="287">
        <f t="shared" si="75"/>
        <v>94.11</v>
      </c>
      <c r="J308" s="287">
        <f t="shared" si="76"/>
        <v>3967.95</v>
      </c>
      <c r="K308" s="287">
        <f t="shared" si="77"/>
        <v>4940.7700000000004</v>
      </c>
      <c r="L308" s="289">
        <f t="shared" si="74"/>
        <v>5.7030796066582625E-3</v>
      </c>
    </row>
    <row r="309" spans="1:17" s="645" customFormat="1" ht="46.5" customHeight="1" x14ac:dyDescent="0.25">
      <c r="A309" s="651" t="s">
        <v>1103</v>
      </c>
      <c r="B309" s="470">
        <v>11412</v>
      </c>
      <c r="C309" s="470" t="s">
        <v>581</v>
      </c>
      <c r="D309" s="471" t="s">
        <v>846</v>
      </c>
      <c r="E309" s="470" t="s">
        <v>16</v>
      </c>
      <c r="F309" s="389">
        <f>'Memória de Cálculo'!J1387</f>
        <v>57.5</v>
      </c>
      <c r="G309" s="509">
        <v>16</v>
      </c>
      <c r="H309" s="288">
        <f t="shared" si="73"/>
        <v>0.2452</v>
      </c>
      <c r="I309" s="287">
        <f t="shared" si="75"/>
        <v>19.920000000000002</v>
      </c>
      <c r="J309" s="287">
        <f t="shared" si="76"/>
        <v>920</v>
      </c>
      <c r="K309" s="287">
        <f t="shared" si="77"/>
        <v>1145.4000000000001</v>
      </c>
      <c r="L309" s="289">
        <f t="shared" si="74"/>
        <v>1.3221233494913492E-3</v>
      </c>
    </row>
    <row r="310" spans="1:17" s="645" customFormat="1" ht="46.5" customHeight="1" x14ac:dyDescent="0.25">
      <c r="A310" s="651" t="s">
        <v>1104</v>
      </c>
      <c r="B310" s="470" t="s">
        <v>847</v>
      </c>
      <c r="C310" s="470" t="s">
        <v>581</v>
      </c>
      <c r="D310" s="471" t="s">
        <v>848</v>
      </c>
      <c r="E310" s="470" t="s">
        <v>16</v>
      </c>
      <c r="F310" s="389">
        <f>'Memória de Cálculo'!J1391</f>
        <v>57.5</v>
      </c>
      <c r="G310" s="509">
        <v>8.5</v>
      </c>
      <c r="H310" s="288">
        <f t="shared" si="73"/>
        <v>0.2452</v>
      </c>
      <c r="I310" s="287">
        <f t="shared" si="75"/>
        <v>10.58</v>
      </c>
      <c r="J310" s="287">
        <f t="shared" si="76"/>
        <v>488.75</v>
      </c>
      <c r="K310" s="287">
        <f t="shared" si="77"/>
        <v>608.35</v>
      </c>
      <c r="L310" s="289">
        <f t="shared" si="74"/>
        <v>7.0221210028205189E-4</v>
      </c>
    </row>
    <row r="311" spans="1:17" s="645" customFormat="1" ht="46.5" customHeight="1" x14ac:dyDescent="0.25">
      <c r="A311" s="651" t="s">
        <v>1105</v>
      </c>
      <c r="B311" s="470" t="s">
        <v>849</v>
      </c>
      <c r="C311" s="470" t="s">
        <v>15</v>
      </c>
      <c r="D311" s="471" t="s">
        <v>850</v>
      </c>
      <c r="E311" s="470" t="s">
        <v>14</v>
      </c>
      <c r="F311" s="389">
        <f>'Memória de Cálculo'!J1395</f>
        <v>17</v>
      </c>
      <c r="G311" s="509">
        <v>49.03</v>
      </c>
      <c r="H311" s="288">
        <f t="shared" si="73"/>
        <v>0.2452</v>
      </c>
      <c r="I311" s="287">
        <f t="shared" si="75"/>
        <v>61.05</v>
      </c>
      <c r="J311" s="287">
        <f t="shared" si="76"/>
        <v>833.51</v>
      </c>
      <c r="K311" s="287">
        <f t="shared" si="77"/>
        <v>1037.8499999999999</v>
      </c>
      <c r="L311" s="289">
        <f t="shared" si="74"/>
        <v>1.1979794991003987E-3</v>
      </c>
    </row>
    <row r="312" spans="1:17" s="645" customFormat="1" ht="46.5" customHeight="1" x14ac:dyDescent="0.25">
      <c r="A312" s="651" t="s">
        <v>1106</v>
      </c>
      <c r="B312" s="470">
        <v>103247</v>
      </c>
      <c r="C312" s="470" t="s">
        <v>13</v>
      </c>
      <c r="D312" s="471" t="s">
        <v>853</v>
      </c>
      <c r="E312" s="470" t="s">
        <v>14</v>
      </c>
      <c r="F312" s="389">
        <f>'Memória de Cálculo'!J1399</f>
        <v>13</v>
      </c>
      <c r="G312" s="509">
        <v>2554.56</v>
      </c>
      <c r="H312" s="288">
        <f t="shared" si="73"/>
        <v>0.2452</v>
      </c>
      <c r="I312" s="287">
        <f t="shared" si="75"/>
        <v>3180.93</v>
      </c>
      <c r="J312" s="287">
        <f t="shared" si="76"/>
        <v>33209.279999999999</v>
      </c>
      <c r="K312" s="287">
        <f t="shared" si="77"/>
        <v>41352.089999999997</v>
      </c>
      <c r="L312" s="289">
        <f t="shared" si="74"/>
        <v>4.7732288928992242E-2</v>
      </c>
    </row>
    <row r="313" spans="1:17" s="645" customFormat="1" ht="46.5" customHeight="1" x14ac:dyDescent="0.25">
      <c r="A313" s="651" t="s">
        <v>1107</v>
      </c>
      <c r="B313" s="470">
        <v>103252</v>
      </c>
      <c r="C313" s="470" t="s">
        <v>13</v>
      </c>
      <c r="D313" s="471" t="s">
        <v>854</v>
      </c>
      <c r="E313" s="470" t="s">
        <v>14</v>
      </c>
      <c r="F313" s="389">
        <f>'Memória de Cálculo'!J1403</f>
        <v>2</v>
      </c>
      <c r="G313" s="509">
        <v>3242.83</v>
      </c>
      <c r="H313" s="288">
        <f t="shared" si="73"/>
        <v>0.2452</v>
      </c>
      <c r="I313" s="287">
        <f t="shared" si="75"/>
        <v>4037.97</v>
      </c>
      <c r="J313" s="287">
        <f t="shared" si="76"/>
        <v>6485.66</v>
      </c>
      <c r="K313" s="287">
        <f t="shared" si="77"/>
        <v>8075.94</v>
      </c>
      <c r="L313" s="289">
        <f t="shared" si="74"/>
        <v>9.3219738458976478E-3</v>
      </c>
    </row>
    <row r="314" spans="1:17" s="677" customFormat="1" ht="24" customHeight="1" x14ac:dyDescent="0.25">
      <c r="A314" s="659">
        <v>11</v>
      </c>
      <c r="B314" s="337"/>
      <c r="C314" s="337"/>
      <c r="D314" s="338" t="s">
        <v>122</v>
      </c>
      <c r="E314" s="338"/>
      <c r="F314" s="394"/>
      <c r="G314" s="339"/>
      <c r="H314" s="339"/>
      <c r="I314" s="340"/>
      <c r="J314" s="335">
        <f>SUM(J315:J318)</f>
        <v>20305.189999999999</v>
      </c>
      <c r="K314" s="336">
        <f>SUM(K315:K318)</f>
        <v>25281.21</v>
      </c>
      <c r="L314" s="403">
        <f t="shared" si="74"/>
        <v>2.9181838697742438E-2</v>
      </c>
    </row>
    <row r="315" spans="1:17" s="645" customFormat="1" ht="35.25" customHeight="1" x14ac:dyDescent="0.25">
      <c r="A315" s="651" t="s">
        <v>149</v>
      </c>
      <c r="B315" s="285" t="s">
        <v>1125</v>
      </c>
      <c r="C315" s="285" t="s">
        <v>179</v>
      </c>
      <c r="D315" s="299" t="s">
        <v>123</v>
      </c>
      <c r="E315" s="285" t="s">
        <v>14</v>
      </c>
      <c r="F315" s="389">
        <f>'Memória de Cálculo'!J1408</f>
        <v>1</v>
      </c>
      <c r="G315" s="509">
        <f>Composições!J142</f>
        <v>589.9</v>
      </c>
      <c r="H315" s="288">
        <f>$K$4</f>
        <v>0.2452</v>
      </c>
      <c r="I315" s="287">
        <f>TRUNC(G315*1.2452,2)</f>
        <v>734.54</v>
      </c>
      <c r="J315" s="287">
        <f>TRUNC(F315*G315,2)</f>
        <v>589.9</v>
      </c>
      <c r="K315" s="287">
        <f>TRUNC(F315*I315,2)</f>
        <v>734.54</v>
      </c>
      <c r="L315" s="289">
        <f t="shared" si="74"/>
        <v>8.4787190949482758E-4</v>
      </c>
      <c r="P315" s="645">
        <v>10970.57</v>
      </c>
      <c r="Q315" s="678">
        <v>1</v>
      </c>
    </row>
    <row r="316" spans="1:17" s="645" customFormat="1" ht="69.75" customHeight="1" x14ac:dyDescent="0.25">
      <c r="A316" s="651" t="s">
        <v>387</v>
      </c>
      <c r="B316" s="285">
        <v>99842</v>
      </c>
      <c r="C316" s="285" t="s">
        <v>13</v>
      </c>
      <c r="D316" s="299" t="s">
        <v>1160</v>
      </c>
      <c r="E316" s="285" t="s">
        <v>16</v>
      </c>
      <c r="F316" s="389">
        <f>'Memória de Cálculo'!J1411</f>
        <v>29</v>
      </c>
      <c r="G316" s="509">
        <v>467.33</v>
      </c>
      <c r="H316" s="288">
        <f>$K$4</f>
        <v>0.2452</v>
      </c>
      <c r="I316" s="287">
        <f t="shared" ref="I316:I318" si="78">TRUNC(G316*1.2452,2)</f>
        <v>581.91</v>
      </c>
      <c r="J316" s="287">
        <f t="shared" ref="J316:J318" si="79">TRUNC(F316*G316,2)</f>
        <v>13552.57</v>
      </c>
      <c r="K316" s="287">
        <f t="shared" ref="K316:K318" si="80">TRUNC(F316*I316,2)</f>
        <v>16875.39</v>
      </c>
      <c r="L316" s="289">
        <f t="shared" si="74"/>
        <v>1.9479087786601026E-2</v>
      </c>
      <c r="Q316" s="678"/>
    </row>
    <row r="317" spans="1:17" s="645" customFormat="1" ht="30.75" customHeight="1" x14ac:dyDescent="0.25">
      <c r="A317" s="651" t="s">
        <v>466</v>
      </c>
      <c r="B317" s="285" t="s">
        <v>88</v>
      </c>
      <c r="C317" s="285" t="s">
        <v>15</v>
      </c>
      <c r="D317" s="284" t="s">
        <v>97</v>
      </c>
      <c r="E317" s="285" t="s">
        <v>21</v>
      </c>
      <c r="F317" s="389">
        <f>'Memória de Cálculo'!J1415</f>
        <v>318.39999999999998</v>
      </c>
      <c r="G317" s="509">
        <v>12.92</v>
      </c>
      <c r="H317" s="288">
        <f>$K$4</f>
        <v>0.2452</v>
      </c>
      <c r="I317" s="287">
        <f t="shared" si="78"/>
        <v>16.079999999999998</v>
      </c>
      <c r="J317" s="287">
        <f t="shared" si="79"/>
        <v>4113.72</v>
      </c>
      <c r="K317" s="287">
        <f t="shared" si="80"/>
        <v>5119.87</v>
      </c>
      <c r="L317" s="289">
        <f t="shared" si="74"/>
        <v>5.9098128805310573E-3</v>
      </c>
      <c r="M317" s="645">
        <v>12</v>
      </c>
      <c r="P317" s="645">
        <v>595.16999999999996</v>
      </c>
    </row>
    <row r="318" spans="1:17" s="680" customFormat="1" ht="27" customHeight="1" x14ac:dyDescent="0.25">
      <c r="A318" s="679" t="s">
        <v>855</v>
      </c>
      <c r="B318" s="507">
        <v>3167</v>
      </c>
      <c r="C318" s="507" t="s">
        <v>581</v>
      </c>
      <c r="D318" s="506" t="s">
        <v>864</v>
      </c>
      <c r="E318" s="507" t="s">
        <v>14</v>
      </c>
      <c r="F318" s="508">
        <v>1</v>
      </c>
      <c r="G318" s="509">
        <v>2049</v>
      </c>
      <c r="H318" s="510">
        <f>$K$4</f>
        <v>0.2452</v>
      </c>
      <c r="I318" s="509">
        <f t="shared" si="78"/>
        <v>2551.41</v>
      </c>
      <c r="J318" s="509">
        <f t="shared" si="79"/>
        <v>2049</v>
      </c>
      <c r="K318" s="509">
        <f t="shared" si="80"/>
        <v>2551.41</v>
      </c>
      <c r="L318" s="511">
        <f t="shared" si="74"/>
        <v>2.9450661211155253E-3</v>
      </c>
    </row>
    <row r="319" spans="1:17" s="645" customFormat="1" ht="27" customHeight="1" x14ac:dyDescent="0.25">
      <c r="A319" s="681"/>
      <c r="B319" s="675"/>
      <c r="C319" s="675"/>
      <c r="D319" s="682"/>
      <c r="E319" s="675"/>
      <c r="F319" s="683"/>
      <c r="G319" s="385"/>
      <c r="H319" s="383"/>
      <c r="I319" s="385"/>
      <c r="J319" s="385"/>
      <c r="K319" s="385"/>
      <c r="L319" s="384"/>
    </row>
    <row r="320" spans="1:17" s="562" customFormat="1" ht="24" customHeight="1" x14ac:dyDescent="0.25">
      <c r="A320" s="684"/>
      <c r="B320" s="638"/>
      <c r="C320" s="638"/>
      <c r="D320" s="638"/>
      <c r="E320" s="638"/>
      <c r="F320" s="638"/>
      <c r="G320" s="638"/>
      <c r="H320" s="638"/>
      <c r="I320" s="638"/>
      <c r="J320" s="638"/>
      <c r="K320" s="638"/>
      <c r="L320" s="638"/>
      <c r="M320" s="638"/>
      <c r="N320" s="638"/>
      <c r="O320" s="638"/>
      <c r="P320" s="638"/>
      <c r="Q320" s="638"/>
    </row>
    <row r="321" spans="1:15" s="645" customFormat="1" ht="30.75" customHeight="1" x14ac:dyDescent="0.25">
      <c r="A321" s="685" t="s">
        <v>176</v>
      </c>
      <c r="B321" s="563"/>
      <c r="C321" s="563"/>
      <c r="D321" s="563"/>
      <c r="E321" s="564"/>
      <c r="F321" s="559" t="s">
        <v>25</v>
      </c>
      <c r="G321" s="559"/>
      <c r="H321" s="559"/>
      <c r="I321" s="559"/>
      <c r="J321" s="554">
        <f>J314+J174+J95+J55+J45+J33+J19+J10+J296+J81+J22</f>
        <v>866333.69</v>
      </c>
      <c r="K321" s="555"/>
      <c r="N321" s="655">
        <f>1286393.93</f>
        <v>1286393.93</v>
      </c>
      <c r="O321" s="645" t="s">
        <v>366</v>
      </c>
    </row>
    <row r="322" spans="1:15" s="645" customFormat="1" ht="30" customHeight="1" thickBot="1" x14ac:dyDescent="0.3">
      <c r="A322" s="686"/>
      <c r="B322" s="565"/>
      <c r="C322" s="565"/>
      <c r="D322" s="565"/>
      <c r="E322" s="566"/>
      <c r="F322" s="558" t="s">
        <v>26</v>
      </c>
      <c r="G322" s="558"/>
      <c r="H322" s="558"/>
      <c r="I322" s="558"/>
      <c r="J322" s="556">
        <f>K314+K174+K95+K81+K55+K33+K45+K19+K10+K296+K22</f>
        <v>1077874.2999999998</v>
      </c>
      <c r="K322" s="557"/>
      <c r="N322" s="645">
        <f>N321*0.08</f>
        <v>102911.5144</v>
      </c>
      <c r="O322" s="678">
        <v>0.08</v>
      </c>
    </row>
    <row r="323" spans="1:15" s="645" customFormat="1" ht="39" customHeight="1" x14ac:dyDescent="0.25">
      <c r="A323" s="687" t="s">
        <v>1195</v>
      </c>
      <c r="B323" s="560"/>
      <c r="C323" s="560"/>
      <c r="D323" s="560"/>
      <c r="E323" s="560"/>
      <c r="F323" s="560"/>
      <c r="G323" s="560"/>
      <c r="H323" s="560"/>
      <c r="I323" s="560"/>
      <c r="J323" s="560"/>
      <c r="K323" s="561"/>
    </row>
    <row r="324" spans="1:15" s="645" customFormat="1" ht="24" customHeight="1" x14ac:dyDescent="0.25">
      <c r="A324" s="684"/>
      <c r="B324" s="638"/>
      <c r="C324" s="638"/>
      <c r="D324" s="638"/>
      <c r="E324" s="638"/>
      <c r="F324" s="638"/>
      <c r="G324" s="638"/>
      <c r="H324" s="638"/>
      <c r="I324" s="638"/>
      <c r="J324" s="638"/>
      <c r="K324" s="638"/>
      <c r="L324" s="638"/>
    </row>
    <row r="325" spans="1:15" s="645" customFormat="1" ht="32.25" customHeight="1" x14ac:dyDescent="0.25">
      <c r="A325" s="688" t="s">
        <v>1190</v>
      </c>
      <c r="B325" s="689"/>
      <c r="C325" s="689"/>
      <c r="D325" s="689"/>
      <c r="E325" s="689"/>
      <c r="F325" s="689"/>
      <c r="G325" s="689"/>
      <c r="H325" s="689"/>
      <c r="I325" s="689"/>
      <c r="J325" s="689"/>
      <c r="K325" s="689"/>
      <c r="L325" s="689"/>
    </row>
    <row r="326" spans="1:15" s="645" customFormat="1" ht="24" customHeight="1" x14ac:dyDescent="0.25">
      <c r="A326" s="690" t="s">
        <v>1192</v>
      </c>
      <c r="B326" s="691"/>
      <c r="C326" s="691"/>
      <c r="D326" s="691"/>
      <c r="E326" s="691"/>
      <c r="F326" s="691"/>
      <c r="G326" s="691"/>
      <c r="H326" s="691"/>
      <c r="I326" s="691"/>
      <c r="J326" s="691"/>
      <c r="K326" s="691"/>
      <c r="L326" s="691"/>
    </row>
    <row r="327" spans="1:15" s="645" customFormat="1" ht="49.5" customHeight="1" x14ac:dyDescent="0.25">
      <c r="A327" s="692" t="s">
        <v>1191</v>
      </c>
      <c r="B327" s="693"/>
      <c r="C327" s="693"/>
      <c r="D327" s="693"/>
      <c r="E327" s="693"/>
      <c r="F327" s="693"/>
      <c r="G327" s="693"/>
      <c r="H327" s="693"/>
      <c r="I327" s="693"/>
      <c r="J327" s="693"/>
      <c r="K327" s="693"/>
      <c r="L327" s="693"/>
    </row>
    <row r="328" spans="1:15" s="645" customFormat="1" ht="49.5" customHeight="1" x14ac:dyDescent="0.25">
      <c r="A328" s="692"/>
      <c r="B328" s="693"/>
      <c r="C328" s="693"/>
      <c r="D328" s="693"/>
      <c r="E328" s="693"/>
      <c r="F328" s="693"/>
      <c r="G328" s="693"/>
      <c r="H328" s="693"/>
      <c r="I328" s="693"/>
      <c r="J328" s="693"/>
      <c r="K328" s="693"/>
      <c r="L328" s="693"/>
    </row>
    <row r="329" spans="1:15" s="695" customFormat="1" ht="14.4" thickBot="1" x14ac:dyDescent="0.3">
      <c r="A329" s="694"/>
      <c r="F329" s="696"/>
      <c r="G329" s="697"/>
      <c r="H329" s="697"/>
      <c r="I329" s="697"/>
      <c r="J329" s="697"/>
    </row>
    <row r="330" spans="1:15" x14ac:dyDescent="0.25">
      <c r="A330"/>
      <c r="B330"/>
      <c r="C330"/>
      <c r="K330"/>
    </row>
    <row r="331" spans="1:15" ht="36" customHeight="1" x14ac:dyDescent="0.25">
      <c r="A331"/>
      <c r="B331"/>
      <c r="C331"/>
      <c r="K331"/>
    </row>
    <row r="332" spans="1:15" ht="24" customHeight="1" x14ac:dyDescent="0.25">
      <c r="A332"/>
      <c r="B332"/>
      <c r="C332"/>
      <c r="D332" t="s">
        <v>856</v>
      </c>
      <c r="F332" s="221"/>
      <c r="G332" s="222"/>
      <c r="H332" s="222"/>
      <c r="I332"/>
      <c r="J332"/>
      <c r="K332"/>
    </row>
    <row r="333" spans="1:15" ht="24" customHeight="1" x14ac:dyDescent="0.25">
      <c r="A333"/>
      <c r="B333"/>
      <c r="C333"/>
      <c r="D333" t="s">
        <v>857</v>
      </c>
      <c r="F333" s="221"/>
      <c r="G333" s="222"/>
      <c r="H333" s="222"/>
      <c r="I333"/>
      <c r="J333"/>
      <c r="K333"/>
    </row>
    <row r="334" spans="1:15" ht="24" customHeight="1" x14ac:dyDescent="0.25">
      <c r="A334"/>
      <c r="B334"/>
      <c r="C334"/>
      <c r="D334" t="s">
        <v>858</v>
      </c>
      <c r="F334" s="221"/>
      <c r="G334" s="222"/>
      <c r="H334" s="222"/>
      <c r="I334"/>
      <c r="J334" s="35">
        <f>J321*1.2452</f>
        <v>1078758.7107879999</v>
      </c>
      <c r="K334"/>
    </row>
    <row r="335" spans="1:15" ht="24" customHeight="1" x14ac:dyDescent="0.25">
      <c r="A335"/>
      <c r="B335"/>
      <c r="C335"/>
      <c r="D335" t="s">
        <v>859</v>
      </c>
      <c r="F335" s="221"/>
      <c r="G335" s="222"/>
      <c r="H335" s="222"/>
      <c r="I335"/>
      <c r="J335"/>
      <c r="K335"/>
    </row>
    <row r="336" spans="1:15" ht="24" customHeight="1" x14ac:dyDescent="0.25">
      <c r="A336"/>
      <c r="B336"/>
      <c r="C336"/>
      <c r="D336" t="s">
        <v>1112</v>
      </c>
      <c r="F336" s="221"/>
      <c r="G336" s="222"/>
      <c r="H336" s="222"/>
      <c r="I336"/>
      <c r="J336"/>
      <c r="K336"/>
    </row>
    <row r="337" spans="1:11" ht="24" customHeight="1" x14ac:dyDescent="0.25">
      <c r="A337"/>
      <c r="B337"/>
      <c r="C337"/>
      <c r="D337" t="s">
        <v>1113</v>
      </c>
      <c r="F337" s="221"/>
      <c r="G337" s="222"/>
      <c r="H337" s="222"/>
      <c r="I337"/>
      <c r="J337"/>
      <c r="K337"/>
    </row>
    <row r="338" spans="1:11" ht="24" customHeight="1" x14ac:dyDescent="0.25">
      <c r="A338"/>
      <c r="B338"/>
      <c r="C338"/>
      <c r="D338" t="s">
        <v>862</v>
      </c>
      <c r="F338" s="221"/>
      <c r="G338" s="222"/>
      <c r="H338" s="222"/>
      <c r="I338"/>
      <c r="J338"/>
      <c r="K338"/>
    </row>
    <row r="339" spans="1:11" ht="24" customHeight="1" x14ac:dyDescent="0.25">
      <c r="A339"/>
      <c r="B339"/>
      <c r="C339"/>
      <c r="D339" t="s">
        <v>860</v>
      </c>
      <c r="F339" s="221"/>
      <c r="G339" s="222"/>
      <c r="H339" s="222"/>
      <c r="I339"/>
      <c r="J339"/>
      <c r="K339"/>
    </row>
    <row r="340" spans="1:11" ht="24" customHeight="1" x14ac:dyDescent="0.25">
      <c r="A340"/>
      <c r="B340"/>
      <c r="C340"/>
      <c r="D340" t="s">
        <v>861</v>
      </c>
      <c r="F340" s="221"/>
      <c r="G340" s="222"/>
      <c r="H340" s="222"/>
      <c r="I340"/>
      <c r="J340"/>
      <c r="K340"/>
    </row>
    <row r="341" spans="1:11" ht="24" customHeight="1" x14ac:dyDescent="0.25">
      <c r="A341"/>
      <c r="B341"/>
      <c r="C341"/>
      <c r="D341" t="s">
        <v>1110</v>
      </c>
      <c r="F341" s="221"/>
      <c r="G341" s="222"/>
      <c r="H341" s="222"/>
      <c r="I341"/>
      <c r="J341"/>
      <c r="K341"/>
    </row>
    <row r="342" spans="1:11" ht="24" customHeight="1" x14ac:dyDescent="0.25">
      <c r="A342"/>
      <c r="B342"/>
      <c r="C342"/>
      <c r="D342" t="s">
        <v>1111</v>
      </c>
      <c r="F342" s="221"/>
      <c r="G342" s="222"/>
      <c r="H342" s="222"/>
      <c r="I342"/>
      <c r="J342"/>
      <c r="K342"/>
    </row>
    <row r="343" spans="1:11" ht="24" customHeight="1" x14ac:dyDescent="0.25">
      <c r="A343"/>
      <c r="B343"/>
      <c r="C343"/>
      <c r="F343" s="221"/>
      <c r="G343" s="222"/>
      <c r="H343" s="222"/>
      <c r="I343"/>
      <c r="J343"/>
      <c r="K343"/>
    </row>
    <row r="344" spans="1:11" ht="24" customHeight="1" x14ac:dyDescent="0.25">
      <c r="B344"/>
      <c r="C344"/>
      <c r="F344" s="221"/>
      <c r="G344" s="222"/>
      <c r="H344" s="222"/>
      <c r="I344"/>
      <c r="J344"/>
      <c r="K344"/>
    </row>
    <row r="345" spans="1:11" ht="36" customHeight="1" x14ac:dyDescent="0.25">
      <c r="B345"/>
      <c r="C345"/>
      <c r="F345" s="221"/>
      <c r="G345" s="222"/>
      <c r="H345" s="222"/>
      <c r="I345"/>
      <c r="J345"/>
      <c r="K345"/>
    </row>
    <row r="346" spans="1:11" x14ac:dyDescent="0.25">
      <c r="A346" s="223"/>
      <c r="B346" s="224"/>
      <c r="C346" s="224"/>
      <c r="D346" s="224"/>
      <c r="E346" s="225"/>
      <c r="F346" s="226"/>
      <c r="G346" s="227"/>
      <c r="H346" s="227"/>
      <c r="I346" s="227"/>
      <c r="J346" s="227"/>
      <c r="K346" s="227"/>
    </row>
    <row r="349" spans="1:11" ht="60" customHeight="1" x14ac:dyDescent="0.25">
      <c r="A349" s="228"/>
      <c r="B349" s="229"/>
      <c r="C349" s="229"/>
      <c r="D349" s="229"/>
      <c r="E349" s="230"/>
      <c r="F349" s="231"/>
      <c r="G349" s="232"/>
      <c r="H349" s="232"/>
      <c r="I349" s="232"/>
      <c r="J349" s="232"/>
      <c r="K349" s="232"/>
    </row>
    <row r="350" spans="1:11" ht="69.900000000000006" customHeight="1" x14ac:dyDescent="0.25">
      <c r="A350" s="550"/>
      <c r="B350" s="551"/>
      <c r="C350" s="551"/>
      <c r="D350" s="551"/>
      <c r="E350" s="551"/>
      <c r="F350" s="551"/>
      <c r="G350" s="551"/>
      <c r="H350" s="551"/>
      <c r="I350" s="551"/>
      <c r="J350" s="551"/>
      <c r="K350" s="551"/>
    </row>
  </sheetData>
  <autoFilter ref="A9:K348" xr:uid="{00000000-0009-0000-0000-000000000000}"/>
  <sortState xmlns:xlrd2="http://schemas.microsoft.com/office/spreadsheetml/2017/richdata2" ref="D223">
    <sortCondition ref="D222:D223"/>
  </sortState>
  <mergeCells count="24">
    <mergeCell ref="A350:K350"/>
    <mergeCell ref="A8:K8"/>
    <mergeCell ref="J321:K321"/>
    <mergeCell ref="J322:K322"/>
    <mergeCell ref="F322:I322"/>
    <mergeCell ref="F321:I321"/>
    <mergeCell ref="A323:K323"/>
    <mergeCell ref="A320:XFD320"/>
    <mergeCell ref="A325:L325"/>
    <mergeCell ref="A326:L326"/>
    <mergeCell ref="A321:E322"/>
    <mergeCell ref="A327:L328"/>
    <mergeCell ref="A324:L324"/>
    <mergeCell ref="C1:J1"/>
    <mergeCell ref="C2:J2"/>
    <mergeCell ref="B3:J3"/>
    <mergeCell ref="A4:B4"/>
    <mergeCell ref="C4:I4"/>
    <mergeCell ref="C5:I5"/>
    <mergeCell ref="A5:B5"/>
    <mergeCell ref="A7:B7"/>
    <mergeCell ref="C7:J7"/>
    <mergeCell ref="A6:B6"/>
    <mergeCell ref="C6:I6"/>
  </mergeCells>
  <phoneticPr fontId="17" type="noConversion"/>
  <conditionalFormatting sqref="B118:E173">
    <cfRule type="expression" dxfId="17" priority="19">
      <formula>IF(AND($A118="REUTILIZADO",OR($H118&gt;0,$I118&gt;0)),1,0)</formula>
    </cfRule>
    <cfRule type="expression" dxfId="16" priority="20">
      <formula>IF(AND($A118="NOVO",OR($H118&gt;0,$I118&gt;0)),1,0)</formula>
    </cfRule>
    <cfRule type="expression" dxfId="15" priority="21">
      <formula>IF(AND($A118="EXISTENTE",OR($H118&gt;0,$I118&gt;0)),1,0)</formula>
    </cfRule>
  </conditionalFormatting>
  <conditionalFormatting sqref="B191:E192 B234:E242">
    <cfRule type="expression" dxfId="14" priority="16">
      <formula>IF(AND($A191="REUTILIZADO",OR($H191&gt;0,$I191&gt;0)),1,0)</formula>
    </cfRule>
    <cfRule type="expression" dxfId="13" priority="17">
      <formula>IF(AND($A191="NOVO",OR($H191&gt;0,$I191&gt;0)),1,0)</formula>
    </cfRule>
    <cfRule type="expression" dxfId="12" priority="18">
      <formula>IF(AND($A191="EXISTENTE",OR($H191&gt;0,$I191&gt;0)),1,0)</formula>
    </cfRule>
  </conditionalFormatting>
  <conditionalFormatting sqref="B264:E278">
    <cfRule type="expression" dxfId="11" priority="10">
      <formula>IF(AND($A264="REUTILIZADO",OR($H264&gt;0,$I264&gt;0)),1,0)</formula>
    </cfRule>
    <cfRule type="expression" dxfId="10" priority="11">
      <formula>IF(AND($A264="NOVO",OR($H264&gt;0,$I264&gt;0)),1,0)</formula>
    </cfRule>
    <cfRule type="expression" dxfId="9" priority="12">
      <formula>IF(AND($A264="EXISTENTE",OR($H264&gt;0,$I264&gt;0)),1,0)</formula>
    </cfRule>
  </conditionalFormatting>
  <conditionalFormatting sqref="B286:E286">
    <cfRule type="expression" dxfId="8" priority="7">
      <formula>IF(AND($A286="REUTILIZADO",OR($H286&gt;0,$I286&gt;0)),1,0)</formula>
    </cfRule>
    <cfRule type="expression" dxfId="7" priority="8">
      <formula>IF(AND($A286="NOVO",OR($H286&gt;0,$I286&gt;0)),1,0)</formula>
    </cfRule>
    <cfRule type="expression" dxfId="6" priority="9">
      <formula>IF(AND($A286="EXISTENTE",OR($H286&gt;0,$I286&gt;0)),1,0)</formula>
    </cfRule>
  </conditionalFormatting>
  <conditionalFormatting sqref="B291:E295">
    <cfRule type="expression" dxfId="5" priority="4">
      <formula>IF(AND($A291="REUTILIZADO",OR($H291&gt;0,$I291&gt;0)),1,0)</formula>
    </cfRule>
    <cfRule type="expression" dxfId="4" priority="5">
      <formula>IF(AND($A291="NOVO",OR($H291&gt;0,$I291&gt;0)),1,0)</formula>
    </cfRule>
    <cfRule type="expression" dxfId="3" priority="6">
      <formula>IF(AND($A291="EXISTENTE",OR($H291&gt;0,$I291&gt;0)),1,0)</formula>
    </cfRule>
  </conditionalFormatting>
  <conditionalFormatting sqref="B307:E313">
    <cfRule type="expression" dxfId="2" priority="1">
      <formula>IF(AND($A307="REUTILIZADO",OR($H307&gt;0,$I307&gt;0)),1,0)</formula>
    </cfRule>
    <cfRule type="expression" dxfId="1" priority="2">
      <formula>IF(AND($A307="NOVO",OR($H307&gt;0,$I307&gt;0)),1,0)</formula>
    </cfRule>
    <cfRule type="expression" dxfId="0" priority="3">
      <formula>IF(AND($A307="EXISTENTE",OR($H307&gt;0,$I307&gt;0)),1,0)</formula>
    </cfRule>
  </conditionalFormatting>
  <printOptions gridLines="1"/>
  <pageMargins left="0.70866141732283461" right="0.70866141732283461" top="0.74803149606299213" bottom="0.78740157480314965" header="0.31496062992125984" footer="0.31496062992125984"/>
  <pageSetup paperSize="9" scale="53" fitToHeight="0" orientation="landscape" r:id="rId1"/>
  <headerFooter>
    <oddFooter>Página &amp;P de &amp;N</oddFooter>
  </headerFooter>
  <rowBreaks count="2" manualBreakCount="2">
    <brk id="24" max="11" man="1"/>
    <brk id="310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420"/>
  <sheetViews>
    <sheetView view="pageBreakPreview" topLeftCell="A1396" zoomScale="85" zoomScaleNormal="80" zoomScaleSheetLayoutView="85" workbookViewId="0">
      <selection activeCell="C3" sqref="C3:H3"/>
    </sheetView>
  </sheetViews>
  <sheetFormatPr defaultRowHeight="13.8" x14ac:dyDescent="0.25"/>
  <cols>
    <col min="1" max="1" width="8.09765625" customWidth="1"/>
    <col min="2" max="2" width="15.3984375" customWidth="1"/>
    <col min="3" max="3" width="10.09765625" customWidth="1"/>
    <col min="4" max="4" width="68.8984375" customWidth="1"/>
    <col min="5" max="5" width="12.5" customWidth="1"/>
    <col min="6" max="6" width="10.19921875" customWidth="1"/>
    <col min="7" max="7" width="13" style="37" customWidth="1"/>
    <col min="8" max="8" width="12.09765625" style="37" customWidth="1"/>
    <col min="9" max="9" width="10.3984375" style="37" customWidth="1"/>
    <col min="10" max="10" width="10.3984375" style="67" customWidth="1"/>
    <col min="11" max="11" width="16.59765625" customWidth="1"/>
    <col min="12" max="12" width="14.5" customWidth="1"/>
  </cols>
  <sheetData>
    <row r="1" spans="1:12" ht="84.75" customHeight="1" x14ac:dyDescent="0.25">
      <c r="A1" s="1"/>
      <c r="B1" s="20"/>
      <c r="C1" s="567" t="s">
        <v>64</v>
      </c>
      <c r="D1" s="567"/>
      <c r="E1" s="567"/>
      <c r="F1" s="567"/>
      <c r="G1" s="567"/>
      <c r="H1" s="567"/>
      <c r="I1" s="567"/>
      <c r="J1" s="71"/>
      <c r="K1" s="71"/>
    </row>
    <row r="2" spans="1:12" ht="21.75" customHeight="1" x14ac:dyDescent="0.25">
      <c r="A2" s="582" t="s">
        <v>475</v>
      </c>
      <c r="B2" s="582"/>
      <c r="C2" s="582"/>
      <c r="D2" s="582"/>
      <c r="E2" s="582"/>
      <c r="F2" s="582"/>
      <c r="G2" s="582"/>
      <c r="H2" s="582"/>
      <c r="I2" s="582"/>
      <c r="J2" s="582"/>
      <c r="K2" s="71"/>
    </row>
    <row r="3" spans="1:12" ht="29.25" customHeight="1" x14ac:dyDescent="0.25">
      <c r="A3" s="571" t="s">
        <v>65</v>
      </c>
      <c r="B3" s="572"/>
      <c r="C3" s="573" t="str">
        <f>ORÇAMENTO!C4:J4</f>
        <v>CONTRATAÇÃO DE EMPRESA ESPECIALIZADA PARA EXECUÇÃO DOS SERVIÇOS REMANESCENTES E COMPLEMENTARES VISANDO À RETOMADA E CONCLUSÃO DA OBRA DE CONSTRUÇÃO DA UNIDADE BÁSICA DE SAÚDE – UBS MALVINAS</v>
      </c>
      <c r="D3" s="574"/>
      <c r="E3" s="574"/>
      <c r="F3" s="574"/>
      <c r="G3" s="574"/>
      <c r="H3" s="574"/>
      <c r="I3" s="199" t="s">
        <v>265</v>
      </c>
      <c r="J3" s="185">
        <v>0.2452</v>
      </c>
      <c r="K3" s="73"/>
    </row>
    <row r="4" spans="1:12" ht="17.25" customHeight="1" x14ac:dyDescent="0.25">
      <c r="A4" s="197"/>
      <c r="B4" s="198" t="s">
        <v>267</v>
      </c>
      <c r="C4" s="573" t="s">
        <v>468</v>
      </c>
      <c r="D4" s="574"/>
      <c r="E4" s="574"/>
      <c r="F4" s="574"/>
      <c r="G4" s="574"/>
      <c r="H4" s="575"/>
      <c r="I4" s="215" t="s">
        <v>266</v>
      </c>
      <c r="J4" s="185">
        <v>0.16320000000000001</v>
      </c>
      <c r="K4" s="73"/>
    </row>
    <row r="5" spans="1:12" ht="14.25" customHeight="1" x14ac:dyDescent="0.25">
      <c r="A5" s="571" t="s">
        <v>66</v>
      </c>
      <c r="B5" s="572"/>
      <c r="C5" s="573" t="s">
        <v>476</v>
      </c>
      <c r="D5" s="574"/>
      <c r="E5" s="574"/>
      <c r="F5" s="574"/>
      <c r="G5" s="574"/>
      <c r="H5" s="574"/>
      <c r="I5" s="575"/>
      <c r="J5" s="185"/>
      <c r="K5" s="73"/>
    </row>
    <row r="6" spans="1:12" ht="25.5" customHeight="1" x14ac:dyDescent="0.25">
      <c r="A6" s="576" t="s">
        <v>67</v>
      </c>
      <c r="B6" s="576"/>
      <c r="C6" s="573" t="str">
        <f>ORÇAMENTO!C7:J7</f>
        <v>SINAPI  - JANEIRO 2026 (DESONERADA) , ORSE - I DEZ/2025 e SEINFRA - 028.1</v>
      </c>
      <c r="D6" s="574"/>
      <c r="E6" s="574"/>
      <c r="F6" s="574"/>
      <c r="G6" s="574"/>
      <c r="H6" s="574"/>
      <c r="I6" s="574"/>
      <c r="J6" s="70"/>
      <c r="K6" s="73"/>
    </row>
    <row r="7" spans="1:12" ht="25.5" customHeight="1" x14ac:dyDescent="0.25">
      <c r="A7" s="577" t="s">
        <v>81</v>
      </c>
      <c r="B7" s="577"/>
      <c r="C7" s="577"/>
      <c r="D7" s="577"/>
      <c r="E7" s="577"/>
      <c r="F7" s="577"/>
      <c r="G7" s="577"/>
      <c r="H7" s="577"/>
      <c r="I7" s="577"/>
      <c r="J7" s="577"/>
      <c r="K7" s="73"/>
    </row>
    <row r="8" spans="1:12" x14ac:dyDescent="0.25">
      <c r="A8" s="5" t="s">
        <v>10</v>
      </c>
      <c r="B8" s="22"/>
      <c r="C8" s="22"/>
      <c r="D8" s="5" t="s">
        <v>11</v>
      </c>
      <c r="E8" s="5"/>
      <c r="F8" s="6"/>
      <c r="G8" s="40"/>
      <c r="H8" s="41"/>
      <c r="I8" s="42"/>
      <c r="J8" s="72"/>
      <c r="K8" s="136"/>
    </row>
    <row r="9" spans="1:12" x14ac:dyDescent="0.25">
      <c r="A9" s="2" t="s">
        <v>1</v>
      </c>
      <c r="B9" s="21" t="s">
        <v>2</v>
      </c>
      <c r="C9" s="28" t="s">
        <v>3</v>
      </c>
      <c r="D9" s="2" t="s">
        <v>4</v>
      </c>
      <c r="E9" s="4" t="s">
        <v>5</v>
      </c>
      <c r="F9" s="3" t="s">
        <v>6</v>
      </c>
      <c r="G9" s="38" t="s">
        <v>61</v>
      </c>
      <c r="H9" s="39" t="s">
        <v>62</v>
      </c>
      <c r="I9" s="39" t="s">
        <v>63</v>
      </c>
      <c r="J9" s="69" t="s">
        <v>9</v>
      </c>
      <c r="K9" s="136"/>
    </row>
    <row r="10" spans="1:12" s="9" customFormat="1" ht="33" customHeight="1" x14ac:dyDescent="0.25">
      <c r="A10" s="7" t="s">
        <v>12</v>
      </c>
      <c r="B10" s="23">
        <f>ORÇAMENTO!B11</f>
        <v>103689</v>
      </c>
      <c r="C10" s="23" t="str">
        <f>ORÇAMENTO!C11</f>
        <v>SINAPI</v>
      </c>
      <c r="D10" s="139" t="str">
        <f>ORÇAMENTO!D11</f>
        <v>FORNECIMENTO E INSTALAÇÃO DE PLACA DE OBRA COM CHAPA GALVANIZADA E ESTRUTURA DE MADEIRA. AF_03/2022_PS</v>
      </c>
      <c r="E10" s="140" t="s">
        <v>21</v>
      </c>
      <c r="F10" s="8"/>
      <c r="G10" s="53"/>
      <c r="H10" s="50"/>
      <c r="I10" s="53"/>
      <c r="J10" s="46"/>
      <c r="K10" s="136"/>
    </row>
    <row r="11" spans="1:12" x14ac:dyDescent="0.25">
      <c r="A11" s="10"/>
      <c r="B11" s="30"/>
      <c r="C11" s="30"/>
      <c r="D11" s="51" t="s">
        <v>101</v>
      </c>
      <c r="E11" s="12"/>
      <c r="F11" s="11"/>
      <c r="G11" s="43">
        <v>3</v>
      </c>
      <c r="H11" s="44"/>
      <c r="I11" s="43">
        <v>1.5</v>
      </c>
      <c r="J11" s="52">
        <f>ROUND(G11*I11,2)</f>
        <v>4.5</v>
      </c>
      <c r="K11" s="136"/>
    </row>
    <row r="12" spans="1:12" x14ac:dyDescent="0.25">
      <c r="A12" s="568"/>
      <c r="B12" s="569"/>
      <c r="C12" s="569"/>
      <c r="D12" s="569"/>
      <c r="E12" s="569"/>
      <c r="F12" s="569"/>
      <c r="G12" s="569"/>
      <c r="H12" s="569"/>
      <c r="I12" s="569"/>
      <c r="J12" s="570"/>
      <c r="K12" s="136"/>
    </row>
    <row r="13" spans="1:12" x14ac:dyDescent="0.25">
      <c r="A13" s="2" t="s">
        <v>1</v>
      </c>
      <c r="B13" s="21" t="s">
        <v>2</v>
      </c>
      <c r="C13" s="28" t="s">
        <v>3</v>
      </c>
      <c r="D13" s="2" t="s">
        <v>4</v>
      </c>
      <c r="E13" s="4" t="s">
        <v>5</v>
      </c>
      <c r="F13" s="3" t="s">
        <v>6</v>
      </c>
      <c r="G13" s="38" t="s">
        <v>61</v>
      </c>
      <c r="H13" s="39" t="s">
        <v>62</v>
      </c>
      <c r="I13" s="39" t="s">
        <v>63</v>
      </c>
      <c r="J13" s="69" t="s">
        <v>9</v>
      </c>
      <c r="K13" s="136"/>
      <c r="L13">
        <v>8.8000000000000007</v>
      </c>
    </row>
    <row r="14" spans="1:12" s="9" customFormat="1" ht="28.5" customHeight="1" x14ac:dyDescent="0.25">
      <c r="A14" s="7" t="s">
        <v>474</v>
      </c>
      <c r="B14" s="23" t="str">
        <f>ORÇAMENTO!B12</f>
        <v>C4995</v>
      </c>
      <c r="C14" s="23" t="str">
        <f>ORÇAMENTO!C12</f>
        <v>SEINFRA</v>
      </c>
      <c r="D14" s="139" t="str">
        <f>ORÇAMENTO!D12</f>
        <v>LOCAÇÃO DE CONTÊINER BANHEIRO COM 02 VASOS SANITÁRIOS, 01 LAVATÓRIO E 04 CHUVEIROS - 6,00 X 2,35M</v>
      </c>
      <c r="E14" s="140" t="s">
        <v>85</v>
      </c>
      <c r="F14" s="8"/>
      <c r="G14" s="53"/>
      <c r="H14" s="50"/>
      <c r="I14" s="53"/>
      <c r="J14" s="46"/>
      <c r="K14" s="136"/>
      <c r="L14" s="9">
        <v>11.2</v>
      </c>
    </row>
    <row r="15" spans="1:12" x14ac:dyDescent="0.25">
      <c r="A15" s="151"/>
      <c r="B15" s="152"/>
      <c r="C15" s="152"/>
      <c r="D15" s="152"/>
      <c r="E15" s="152"/>
      <c r="F15" s="153">
        <v>6</v>
      </c>
      <c r="G15" s="152"/>
      <c r="H15" s="152"/>
      <c r="I15" s="152"/>
      <c r="J15" s="154">
        <f>F15</f>
        <v>6</v>
      </c>
      <c r="K15" s="136"/>
      <c r="L15">
        <v>6.1</v>
      </c>
    </row>
    <row r="16" spans="1:12" x14ac:dyDescent="0.25">
      <c r="A16" s="64"/>
      <c r="B16" s="65"/>
      <c r="C16" s="65"/>
      <c r="D16" s="65"/>
      <c r="E16" s="65"/>
      <c r="F16" s="65"/>
      <c r="G16" s="65"/>
      <c r="H16" s="65"/>
      <c r="I16" s="65"/>
      <c r="J16" s="66"/>
      <c r="K16" s="136"/>
    </row>
    <row r="17" spans="1:11" ht="18" customHeight="1" x14ac:dyDescent="0.25">
      <c r="A17" s="2" t="s">
        <v>1</v>
      </c>
      <c r="B17" s="21" t="s">
        <v>2</v>
      </c>
      <c r="C17" s="28" t="s">
        <v>3</v>
      </c>
      <c r="D17" s="2" t="s">
        <v>4</v>
      </c>
      <c r="E17" s="4" t="s">
        <v>5</v>
      </c>
      <c r="F17" s="3" t="s">
        <v>6</v>
      </c>
      <c r="G17" s="38"/>
      <c r="H17" s="39"/>
      <c r="I17" s="39" t="s">
        <v>63</v>
      </c>
      <c r="J17" s="69" t="s">
        <v>9</v>
      </c>
      <c r="K17" s="136"/>
    </row>
    <row r="18" spans="1:11" ht="30.75" customHeight="1" x14ac:dyDescent="0.25">
      <c r="A18" s="7" t="str">
        <f>ORÇAMENTO!A13</f>
        <v xml:space="preserve"> 1.3</v>
      </c>
      <c r="B18" s="23">
        <f>ORÇAMENTO!B13</f>
        <v>94319</v>
      </c>
      <c r="C18" s="23" t="str">
        <f>ORÇAMENTO!C13</f>
        <v>SINAPI</v>
      </c>
      <c r="D18" s="139" t="str">
        <f>ORÇAMENTO!D13</f>
        <v>ATERRO MANUAL DE VALAS COM SOLO ARGILO-ARENOSO. AF_08/2023</v>
      </c>
      <c r="E18" s="140" t="s">
        <v>84</v>
      </c>
      <c r="F18" s="8"/>
      <c r="G18" s="53"/>
      <c r="H18" s="50"/>
      <c r="I18" s="53"/>
      <c r="J18" s="46"/>
      <c r="K18" s="136"/>
    </row>
    <row r="19" spans="1:11" ht="26.4" x14ac:dyDescent="0.25">
      <c r="A19" s="10"/>
      <c r="B19" s="30"/>
      <c r="C19" s="30"/>
      <c r="D19" s="36" t="s">
        <v>1189</v>
      </c>
      <c r="E19" s="12"/>
      <c r="F19" s="36" t="s">
        <v>511</v>
      </c>
      <c r="G19" s="44">
        <v>115</v>
      </c>
      <c r="H19" s="44"/>
      <c r="I19" s="44">
        <v>0.4</v>
      </c>
      <c r="J19" s="52">
        <f>G19*I19</f>
        <v>46</v>
      </c>
      <c r="K19" s="136"/>
    </row>
    <row r="20" spans="1:11" x14ac:dyDescent="0.25">
      <c r="A20" s="10"/>
      <c r="B20" s="30"/>
      <c r="C20" s="30"/>
      <c r="D20" s="36"/>
      <c r="E20" s="12"/>
      <c r="F20" s="36" t="s">
        <v>512</v>
      </c>
      <c r="G20" s="44">
        <v>35</v>
      </c>
      <c r="H20" s="44"/>
      <c r="I20" s="44">
        <v>0.4</v>
      </c>
      <c r="J20" s="52">
        <f>G20*I20</f>
        <v>14</v>
      </c>
      <c r="K20" s="136"/>
    </row>
    <row r="21" spans="1:11" x14ac:dyDescent="0.25">
      <c r="A21" s="10"/>
      <c r="B21" s="30"/>
      <c r="C21" s="30"/>
      <c r="D21" s="36" t="s">
        <v>184</v>
      </c>
      <c r="E21" s="12"/>
      <c r="F21" s="377">
        <v>0.3</v>
      </c>
      <c r="G21" s="44"/>
      <c r="H21" s="44"/>
      <c r="I21" s="44"/>
      <c r="J21" s="67">
        <f>(J19+J20)*1.3</f>
        <v>78</v>
      </c>
      <c r="K21" s="136"/>
    </row>
    <row r="22" spans="1:11" x14ac:dyDescent="0.25">
      <c r="A22" s="10"/>
      <c r="B22" s="30"/>
      <c r="C22" s="30"/>
      <c r="D22" s="36"/>
      <c r="E22" s="12"/>
      <c r="F22" s="377"/>
      <c r="G22" s="44"/>
      <c r="H22" s="44"/>
      <c r="I22" s="44"/>
      <c r="K22" s="136"/>
    </row>
    <row r="23" spans="1:11" x14ac:dyDescent="0.25">
      <c r="A23" s="2" t="s">
        <v>1</v>
      </c>
      <c r="B23" s="21" t="s">
        <v>2</v>
      </c>
      <c r="C23" s="28" t="s">
        <v>3</v>
      </c>
      <c r="D23" s="2" t="s">
        <v>4</v>
      </c>
      <c r="E23" s="4" t="s">
        <v>5</v>
      </c>
      <c r="F23" s="3" t="s">
        <v>6</v>
      </c>
      <c r="G23" s="38" t="s">
        <v>61</v>
      </c>
      <c r="H23" s="39" t="s">
        <v>62</v>
      </c>
      <c r="I23" s="39" t="s">
        <v>63</v>
      </c>
      <c r="J23" s="69" t="s">
        <v>9</v>
      </c>
      <c r="K23" s="136"/>
    </row>
    <row r="24" spans="1:11" x14ac:dyDescent="0.25">
      <c r="A24" s="7" t="s">
        <v>735</v>
      </c>
      <c r="B24" s="23">
        <v>98459</v>
      </c>
      <c r="C24" s="23" t="str">
        <f>ORÇAMENTO!C23</f>
        <v>PRÓPRIO</v>
      </c>
      <c r="D24" s="139" t="s">
        <v>739</v>
      </c>
      <c r="E24" s="140" t="s">
        <v>21</v>
      </c>
      <c r="F24" s="8"/>
      <c r="G24" s="53"/>
      <c r="H24" s="50"/>
      <c r="I24" s="53"/>
      <c r="J24" s="46"/>
      <c r="K24" s="136"/>
    </row>
    <row r="25" spans="1:11" ht="26.4" x14ac:dyDescent="0.25">
      <c r="A25" s="151"/>
      <c r="B25" s="152"/>
      <c r="C25" s="152"/>
      <c r="D25" s="152" t="s">
        <v>740</v>
      </c>
      <c r="E25" s="152"/>
      <c r="F25" s="153"/>
      <c r="G25" s="152">
        <v>55</v>
      </c>
      <c r="H25" s="152"/>
      <c r="I25" s="152">
        <v>2.2000000000000002</v>
      </c>
      <c r="J25" s="154">
        <f>G25*I25</f>
        <v>121.00000000000001</v>
      </c>
      <c r="K25" s="136">
        <f>J25/2.2</f>
        <v>55</v>
      </c>
    </row>
    <row r="26" spans="1:11" x14ac:dyDescent="0.25">
      <c r="A26" s="10"/>
      <c r="B26" s="30"/>
      <c r="C26" s="30"/>
      <c r="D26" s="36"/>
      <c r="E26" s="12"/>
      <c r="F26" s="377"/>
      <c r="G26" s="44"/>
      <c r="H26" s="44"/>
      <c r="I26" s="44"/>
      <c r="K26" s="136"/>
    </row>
    <row r="27" spans="1:11" x14ac:dyDescent="0.25">
      <c r="A27" s="2" t="s">
        <v>1</v>
      </c>
      <c r="B27" s="21" t="s">
        <v>2</v>
      </c>
      <c r="C27" s="28" t="s">
        <v>3</v>
      </c>
      <c r="D27" s="2" t="s">
        <v>4</v>
      </c>
      <c r="E27" s="4" t="s">
        <v>5</v>
      </c>
      <c r="F27" s="3" t="s">
        <v>6</v>
      </c>
      <c r="G27" s="38" t="s">
        <v>61</v>
      </c>
      <c r="H27" s="39" t="s">
        <v>62</v>
      </c>
      <c r="I27" s="39" t="s">
        <v>63</v>
      </c>
      <c r="J27" s="69" t="s">
        <v>9</v>
      </c>
      <c r="K27" s="136"/>
    </row>
    <row r="28" spans="1:11" ht="28.95" customHeight="1" x14ac:dyDescent="0.25">
      <c r="A28" s="7" t="s">
        <v>736</v>
      </c>
      <c r="B28" s="23">
        <v>97637</v>
      </c>
      <c r="C28" s="23" t="s">
        <v>13</v>
      </c>
      <c r="D28" s="139" t="s">
        <v>741</v>
      </c>
      <c r="E28" s="140" t="s">
        <v>21</v>
      </c>
      <c r="F28" s="8"/>
      <c r="G28" s="53"/>
      <c r="H28" s="50"/>
      <c r="I28" s="53"/>
      <c r="J28" s="46"/>
      <c r="K28" s="136"/>
    </row>
    <row r="29" spans="1:11" ht="26.4" x14ac:dyDescent="0.25">
      <c r="A29" s="151"/>
      <c r="B29" s="152"/>
      <c r="C29" s="152"/>
      <c r="D29" s="152" t="s">
        <v>740</v>
      </c>
      <c r="E29" s="152"/>
      <c r="F29" s="153">
        <v>100</v>
      </c>
      <c r="G29" s="152">
        <v>55</v>
      </c>
      <c r="H29" s="152"/>
      <c r="I29" s="152">
        <v>2.2000000000000002</v>
      </c>
      <c r="J29" s="154">
        <f>G29*I29</f>
        <v>121.00000000000001</v>
      </c>
      <c r="K29" s="136"/>
    </row>
    <row r="30" spans="1:11" x14ac:dyDescent="0.25">
      <c r="A30" s="10"/>
      <c r="B30" s="30"/>
      <c r="C30" s="30"/>
      <c r="D30" s="36"/>
      <c r="E30" s="12"/>
      <c r="F30" s="377"/>
      <c r="G30" s="44"/>
      <c r="H30" s="44"/>
      <c r="I30" s="44"/>
      <c r="K30" s="136"/>
    </row>
    <row r="31" spans="1:11" x14ac:dyDescent="0.25">
      <c r="A31" s="2" t="s">
        <v>1</v>
      </c>
      <c r="B31" s="21" t="s">
        <v>2</v>
      </c>
      <c r="C31" s="28" t="s">
        <v>3</v>
      </c>
      <c r="D31" s="2" t="s">
        <v>4</v>
      </c>
      <c r="E31" s="4" t="s">
        <v>5</v>
      </c>
      <c r="F31" s="3" t="s">
        <v>6</v>
      </c>
      <c r="G31" s="38" t="s">
        <v>61</v>
      </c>
      <c r="H31" s="39" t="s">
        <v>62</v>
      </c>
      <c r="I31" s="39" t="s">
        <v>63</v>
      </c>
      <c r="J31" s="69" t="s">
        <v>9</v>
      </c>
      <c r="K31" s="136"/>
    </row>
    <row r="32" spans="1:11" x14ac:dyDescent="0.25">
      <c r="A32" s="7" t="s">
        <v>737</v>
      </c>
      <c r="B32" s="23" t="str">
        <f>ORÇAMENTO!B16</f>
        <v>C2851</v>
      </c>
      <c r="C32" s="23" t="s">
        <v>15</v>
      </c>
      <c r="D32" s="139" t="s">
        <v>742</v>
      </c>
      <c r="E32" s="140" t="s">
        <v>14</v>
      </c>
      <c r="F32" s="8"/>
      <c r="G32" s="53"/>
      <c r="H32" s="50"/>
      <c r="I32" s="53"/>
      <c r="J32" s="46"/>
      <c r="K32" s="136"/>
    </row>
    <row r="33" spans="1:12" x14ac:dyDescent="0.25">
      <c r="A33" s="151"/>
      <c r="B33" s="152"/>
      <c r="C33" s="152"/>
      <c r="D33" s="152"/>
      <c r="E33" s="152"/>
      <c r="F33" s="153">
        <v>1</v>
      </c>
      <c r="G33" s="152"/>
      <c r="H33" s="152"/>
      <c r="I33" s="152"/>
      <c r="J33" s="154">
        <v>1</v>
      </c>
      <c r="K33" s="136"/>
    </row>
    <row r="34" spans="1:12" x14ac:dyDescent="0.25">
      <c r="A34" s="10"/>
      <c r="B34" s="30"/>
      <c r="C34" s="30"/>
      <c r="D34" s="36"/>
      <c r="E34" s="12"/>
      <c r="F34" s="377"/>
      <c r="G34" s="44"/>
      <c r="H34" s="44"/>
      <c r="I34" s="44"/>
      <c r="K34" s="136"/>
    </row>
    <row r="35" spans="1:12" x14ac:dyDescent="0.25">
      <c r="A35" s="2" t="s">
        <v>1</v>
      </c>
      <c r="B35" s="21" t="s">
        <v>2</v>
      </c>
      <c r="C35" s="28" t="s">
        <v>3</v>
      </c>
      <c r="D35" s="2" t="s">
        <v>4</v>
      </c>
      <c r="E35" s="4" t="s">
        <v>5</v>
      </c>
      <c r="F35" s="3" t="s">
        <v>6</v>
      </c>
      <c r="G35" s="38" t="s">
        <v>61</v>
      </c>
      <c r="H35" s="39" t="s">
        <v>62</v>
      </c>
      <c r="I35" s="39" t="s">
        <v>63</v>
      </c>
      <c r="J35" s="69" t="s">
        <v>9</v>
      </c>
      <c r="K35" s="136"/>
    </row>
    <row r="36" spans="1:12" x14ac:dyDescent="0.25">
      <c r="A36" s="7" t="s">
        <v>738</v>
      </c>
      <c r="B36" s="23" t="str">
        <f>ORÇAMENTO!B17</f>
        <v>C2849</v>
      </c>
      <c r="C36" s="23" t="s">
        <v>15</v>
      </c>
      <c r="D36" s="139" t="str">
        <f>ORÇAMENTO!D17</f>
        <v>INSTALAÇÕES PROVISÓRIAS DE ESGOTO</v>
      </c>
      <c r="E36" s="140" t="s">
        <v>14</v>
      </c>
      <c r="F36" s="8"/>
      <c r="G36" s="53"/>
      <c r="H36" s="50"/>
      <c r="I36" s="53"/>
      <c r="J36" s="46"/>
      <c r="K36" s="136"/>
    </row>
    <row r="37" spans="1:12" x14ac:dyDescent="0.25">
      <c r="A37" s="151"/>
      <c r="B37" s="152"/>
      <c r="C37" s="152"/>
      <c r="D37" s="152"/>
      <c r="E37" s="152"/>
      <c r="F37" s="153">
        <v>1</v>
      </c>
      <c r="G37" s="152"/>
      <c r="H37" s="152"/>
      <c r="I37" s="152"/>
      <c r="J37" s="154">
        <v>1</v>
      </c>
      <c r="K37" s="136"/>
    </row>
    <row r="38" spans="1:12" x14ac:dyDescent="0.25">
      <c r="A38" s="10"/>
      <c r="B38" s="30"/>
      <c r="C38" s="30"/>
      <c r="D38" s="36"/>
      <c r="E38" s="12"/>
      <c r="F38" s="377"/>
      <c r="G38" s="44"/>
      <c r="H38" s="44"/>
      <c r="I38" s="44"/>
      <c r="K38" s="136"/>
    </row>
    <row r="39" spans="1:12" x14ac:dyDescent="0.25">
      <c r="A39" s="2" t="s">
        <v>1</v>
      </c>
      <c r="B39" s="21" t="s">
        <v>2</v>
      </c>
      <c r="C39" s="28" t="s">
        <v>3</v>
      </c>
      <c r="D39" s="2" t="s">
        <v>4</v>
      </c>
      <c r="E39" s="4" t="s">
        <v>5</v>
      </c>
      <c r="F39" s="3" t="s">
        <v>6</v>
      </c>
      <c r="G39" s="38" t="s">
        <v>61</v>
      </c>
      <c r="H39" s="39" t="s">
        <v>62</v>
      </c>
      <c r="I39" s="39" t="s">
        <v>63</v>
      </c>
      <c r="J39" s="69" t="s">
        <v>9</v>
      </c>
      <c r="K39" s="136"/>
    </row>
    <row r="40" spans="1:12" x14ac:dyDescent="0.25">
      <c r="A40" s="7" t="s">
        <v>738</v>
      </c>
      <c r="B40" s="23">
        <f>ORÇAMENTO!B21</f>
        <v>90778</v>
      </c>
      <c r="C40" s="23" t="s">
        <v>15</v>
      </c>
      <c r="D40" s="139" t="str">
        <f>ORÇAMENTO!D18</f>
        <v>RASPAGEM E LIMPEZA DO TERRENO</v>
      </c>
      <c r="E40" s="140" t="s">
        <v>21</v>
      </c>
      <c r="F40" s="8"/>
      <c r="G40" s="53"/>
      <c r="H40" s="50"/>
      <c r="I40" s="53"/>
      <c r="J40" s="46"/>
      <c r="K40" s="136"/>
    </row>
    <row r="41" spans="1:12" x14ac:dyDescent="0.25">
      <c r="A41" s="151"/>
      <c r="B41" s="152"/>
      <c r="C41" s="152"/>
      <c r="D41" s="152" t="s">
        <v>752</v>
      </c>
      <c r="E41" s="475">
        <v>958.1</v>
      </c>
      <c r="H41" s="152"/>
      <c r="I41" s="152"/>
      <c r="J41" s="154">
        <f>E41-E42</f>
        <v>607.63</v>
      </c>
      <c r="K41" s="136"/>
    </row>
    <row r="42" spans="1:12" x14ac:dyDescent="0.25">
      <c r="A42" s="10"/>
      <c r="B42" s="30"/>
      <c r="C42" s="30"/>
      <c r="D42" s="152" t="s">
        <v>751</v>
      </c>
      <c r="E42" s="474">
        <v>350.47</v>
      </c>
      <c r="G42" s="44"/>
      <c r="H42" s="44"/>
      <c r="I42" s="44"/>
      <c r="J42" s="52"/>
      <c r="K42" s="136"/>
    </row>
    <row r="43" spans="1:12" x14ac:dyDescent="0.25">
      <c r="A43" s="10"/>
      <c r="B43" s="30"/>
      <c r="C43" s="30"/>
      <c r="D43" s="152"/>
      <c r="E43" s="474"/>
      <c r="G43" s="44"/>
      <c r="H43" s="44"/>
      <c r="I43" s="44"/>
      <c r="J43" s="52"/>
      <c r="K43" s="136"/>
    </row>
    <row r="44" spans="1:12" x14ac:dyDescent="0.25">
      <c r="A44" s="5" t="s">
        <v>17</v>
      </c>
      <c r="B44" s="22"/>
      <c r="C44" s="22"/>
      <c r="D44" s="5" t="s">
        <v>45</v>
      </c>
      <c r="E44" s="5"/>
      <c r="F44" s="6"/>
      <c r="G44" s="40"/>
      <c r="H44" s="41"/>
      <c r="I44" s="42"/>
      <c r="J44" s="68"/>
      <c r="K44" s="136"/>
    </row>
    <row r="45" spans="1:12" x14ac:dyDescent="0.25">
      <c r="A45" s="2" t="s">
        <v>1</v>
      </c>
      <c r="B45" s="21" t="s">
        <v>2</v>
      </c>
      <c r="C45" s="28" t="s">
        <v>3</v>
      </c>
      <c r="D45" s="2" t="s">
        <v>4</v>
      </c>
      <c r="E45" s="4" t="s">
        <v>5</v>
      </c>
      <c r="F45" s="3" t="s">
        <v>6</v>
      </c>
      <c r="G45" s="38" t="s">
        <v>78</v>
      </c>
      <c r="H45" s="39" t="s">
        <v>79</v>
      </c>
      <c r="I45" s="39"/>
      <c r="J45" s="69" t="s">
        <v>9</v>
      </c>
      <c r="K45" s="136"/>
    </row>
    <row r="46" spans="1:12" s="9" customFormat="1" x14ac:dyDescent="0.25">
      <c r="A46" s="16" t="s">
        <v>18</v>
      </c>
      <c r="B46" s="18">
        <f>ORÇAMENTO!B20</f>
        <v>90776</v>
      </c>
      <c r="C46" s="18" t="s">
        <v>13</v>
      </c>
      <c r="D46" s="16" t="str">
        <f>ORÇAMENTO!D20</f>
        <v>ENCARREGADO GERAL COM ENCARGOS COMPLEMENTARES</v>
      </c>
      <c r="E46" s="18" t="s">
        <v>32</v>
      </c>
      <c r="F46" s="17"/>
      <c r="G46" s="80"/>
      <c r="H46" s="50"/>
      <c r="I46" s="53"/>
      <c r="J46" s="46"/>
      <c r="K46" s="136"/>
    </row>
    <row r="47" spans="1:12" x14ac:dyDescent="0.25">
      <c r="A47" s="10"/>
      <c r="B47" s="36"/>
      <c r="C47" s="10"/>
      <c r="D47" s="36" t="s">
        <v>83</v>
      </c>
      <c r="E47" s="30"/>
      <c r="F47" s="141">
        <v>8</v>
      </c>
      <c r="G47" s="45">
        <v>22</v>
      </c>
      <c r="H47" s="44">
        <v>6</v>
      </c>
      <c r="I47" s="44"/>
      <c r="J47" s="52">
        <f>ROUND(F47*G47*H47,2)</f>
        <v>1056</v>
      </c>
      <c r="K47" s="137"/>
      <c r="L47" s="35"/>
    </row>
    <row r="48" spans="1:12" x14ac:dyDescent="0.25">
      <c r="A48" s="568"/>
      <c r="B48" s="569"/>
      <c r="C48" s="569"/>
      <c r="D48" s="569"/>
      <c r="E48" s="569"/>
      <c r="F48" s="569"/>
      <c r="G48" s="569"/>
      <c r="H48" s="569"/>
      <c r="I48" s="569"/>
      <c r="J48" s="570"/>
      <c r="K48" s="136"/>
    </row>
    <row r="49" spans="1:11" x14ac:dyDescent="0.25">
      <c r="A49" s="2" t="s">
        <v>1</v>
      </c>
      <c r="B49" s="21" t="s">
        <v>2</v>
      </c>
      <c r="C49" s="28" t="s">
        <v>3</v>
      </c>
      <c r="D49" s="2" t="s">
        <v>4</v>
      </c>
      <c r="E49" s="4" t="s">
        <v>5</v>
      </c>
      <c r="F49" s="3" t="s">
        <v>6</v>
      </c>
      <c r="G49" s="38" t="s">
        <v>78</v>
      </c>
      <c r="H49" s="39" t="s">
        <v>79</v>
      </c>
      <c r="I49" s="39"/>
      <c r="J49" s="69" t="s">
        <v>9</v>
      </c>
      <c r="K49" s="136"/>
    </row>
    <row r="50" spans="1:11" s="9" customFormat="1" ht="18.75" customHeight="1" x14ac:dyDescent="0.25">
      <c r="A50" s="16" t="s">
        <v>47</v>
      </c>
      <c r="B50" s="18">
        <f>ORÇAMENTO!B21</f>
        <v>90778</v>
      </c>
      <c r="C50" s="18" t="s">
        <v>13</v>
      </c>
      <c r="D50" s="16" t="str">
        <f>ORÇAMENTO!D21</f>
        <v>ENGENHEIRO CIVIL DE OBRA PLENO COM ENCARGOS COMPLEMENTARES</v>
      </c>
      <c r="E50" s="18" t="s">
        <v>32</v>
      </c>
      <c r="F50" s="17"/>
      <c r="G50" s="80"/>
      <c r="H50" s="50"/>
      <c r="I50" s="53"/>
      <c r="J50" s="46"/>
      <c r="K50" s="136"/>
    </row>
    <row r="51" spans="1:11" x14ac:dyDescent="0.25">
      <c r="A51" s="75"/>
      <c r="B51" s="76"/>
      <c r="C51" s="77"/>
      <c r="D51" s="36" t="s">
        <v>83</v>
      </c>
      <c r="E51" s="65"/>
      <c r="F51" s="142">
        <v>2</v>
      </c>
      <c r="G51" s="78">
        <v>22</v>
      </c>
      <c r="H51" s="79">
        <v>6</v>
      </c>
      <c r="I51" s="79"/>
      <c r="J51" s="52">
        <f>ROUND(F51*G51*H51,2)</f>
        <v>264</v>
      </c>
      <c r="K51" s="136"/>
    </row>
    <row r="52" spans="1:11" x14ac:dyDescent="0.25">
      <c r="A52" s="568"/>
      <c r="B52" s="569"/>
      <c r="C52" s="569"/>
      <c r="D52" s="569"/>
      <c r="E52" s="569"/>
      <c r="F52" s="569"/>
      <c r="G52" s="569"/>
      <c r="H52" s="569"/>
      <c r="I52" s="569"/>
      <c r="J52" s="570"/>
      <c r="K52" s="136"/>
    </row>
    <row r="53" spans="1:11" s="219" customFormat="1" x14ac:dyDescent="0.25">
      <c r="A53" s="5">
        <v>3</v>
      </c>
      <c r="B53" s="22"/>
      <c r="C53" s="22"/>
      <c r="D53" s="5" t="s">
        <v>188</v>
      </c>
      <c r="E53" s="5"/>
      <c r="F53" s="6"/>
      <c r="G53" s="40"/>
      <c r="H53" s="41"/>
      <c r="I53" s="42"/>
      <c r="J53" s="68"/>
    </row>
    <row r="54" spans="1:11" x14ac:dyDescent="0.25">
      <c r="A54" s="2" t="s">
        <v>1</v>
      </c>
      <c r="B54" s="21" t="s">
        <v>2</v>
      </c>
      <c r="C54" s="28" t="s">
        <v>3</v>
      </c>
      <c r="D54" s="2" t="s">
        <v>4</v>
      </c>
      <c r="E54" s="4" t="s">
        <v>5</v>
      </c>
      <c r="F54" s="3" t="s">
        <v>6</v>
      </c>
      <c r="G54" s="38" t="s">
        <v>61</v>
      </c>
      <c r="H54" s="39" t="s">
        <v>62</v>
      </c>
      <c r="I54" s="39" t="s">
        <v>189</v>
      </c>
      <c r="J54" s="69" t="s">
        <v>9</v>
      </c>
      <c r="K54" s="136"/>
    </row>
    <row r="55" spans="1:11" ht="42.75" customHeight="1" x14ac:dyDescent="0.25">
      <c r="A55" s="7" t="s">
        <v>49</v>
      </c>
      <c r="B55" s="23" t="str">
        <f>ORÇAMENTO!B23</f>
        <v>COMPOSIÇÃO 01</v>
      </c>
      <c r="C55" s="23" t="s">
        <v>179</v>
      </c>
      <c r="D55" s="139" t="s">
        <v>1114</v>
      </c>
      <c r="E55" s="140" t="s">
        <v>19</v>
      </c>
      <c r="F55" s="8"/>
      <c r="G55" s="53"/>
      <c r="H55" s="50"/>
      <c r="I55" s="53"/>
      <c r="J55" s="46"/>
      <c r="K55" s="136"/>
    </row>
    <row r="56" spans="1:11" ht="26.4" x14ac:dyDescent="0.25">
      <c r="A56" s="10"/>
      <c r="B56" s="30"/>
      <c r="C56" s="30"/>
      <c r="D56" s="242" t="s">
        <v>397</v>
      </c>
      <c r="E56" s="12"/>
      <c r="F56" s="239" t="s">
        <v>398</v>
      </c>
      <c r="G56" s="45" t="s">
        <v>61</v>
      </c>
      <c r="H56" s="45" t="s">
        <v>399</v>
      </c>
      <c r="I56" s="45" t="s">
        <v>400</v>
      </c>
      <c r="K56" s="136"/>
    </row>
    <row r="57" spans="1:11" x14ac:dyDescent="0.25">
      <c r="A57" s="75"/>
      <c r="B57" s="65"/>
      <c r="C57" s="65"/>
      <c r="D57" s="76" t="s">
        <v>401</v>
      </c>
      <c r="E57" s="125"/>
      <c r="F57" s="240">
        <v>4.96E-3</v>
      </c>
      <c r="G57" s="79">
        <v>3.49</v>
      </c>
      <c r="H57" s="79">
        <v>8000</v>
      </c>
      <c r="I57" s="79">
        <v>2</v>
      </c>
      <c r="J57" s="127">
        <f>F57*G57*H57*I57</f>
        <v>276.96640000000002</v>
      </c>
      <c r="K57" s="136"/>
    </row>
    <row r="58" spans="1:11" x14ac:dyDescent="0.25">
      <c r="A58" s="75"/>
      <c r="B58" s="65"/>
      <c r="C58" s="65"/>
      <c r="D58" s="76" t="s">
        <v>401</v>
      </c>
      <c r="E58" s="125"/>
      <c r="F58" s="240">
        <v>4.96E-3</v>
      </c>
      <c r="G58" s="79">
        <v>5.99</v>
      </c>
      <c r="H58" s="79">
        <v>8000</v>
      </c>
      <c r="I58" s="79">
        <v>2</v>
      </c>
      <c r="J58" s="127">
        <f>F58*G58*H58*I58</f>
        <v>475.3664</v>
      </c>
      <c r="K58" s="136"/>
    </row>
    <row r="59" spans="1:11" x14ac:dyDescent="0.25">
      <c r="A59" s="75"/>
      <c r="B59" s="65"/>
      <c r="C59" s="65"/>
      <c r="D59" s="76"/>
      <c r="E59" s="125"/>
      <c r="F59" s="150"/>
      <c r="G59" s="79"/>
      <c r="H59" s="79"/>
      <c r="I59" s="79"/>
      <c r="J59" s="127"/>
      <c r="K59" s="136"/>
    </row>
    <row r="60" spans="1:11" x14ac:dyDescent="0.25">
      <c r="A60" s="75"/>
      <c r="B60" s="65"/>
      <c r="C60" s="65"/>
      <c r="D60" s="76" t="s">
        <v>402</v>
      </c>
      <c r="E60" s="125"/>
      <c r="F60" s="150">
        <v>3.48</v>
      </c>
      <c r="G60" s="79">
        <v>3.49</v>
      </c>
      <c r="H60" s="79"/>
      <c r="I60" s="79">
        <v>2</v>
      </c>
      <c r="J60" s="127">
        <f>F60*G60*I60</f>
        <v>24.290400000000002</v>
      </c>
      <c r="K60" s="136"/>
    </row>
    <row r="61" spans="1:11" x14ac:dyDescent="0.25">
      <c r="A61" s="75"/>
      <c r="B61" s="65"/>
      <c r="C61" s="65"/>
      <c r="D61" s="76" t="s">
        <v>402</v>
      </c>
      <c r="E61" s="125"/>
      <c r="F61" s="150">
        <v>3.48</v>
      </c>
      <c r="G61" s="79">
        <v>5.99</v>
      </c>
      <c r="H61" s="79"/>
      <c r="I61" s="79">
        <v>5</v>
      </c>
      <c r="J61" s="127">
        <f t="shared" ref="J61:J62" si="0">F61*G61*I61</f>
        <v>104.22600000000001</v>
      </c>
      <c r="K61" s="136"/>
    </row>
    <row r="62" spans="1:11" x14ac:dyDescent="0.25">
      <c r="A62" s="75"/>
      <c r="B62" s="65"/>
      <c r="C62" s="65"/>
      <c r="D62" s="76" t="s">
        <v>403</v>
      </c>
      <c r="E62" s="125"/>
      <c r="F62" s="150">
        <v>6.21</v>
      </c>
      <c r="G62" s="79">
        <v>4.5999999999999996</v>
      </c>
      <c r="H62" s="79"/>
      <c r="I62" s="79">
        <v>2</v>
      </c>
      <c r="J62" s="127">
        <f t="shared" si="0"/>
        <v>57.131999999999998</v>
      </c>
      <c r="K62" s="136"/>
    </row>
    <row r="63" spans="1:11" x14ac:dyDescent="0.25">
      <c r="A63" s="75"/>
      <c r="B63" s="65"/>
      <c r="C63" s="65"/>
      <c r="D63" s="76" t="s">
        <v>404</v>
      </c>
      <c r="E63" s="125"/>
      <c r="F63" s="150"/>
      <c r="G63" s="79"/>
      <c r="H63" s="79"/>
      <c r="I63" s="79"/>
      <c r="J63" s="127"/>
      <c r="K63" s="136"/>
    </row>
    <row r="64" spans="1:11" x14ac:dyDescent="0.25">
      <c r="A64" s="75"/>
      <c r="B64" s="65"/>
      <c r="C64" s="65"/>
      <c r="D64" s="76" t="s">
        <v>401</v>
      </c>
      <c r="E64" s="125"/>
      <c r="F64" s="240">
        <v>4.96E-3</v>
      </c>
      <c r="G64" s="79">
        <v>5</v>
      </c>
      <c r="H64" s="79">
        <v>8000</v>
      </c>
      <c r="I64" s="79">
        <v>4</v>
      </c>
      <c r="J64" s="127">
        <f>F64*G64*H64*I64</f>
        <v>793.6</v>
      </c>
      <c r="K64" s="136"/>
    </row>
    <row r="65" spans="1:11" x14ac:dyDescent="0.25">
      <c r="A65" s="75"/>
      <c r="B65" s="65"/>
      <c r="C65" s="65"/>
      <c r="D65" s="76" t="s">
        <v>401</v>
      </c>
      <c r="E65" s="125"/>
      <c r="F65" s="240">
        <v>4.96E-3</v>
      </c>
      <c r="G65" s="79">
        <v>6.89</v>
      </c>
      <c r="H65" s="79">
        <v>8000</v>
      </c>
      <c r="I65" s="79">
        <v>5</v>
      </c>
      <c r="J65" s="127">
        <f>F65*G65*H65*I65</f>
        <v>1366.9759999999999</v>
      </c>
      <c r="K65" s="136"/>
    </row>
    <row r="66" spans="1:11" x14ac:dyDescent="0.25">
      <c r="A66" s="75"/>
      <c r="B66" s="65"/>
      <c r="C66" s="65"/>
      <c r="D66" s="76"/>
      <c r="E66" s="125"/>
      <c r="F66" s="150"/>
      <c r="G66" s="79"/>
      <c r="H66" s="79"/>
      <c r="I66" s="79"/>
      <c r="J66" s="127"/>
      <c r="K66" s="136"/>
    </row>
    <row r="67" spans="1:11" x14ac:dyDescent="0.25">
      <c r="A67" s="75"/>
      <c r="B67" s="65"/>
      <c r="C67" s="65"/>
      <c r="D67" s="76"/>
      <c r="E67" s="125"/>
      <c r="F67" s="150"/>
      <c r="G67" s="79"/>
      <c r="H67" s="79"/>
      <c r="I67" s="79"/>
      <c r="J67" s="127"/>
      <c r="K67" s="136"/>
    </row>
    <row r="68" spans="1:11" x14ac:dyDescent="0.25">
      <c r="A68" s="75"/>
      <c r="B68" s="65"/>
      <c r="C68" s="65"/>
      <c r="D68" s="76"/>
      <c r="E68" s="125"/>
      <c r="F68" s="150"/>
      <c r="G68" s="79"/>
      <c r="H68" s="580" t="s">
        <v>38</v>
      </c>
      <c r="I68" s="581"/>
      <c r="J68" s="241">
        <f>J57+J58+J60+J61+J62+J64+J65</f>
        <v>3098.5572000000002</v>
      </c>
      <c r="K68" s="136"/>
    </row>
    <row r="69" spans="1:11" x14ac:dyDescent="0.25">
      <c r="A69" s="75"/>
      <c r="B69" s="65"/>
      <c r="C69" s="65"/>
      <c r="D69" s="76"/>
      <c r="E69" s="125"/>
      <c r="F69" s="150"/>
      <c r="G69" s="79"/>
      <c r="H69" s="79"/>
      <c r="I69" s="79"/>
      <c r="J69" s="127"/>
      <c r="K69" s="136"/>
    </row>
    <row r="70" spans="1:11" x14ac:dyDescent="0.25">
      <c r="A70" s="2" t="s">
        <v>1</v>
      </c>
      <c r="B70" s="21" t="s">
        <v>2</v>
      </c>
      <c r="C70" s="28" t="s">
        <v>3</v>
      </c>
      <c r="D70" s="2" t="s">
        <v>4</v>
      </c>
      <c r="E70" s="4" t="s">
        <v>5</v>
      </c>
      <c r="F70" s="3" t="s">
        <v>6</v>
      </c>
      <c r="G70" s="38" t="s">
        <v>61</v>
      </c>
      <c r="H70" s="39" t="s">
        <v>62</v>
      </c>
      <c r="I70" s="39" t="s">
        <v>63</v>
      </c>
      <c r="J70" s="69" t="s">
        <v>9</v>
      </c>
      <c r="K70" s="136"/>
    </row>
    <row r="71" spans="1:11" ht="42" customHeight="1" x14ac:dyDescent="0.25">
      <c r="A71" s="7" t="s">
        <v>50</v>
      </c>
      <c r="B71" s="23" t="str">
        <f>ORÇAMENTO!B24</f>
        <v>COMPOSIÇÃO 02</v>
      </c>
      <c r="C71" s="23" t="s">
        <v>179</v>
      </c>
      <c r="D71" s="139" t="str">
        <f>ORÇAMENTO!D24</f>
        <v>PILAR METÁLICO PERFIL LAMINADO OU SOLDADO EM AÇO ESTRUTURAL, COM CONEXÕES SOLDADAS, INCLUSOS MÃO DE OBRA, TRANSPORTE E IÇAMENTO UTILIZANDO GUINDASTE - FORNECIMENTO E INSTALAÇÃO.</v>
      </c>
      <c r="E71" s="140" t="s">
        <v>19</v>
      </c>
      <c r="F71" s="8"/>
      <c r="G71" s="53"/>
      <c r="H71" s="50"/>
      <c r="I71" s="53"/>
      <c r="J71" s="46"/>
      <c r="K71" s="136"/>
    </row>
    <row r="72" spans="1:11" ht="26.4" x14ac:dyDescent="0.25">
      <c r="A72" s="10"/>
      <c r="B72" s="30"/>
      <c r="C72" s="30"/>
      <c r="D72" s="36"/>
      <c r="E72" s="12"/>
      <c r="F72" s="239" t="s">
        <v>398</v>
      </c>
      <c r="G72" s="45" t="s">
        <v>189</v>
      </c>
      <c r="H72" s="45" t="s">
        <v>399</v>
      </c>
      <c r="I72" s="45" t="s">
        <v>400</v>
      </c>
      <c r="J72"/>
      <c r="K72" s="136"/>
    </row>
    <row r="73" spans="1:11" ht="12.75" customHeight="1" x14ac:dyDescent="0.25">
      <c r="D73" s="76" t="s">
        <v>401</v>
      </c>
      <c r="F73" s="240">
        <v>4.96E-3</v>
      </c>
      <c r="G73" s="243">
        <v>2.8</v>
      </c>
      <c r="H73" s="79">
        <v>8000</v>
      </c>
      <c r="I73">
        <v>4</v>
      </c>
      <c r="J73" s="52">
        <f>F73*G73*H73*I73</f>
        <v>444.416</v>
      </c>
      <c r="K73" s="136"/>
    </row>
    <row r="74" spans="1:11" ht="15" customHeight="1" x14ac:dyDescent="0.25">
      <c r="A74" s="75"/>
      <c r="B74" s="65"/>
      <c r="C74" s="65"/>
      <c r="D74" s="124"/>
      <c r="E74" s="125"/>
      <c r="F74" s="146"/>
      <c r="G74" s="79"/>
      <c r="H74" s="79"/>
      <c r="I74" s="79"/>
      <c r="J74" s="127"/>
      <c r="K74" s="136"/>
    </row>
    <row r="75" spans="1:11" ht="15.75" customHeight="1" x14ac:dyDescent="0.25">
      <c r="A75" s="2" t="s">
        <v>1</v>
      </c>
      <c r="B75" s="21" t="s">
        <v>2</v>
      </c>
      <c r="C75" s="28" t="s">
        <v>3</v>
      </c>
      <c r="D75" s="2" t="s">
        <v>4</v>
      </c>
      <c r="E75" s="4" t="s">
        <v>5</v>
      </c>
      <c r="F75" s="3" t="s">
        <v>6</v>
      </c>
      <c r="G75" s="38" t="s">
        <v>61</v>
      </c>
      <c r="H75" s="39" t="s">
        <v>62</v>
      </c>
      <c r="I75" s="39" t="s">
        <v>63</v>
      </c>
      <c r="J75" s="69" t="s">
        <v>9</v>
      </c>
      <c r="K75" s="136"/>
    </row>
    <row r="76" spans="1:11" ht="34.5" customHeight="1" x14ac:dyDescent="0.25">
      <c r="A76" s="7" t="s">
        <v>51</v>
      </c>
      <c r="B76" s="23">
        <f>ORÇAMENTO!B25</f>
        <v>95108</v>
      </c>
      <c r="C76" s="23" t="s">
        <v>13</v>
      </c>
      <c r="D76" s="139" t="str">
        <f>ORÇAMENTO!D25</f>
        <v>EXECUÇÃO DE PROTEÇÃO DA CABEÇA DO TIRANTE COM USO DE FÔRMAS METÁLICAS, 50 UTILIZAÇÕES, E CONCRETO FCK =15 MPA. AF_11/2023</v>
      </c>
      <c r="E76" s="140" t="s">
        <v>14</v>
      </c>
      <c r="F76" s="8"/>
      <c r="G76" s="53"/>
      <c r="H76" s="50"/>
      <c r="I76" s="53"/>
      <c r="J76" s="46"/>
      <c r="K76" s="136"/>
    </row>
    <row r="77" spans="1:11" x14ac:dyDescent="0.25">
      <c r="A77" s="10"/>
      <c r="B77" s="30"/>
      <c r="C77" s="30"/>
      <c r="D77" s="36" t="s">
        <v>391</v>
      </c>
      <c r="E77" s="12"/>
      <c r="F77" s="122">
        <v>2</v>
      </c>
      <c r="G77" s="44"/>
      <c r="H77" s="44"/>
      <c r="I77" s="44"/>
      <c r="J77" s="52">
        <f>F77</f>
        <v>2</v>
      </c>
      <c r="K77" s="136"/>
    </row>
    <row r="78" spans="1:11" x14ac:dyDescent="0.25">
      <c r="A78" s="75"/>
      <c r="B78" s="65"/>
      <c r="C78" s="65"/>
      <c r="D78" s="124"/>
      <c r="E78" s="125"/>
      <c r="F78" s="146"/>
      <c r="G78" s="79"/>
      <c r="H78" s="79"/>
      <c r="I78" s="79"/>
      <c r="J78" s="127"/>
      <c r="K78" s="136"/>
    </row>
    <row r="79" spans="1:11" x14ac:dyDescent="0.25">
      <c r="A79" s="2" t="s">
        <v>1</v>
      </c>
      <c r="B79" s="21" t="s">
        <v>2</v>
      </c>
      <c r="C79" s="28" t="s">
        <v>3</v>
      </c>
      <c r="D79" s="2" t="s">
        <v>4</v>
      </c>
      <c r="E79" s="4" t="s">
        <v>5</v>
      </c>
      <c r="F79" s="3" t="s">
        <v>6</v>
      </c>
      <c r="G79" s="38" t="s">
        <v>61</v>
      </c>
      <c r="H79" s="39" t="s">
        <v>62</v>
      </c>
      <c r="I79" s="39" t="s">
        <v>63</v>
      </c>
      <c r="J79" s="69" t="s">
        <v>9</v>
      </c>
      <c r="K79" s="136"/>
    </row>
    <row r="80" spans="1:11" x14ac:dyDescent="0.25">
      <c r="A80" s="7" t="s">
        <v>52</v>
      </c>
      <c r="B80" s="23">
        <f>ORÇAMENTO!B26</f>
        <v>1332</v>
      </c>
      <c r="C80" s="23" t="s">
        <v>379</v>
      </c>
      <c r="D80" s="139" t="str">
        <f>ORÇAMENTO!D26</f>
        <v>CHAPA DE ACO GROSSA, ASTM A36, E = 3/8 " (9,53 MM) 74,69 KG/M²</v>
      </c>
      <c r="E80" s="140" t="s">
        <v>19</v>
      </c>
      <c r="F80" s="8"/>
      <c r="G80" s="53"/>
      <c r="H80" s="50"/>
      <c r="I80" s="53"/>
      <c r="J80" s="46"/>
      <c r="K80" s="136"/>
    </row>
    <row r="81" spans="1:11" x14ac:dyDescent="0.25">
      <c r="A81" s="10"/>
      <c r="B81" s="30"/>
      <c r="C81" s="30"/>
      <c r="D81" s="36" t="s">
        <v>391</v>
      </c>
      <c r="E81" s="12"/>
      <c r="F81" s="122">
        <v>6.96</v>
      </c>
      <c r="G81" s="44"/>
      <c r="H81" s="44"/>
      <c r="I81" s="44"/>
      <c r="J81" s="52">
        <f>F81</f>
        <v>6.96</v>
      </c>
      <c r="K81" s="136"/>
    </row>
    <row r="82" spans="1:11" ht="13.5" customHeight="1" x14ac:dyDescent="0.25">
      <c r="K82" s="136"/>
    </row>
    <row r="83" spans="1:11" x14ac:dyDescent="0.25">
      <c r="A83" s="2" t="s">
        <v>1</v>
      </c>
      <c r="B83" s="21" t="s">
        <v>2</v>
      </c>
      <c r="C83" s="28" t="s">
        <v>3</v>
      </c>
      <c r="D83" s="2" t="s">
        <v>4</v>
      </c>
      <c r="E83" s="4" t="s">
        <v>5</v>
      </c>
      <c r="F83" s="3" t="s">
        <v>6</v>
      </c>
      <c r="G83" s="38" t="s">
        <v>61</v>
      </c>
      <c r="H83" s="39" t="s">
        <v>62</v>
      </c>
      <c r="I83" s="39" t="s">
        <v>63</v>
      </c>
      <c r="J83" s="69" t="s">
        <v>9</v>
      </c>
      <c r="K83" s="136"/>
    </row>
    <row r="84" spans="1:11" ht="29.25" customHeight="1" x14ac:dyDescent="0.25">
      <c r="A84" s="7" t="s">
        <v>478</v>
      </c>
      <c r="B84" s="23">
        <f>ORÇAMENTO!B27</f>
        <v>1334</v>
      </c>
      <c r="C84" s="23" t="s">
        <v>379</v>
      </c>
      <c r="D84" s="139" t="str">
        <f>ORÇAMENTO!D27</f>
        <v>CHAPA DE ACO GROSSA, ASTM A36, E = 5/8 " (15,88 MM) 124,49 KG/M²</v>
      </c>
      <c r="E84" s="140" t="s">
        <v>19</v>
      </c>
      <c r="F84" s="8"/>
      <c r="G84" s="53"/>
      <c r="H84" s="50"/>
      <c r="I84" s="53"/>
      <c r="J84" s="46"/>
      <c r="K84" s="136"/>
    </row>
    <row r="85" spans="1:11" x14ac:dyDescent="0.25">
      <c r="A85" s="10"/>
      <c r="B85" s="30"/>
      <c r="C85" s="30"/>
      <c r="D85" s="36" t="s">
        <v>391</v>
      </c>
      <c r="E85" s="12"/>
      <c r="F85" s="122">
        <v>45.28</v>
      </c>
      <c r="G85" s="44"/>
      <c r="H85" s="44"/>
      <c r="I85" s="44"/>
      <c r="J85" s="52">
        <f>F85</f>
        <v>45.28</v>
      </c>
      <c r="K85" s="136"/>
    </row>
    <row r="86" spans="1:11" x14ac:dyDescent="0.25">
      <c r="A86" s="75"/>
      <c r="B86" s="65"/>
      <c r="C86" s="65"/>
      <c r="D86" s="124"/>
      <c r="E86" s="125"/>
      <c r="F86" s="146"/>
      <c r="G86" s="79"/>
      <c r="H86" s="79"/>
      <c r="I86" s="79"/>
      <c r="J86" s="127"/>
      <c r="K86" s="136"/>
    </row>
    <row r="87" spans="1:11" x14ac:dyDescent="0.25">
      <c r="A87" s="2" t="s">
        <v>1</v>
      </c>
      <c r="B87" s="21" t="s">
        <v>2</v>
      </c>
      <c r="C87" s="28" t="s">
        <v>3</v>
      </c>
      <c r="D87" s="2" t="s">
        <v>4</v>
      </c>
      <c r="E87" s="4" t="s">
        <v>5</v>
      </c>
      <c r="F87" s="3" t="s">
        <v>6</v>
      </c>
      <c r="G87" s="38" t="s">
        <v>61</v>
      </c>
      <c r="H87" s="39" t="s">
        <v>62</v>
      </c>
      <c r="I87" s="39" t="s">
        <v>63</v>
      </c>
      <c r="J87" s="69" t="s">
        <v>9</v>
      </c>
      <c r="K87" s="136"/>
    </row>
    <row r="88" spans="1:11" ht="33.75" customHeight="1" x14ac:dyDescent="0.25">
      <c r="A88" s="7" t="s">
        <v>479</v>
      </c>
      <c r="B88" s="23">
        <f>ORÇAMENTO!B28</f>
        <v>11962</v>
      </c>
      <c r="C88" s="23" t="s">
        <v>379</v>
      </c>
      <c r="D88" s="139" t="str">
        <f>ORÇAMENTO!D28</f>
        <v>PARAFUSO ZINCADO, SEXTAVADO, COM ROSCA INTEIRA, DIAMETRO 1/4", COMPRIMENTO 1/2"</v>
      </c>
      <c r="E88" s="140" t="s">
        <v>14</v>
      </c>
      <c r="F88" s="8"/>
      <c r="G88" s="53"/>
      <c r="H88" s="50"/>
      <c r="I88" s="53"/>
      <c r="J88" s="46"/>
      <c r="K88" s="136"/>
    </row>
    <row r="89" spans="1:11" x14ac:dyDescent="0.25">
      <c r="A89" s="10"/>
      <c r="B89" s="30"/>
      <c r="C89" s="30"/>
      <c r="D89" s="36" t="s">
        <v>391</v>
      </c>
      <c r="E89" s="12"/>
      <c r="F89" s="122">
        <v>32</v>
      </c>
      <c r="G89" s="44"/>
      <c r="H89" s="44"/>
      <c r="I89" s="44"/>
      <c r="J89" s="52">
        <f>F89</f>
        <v>32</v>
      </c>
      <c r="K89" s="136"/>
    </row>
    <row r="90" spans="1:11" x14ac:dyDescent="0.25">
      <c r="A90" s="75"/>
      <c r="B90" s="65"/>
      <c r="C90" s="65"/>
      <c r="D90" s="124"/>
      <c r="E90" s="125"/>
      <c r="F90" s="146"/>
      <c r="G90" s="79"/>
      <c r="H90" s="79"/>
      <c r="I90" s="79"/>
      <c r="J90" s="127"/>
      <c r="K90" s="136"/>
    </row>
    <row r="91" spans="1:11" x14ac:dyDescent="0.25">
      <c r="A91" s="2" t="s">
        <v>1</v>
      </c>
      <c r="B91" s="21" t="s">
        <v>2</v>
      </c>
      <c r="C91" s="28" t="s">
        <v>3</v>
      </c>
      <c r="D91" s="2" t="s">
        <v>4</v>
      </c>
      <c r="E91" s="4" t="s">
        <v>5</v>
      </c>
      <c r="F91" s="3" t="s">
        <v>6</v>
      </c>
      <c r="G91" s="38" t="s">
        <v>61</v>
      </c>
      <c r="H91" s="39" t="s">
        <v>62</v>
      </c>
      <c r="I91" s="39" t="s">
        <v>63</v>
      </c>
      <c r="J91" s="69" t="s">
        <v>9</v>
      </c>
      <c r="K91" s="136"/>
    </row>
    <row r="92" spans="1:11" ht="29.25" customHeight="1" x14ac:dyDescent="0.25">
      <c r="A92" s="7" t="s">
        <v>480</v>
      </c>
      <c r="B92" s="23">
        <f>ORÇAMENTO!B29</f>
        <v>4332</v>
      </c>
      <c r="C92" s="23" t="s">
        <v>379</v>
      </c>
      <c r="D92" s="139" t="str">
        <f>ORÇAMENTO!D29</f>
        <v>PARAFUSO ZINCADO, SEXTAVADO, COM ROSCA INTEIRA, DIAMETRO 3/8", COMPRIMENTO 2"</v>
      </c>
      <c r="E92" s="140" t="s">
        <v>14</v>
      </c>
      <c r="F92" s="8"/>
      <c r="G92" s="53"/>
      <c r="H92" s="50"/>
      <c r="I92" s="53"/>
      <c r="J92" s="46"/>
      <c r="K92" s="136"/>
    </row>
    <row r="93" spans="1:11" x14ac:dyDescent="0.25">
      <c r="A93" s="10"/>
      <c r="B93" s="30"/>
      <c r="C93" s="30"/>
      <c r="D93" s="36" t="s">
        <v>391</v>
      </c>
      <c r="E93" s="12"/>
      <c r="F93" s="122">
        <v>396</v>
      </c>
      <c r="G93" s="44"/>
      <c r="H93" s="44"/>
      <c r="I93" s="44"/>
      <c r="J93" s="52">
        <f>F93</f>
        <v>396</v>
      </c>
      <c r="K93" s="136"/>
    </row>
    <row r="94" spans="1:11" x14ac:dyDescent="0.25">
      <c r="A94" s="75"/>
      <c r="B94" s="65"/>
      <c r="C94" s="65"/>
      <c r="D94" s="124"/>
      <c r="E94" s="125"/>
      <c r="F94" s="146"/>
      <c r="G94" s="79"/>
      <c r="H94" s="79"/>
      <c r="I94" s="79"/>
      <c r="J94" s="127"/>
      <c r="K94" s="136"/>
    </row>
    <row r="95" spans="1:11" x14ac:dyDescent="0.25">
      <c r="A95" s="2" t="s">
        <v>1</v>
      </c>
      <c r="B95" s="21" t="s">
        <v>2</v>
      </c>
      <c r="C95" s="28" t="s">
        <v>3</v>
      </c>
      <c r="D95" s="2" t="s">
        <v>4</v>
      </c>
      <c r="E95" s="4" t="s">
        <v>5</v>
      </c>
      <c r="F95" s="3" t="s">
        <v>6</v>
      </c>
      <c r="G95" s="38" t="s">
        <v>61</v>
      </c>
      <c r="H95" s="39" t="s">
        <v>62</v>
      </c>
      <c r="I95" s="39" t="s">
        <v>63</v>
      </c>
      <c r="J95" s="69" t="s">
        <v>9</v>
      </c>
      <c r="K95" s="136"/>
    </row>
    <row r="96" spans="1:11" ht="33" customHeight="1" x14ac:dyDescent="0.25">
      <c r="A96" s="7" t="s">
        <v>481</v>
      </c>
      <c r="B96" s="23">
        <f>ORÇAMENTO!B30</f>
        <v>4346</v>
      </c>
      <c r="C96" s="23" t="s">
        <v>379</v>
      </c>
      <c r="D96" s="139" t="str">
        <f>ORÇAMENTO!D30</f>
        <v>PARAFUSO DE FERRO POLIDO, SEXTAVADO, COM ROSCA PARCIAL, DIAMETRO 5/8", COMPRIMENTO 6", COM PORCA E ARRUELA DE PRESSAO MEDIA</v>
      </c>
      <c r="E96" s="140" t="s">
        <v>14</v>
      </c>
      <c r="F96" s="8"/>
      <c r="G96" s="53"/>
      <c r="H96" s="50"/>
      <c r="I96" s="53"/>
      <c r="J96" s="46"/>
      <c r="K96" s="136"/>
    </row>
    <row r="97" spans="1:11" x14ac:dyDescent="0.25">
      <c r="A97" s="10"/>
      <c r="B97" s="30"/>
      <c r="C97" s="30"/>
      <c r="D97" s="36" t="s">
        <v>391</v>
      </c>
      <c r="E97" s="12"/>
      <c r="F97" s="122">
        <v>56</v>
      </c>
      <c r="G97" s="44"/>
      <c r="H97" s="44"/>
      <c r="I97" s="44"/>
      <c r="J97" s="52">
        <f>F97</f>
        <v>56</v>
      </c>
      <c r="K97" s="136"/>
    </row>
    <row r="98" spans="1:11" x14ac:dyDescent="0.25">
      <c r="A98" s="75"/>
      <c r="B98" s="65"/>
      <c r="C98" s="65"/>
      <c r="D98" s="124"/>
      <c r="E98" s="125"/>
      <c r="F98" s="146"/>
      <c r="G98" s="79"/>
      <c r="H98" s="79"/>
      <c r="I98" s="79"/>
      <c r="J98" s="127"/>
      <c r="K98" s="136"/>
    </row>
    <row r="99" spans="1:11" x14ac:dyDescent="0.25">
      <c r="A99" s="2" t="s">
        <v>1</v>
      </c>
      <c r="B99" s="21" t="s">
        <v>2</v>
      </c>
      <c r="C99" s="28" t="s">
        <v>3</v>
      </c>
      <c r="D99" s="2" t="s">
        <v>4</v>
      </c>
      <c r="E99" s="4" t="s">
        <v>5</v>
      </c>
      <c r="F99" s="3" t="s">
        <v>6</v>
      </c>
      <c r="G99" s="38" t="s">
        <v>61</v>
      </c>
      <c r="H99" s="39" t="s">
        <v>62</v>
      </c>
      <c r="I99" s="39" t="s">
        <v>63</v>
      </c>
      <c r="J99" s="69" t="s">
        <v>9</v>
      </c>
      <c r="K99" s="136"/>
    </row>
    <row r="100" spans="1:11" ht="31.5" customHeight="1" x14ac:dyDescent="0.25">
      <c r="A100" s="7" t="s">
        <v>482</v>
      </c>
      <c r="B100" s="23">
        <f>ORÇAMENTO!B31</f>
        <v>13246</v>
      </c>
      <c r="C100" s="23" t="s">
        <v>379</v>
      </c>
      <c r="D100" s="139" t="str">
        <f>ORÇAMENTO!D31</f>
        <v>PARAFUSO DE FERRO POLIDO, SEXTAVADO, COM ROSCA INTEIRA, DIAMETRO 5/16", COMPRIMENTO 3/4", COM PORCA E ARRUELA LISA LEVE</v>
      </c>
      <c r="E100" s="140" t="s">
        <v>14</v>
      </c>
      <c r="F100" s="8"/>
      <c r="G100" s="53"/>
      <c r="H100" s="50"/>
      <c r="I100" s="53"/>
      <c r="J100" s="46"/>
      <c r="K100" s="136"/>
    </row>
    <row r="101" spans="1:11" x14ac:dyDescent="0.25">
      <c r="A101" s="10"/>
      <c r="B101" s="30"/>
      <c r="C101" s="30"/>
      <c r="D101" s="36" t="s">
        <v>391</v>
      </c>
      <c r="E101" s="12"/>
      <c r="F101" s="122">
        <v>48</v>
      </c>
      <c r="G101" s="44"/>
      <c r="H101" s="44"/>
      <c r="I101" s="44"/>
      <c r="J101" s="52">
        <f>F101</f>
        <v>48</v>
      </c>
      <c r="K101" s="136"/>
    </row>
    <row r="102" spans="1:11" x14ac:dyDescent="0.25">
      <c r="A102" s="75"/>
      <c r="B102" s="65"/>
      <c r="C102" s="65"/>
      <c r="D102" s="124"/>
      <c r="E102" s="125"/>
      <c r="F102" s="146"/>
      <c r="G102" s="79"/>
      <c r="H102" s="79"/>
      <c r="I102" s="79"/>
      <c r="J102" s="127"/>
      <c r="K102" s="136"/>
    </row>
    <row r="103" spans="1:11" x14ac:dyDescent="0.25">
      <c r="A103" s="2" t="s">
        <v>1</v>
      </c>
      <c r="B103" s="21" t="s">
        <v>2</v>
      </c>
      <c r="C103" s="28" t="s">
        <v>3</v>
      </c>
      <c r="D103" s="2" t="s">
        <v>4</v>
      </c>
      <c r="E103" s="4" t="s">
        <v>5</v>
      </c>
      <c r="F103" s="3" t="s">
        <v>6</v>
      </c>
      <c r="G103" s="38" t="s">
        <v>61</v>
      </c>
      <c r="H103" s="39" t="s">
        <v>62</v>
      </c>
      <c r="I103" s="39" t="s">
        <v>63</v>
      </c>
      <c r="J103" s="69" t="s">
        <v>9</v>
      </c>
      <c r="K103" s="136"/>
    </row>
    <row r="104" spans="1:11" ht="26.4" x14ac:dyDescent="0.25">
      <c r="A104" s="7" t="s">
        <v>1126</v>
      </c>
      <c r="B104" s="23">
        <f>ORÇAMENTO!B32</f>
        <v>104878</v>
      </c>
      <c r="C104" s="23" t="s">
        <v>13</v>
      </c>
      <c r="D104" s="139" t="str">
        <f>ORÇAMENTO!D32</f>
        <v>EXECUÇÃO DE LONGARINA, PARA TIRANTES PERMANENTES, COM PERFIL METÁLICO, INCLUINDO CUNHA E SOLIDARIZAÇÃO. AF_11/2023</v>
      </c>
      <c r="E104" s="140" t="s">
        <v>14</v>
      </c>
      <c r="F104" s="8"/>
      <c r="G104" s="53"/>
      <c r="H104" s="50"/>
      <c r="I104" s="53"/>
      <c r="J104" s="46"/>
      <c r="K104" s="136"/>
    </row>
    <row r="105" spans="1:11" x14ac:dyDescent="0.25">
      <c r="A105" s="10"/>
      <c r="B105" s="30"/>
      <c r="C105" s="30"/>
      <c r="D105" s="36" t="s">
        <v>391</v>
      </c>
      <c r="E105" s="12"/>
      <c r="F105" s="122">
        <v>2</v>
      </c>
      <c r="G105" s="44"/>
      <c r="H105" s="44"/>
      <c r="I105" s="44"/>
      <c r="J105" s="52">
        <f>F105</f>
        <v>2</v>
      </c>
      <c r="K105" s="136"/>
    </row>
    <row r="106" spans="1:11" x14ac:dyDescent="0.25">
      <c r="A106" s="75"/>
      <c r="B106" s="65"/>
      <c r="C106" s="65"/>
      <c r="D106" s="124"/>
      <c r="E106" s="125"/>
      <c r="F106" s="146"/>
      <c r="G106" s="79"/>
      <c r="H106" s="79"/>
      <c r="I106" s="79"/>
      <c r="J106" s="127"/>
      <c r="K106" s="136"/>
    </row>
    <row r="107" spans="1:11" x14ac:dyDescent="0.25">
      <c r="A107" s="5">
        <v>4</v>
      </c>
      <c r="B107" s="22"/>
      <c r="C107" s="22"/>
      <c r="D107" s="5" t="s">
        <v>490</v>
      </c>
      <c r="E107" s="5"/>
      <c r="F107" s="6"/>
      <c r="G107" s="40"/>
      <c r="H107" s="41"/>
      <c r="I107" s="42"/>
      <c r="J107" s="68"/>
      <c r="K107" s="136"/>
    </row>
    <row r="108" spans="1:11" x14ac:dyDescent="0.25">
      <c r="A108" s="2" t="s">
        <v>1</v>
      </c>
      <c r="B108" s="21" t="s">
        <v>2</v>
      </c>
      <c r="C108" s="28" t="s">
        <v>3</v>
      </c>
      <c r="D108" s="2" t="s">
        <v>4</v>
      </c>
      <c r="E108" s="4" t="s">
        <v>5</v>
      </c>
      <c r="F108" s="3" t="s">
        <v>6</v>
      </c>
      <c r="G108" s="38" t="s">
        <v>61</v>
      </c>
      <c r="H108" s="39" t="s">
        <v>62</v>
      </c>
      <c r="I108" s="39" t="s">
        <v>63</v>
      </c>
      <c r="J108" s="69" t="s">
        <v>9</v>
      </c>
      <c r="K108" s="136"/>
    </row>
    <row r="109" spans="1:11" ht="42" customHeight="1" x14ac:dyDescent="0.25">
      <c r="A109" s="7" t="s">
        <v>865</v>
      </c>
      <c r="B109" s="23">
        <f>ORÇAMENTO!B32</f>
        <v>104878</v>
      </c>
      <c r="C109" s="23" t="s">
        <v>13</v>
      </c>
      <c r="D109" s="139" t="str">
        <f>ORÇAMENTO!D34</f>
        <v>ALVENARIA DE VEDAÇÃO DE BLOCOS CERÂMICOS FURADOS NA VERTICAL DE 14X19X29 CM (ESPESSURA 14 CM) E ARGAMASSA DE ASSENTAMENTO COM PREPARO EM BETONEIRA. AF_12/2021</v>
      </c>
      <c r="E109" s="140" t="s">
        <v>21</v>
      </c>
      <c r="F109" s="8"/>
      <c r="G109" s="53"/>
      <c r="H109" s="50"/>
      <c r="I109" s="53"/>
      <c r="J109" s="46"/>
      <c r="K109" s="136"/>
    </row>
    <row r="110" spans="1:11" x14ac:dyDescent="0.25">
      <c r="A110" s="10"/>
      <c r="B110" s="30"/>
      <c r="C110" s="30"/>
      <c r="D110" s="36" t="s">
        <v>381</v>
      </c>
      <c r="E110" s="12"/>
      <c r="F110" s="122"/>
      <c r="G110" s="44"/>
      <c r="H110" s="44"/>
      <c r="I110" s="44"/>
      <c r="J110" s="52"/>
      <c r="K110" s="136"/>
    </row>
    <row r="111" spans="1:11" x14ac:dyDescent="0.25">
      <c r="A111" s="75"/>
      <c r="B111" s="65"/>
      <c r="C111" s="65"/>
      <c r="D111" s="76" t="s">
        <v>486</v>
      </c>
      <c r="E111" s="125"/>
      <c r="G111" s="79">
        <v>7.7</v>
      </c>
      <c r="H111" s="79">
        <v>2.2000000000000002</v>
      </c>
      <c r="I111" s="79"/>
      <c r="J111" s="146">
        <f>G111*H111</f>
        <v>16.940000000000001</v>
      </c>
      <c r="K111" s="136"/>
    </row>
    <row r="112" spans="1:11" x14ac:dyDescent="0.25">
      <c r="A112" s="75"/>
      <c r="B112" s="65"/>
      <c r="C112" s="65"/>
      <c r="D112" s="411" t="s">
        <v>487</v>
      </c>
      <c r="E112" s="125"/>
      <c r="G112" s="79"/>
      <c r="H112" s="79"/>
      <c r="I112" s="79"/>
      <c r="J112" s="146">
        <v>7.7</v>
      </c>
      <c r="K112" s="136"/>
    </row>
    <row r="113" spans="1:11" x14ac:dyDescent="0.25">
      <c r="A113" s="75"/>
      <c r="B113" s="65"/>
      <c r="C113" s="65"/>
      <c r="D113" s="76" t="s">
        <v>488</v>
      </c>
      <c r="E113" s="125"/>
      <c r="G113" s="79">
        <v>14</v>
      </c>
      <c r="H113" s="79">
        <v>2.5</v>
      </c>
      <c r="I113" s="79"/>
      <c r="J113" s="146">
        <f>G113*H113</f>
        <v>35</v>
      </c>
      <c r="K113" s="136"/>
    </row>
    <row r="114" spans="1:11" x14ac:dyDescent="0.25">
      <c r="A114" s="75"/>
      <c r="B114" s="65"/>
      <c r="C114" s="65"/>
      <c r="D114" s="124"/>
      <c r="E114" s="125"/>
      <c r="F114" s="146"/>
      <c r="G114" s="79"/>
      <c r="H114" s="79"/>
      <c r="I114" s="79"/>
      <c r="J114" s="127">
        <f>J111+J112+J113</f>
        <v>59.64</v>
      </c>
      <c r="K114" s="136"/>
    </row>
    <row r="115" spans="1:11" x14ac:dyDescent="0.25">
      <c r="A115" s="75"/>
      <c r="B115" s="65"/>
      <c r="C115" s="65"/>
      <c r="D115" s="124"/>
      <c r="E115" s="125"/>
      <c r="F115" s="146"/>
      <c r="G115" s="79"/>
      <c r="H115" s="79"/>
      <c r="I115" s="79"/>
      <c r="J115" s="127"/>
      <c r="K115" s="136"/>
    </row>
    <row r="116" spans="1:11" ht="33.75" customHeight="1" x14ac:dyDescent="0.25">
      <c r="A116" s="2" t="s">
        <v>1</v>
      </c>
      <c r="B116" s="21" t="s">
        <v>2</v>
      </c>
      <c r="C116" s="28" t="s">
        <v>3</v>
      </c>
      <c r="D116" s="2" t="s">
        <v>4</v>
      </c>
      <c r="E116" s="4" t="s">
        <v>5</v>
      </c>
      <c r="F116" s="378" t="s">
        <v>445</v>
      </c>
      <c r="G116" s="38" t="s">
        <v>61</v>
      </c>
      <c r="H116" s="39" t="s">
        <v>62</v>
      </c>
      <c r="I116" s="39" t="s">
        <v>63</v>
      </c>
      <c r="J116" s="69" t="s">
        <v>9</v>
      </c>
      <c r="K116" s="136"/>
    </row>
    <row r="117" spans="1:11" ht="56.25" customHeight="1" x14ac:dyDescent="0.25">
      <c r="A117" s="7" t="s">
        <v>866</v>
      </c>
      <c r="B117" s="23">
        <f>ORÇAMENTO!B35</f>
        <v>90082</v>
      </c>
      <c r="C117" s="23" t="s">
        <v>13</v>
      </c>
      <c r="D117" s="139" t="str">
        <f>ORÇAMENTO!D35</f>
        <v>ESCAVAÇÃO MECANIZADA DE VALA COM PROF. ATÉ 1,5 M (MÉDIA MONTANTE E JUSANTE/UMA COMPOSIÇÃO POR TRECHO), ESCAVADEIRA (0,8 M3), LARG. DE 1,5 M A 2,5 M, EM SOLO DE 1A CATEGORIA, EM LOCAIS COM ALTO NÍVEL DE INTERFERÊNCIA. AF_09/2024</v>
      </c>
      <c r="E117" s="140" t="s">
        <v>84</v>
      </c>
      <c r="F117" s="8"/>
      <c r="G117" s="53"/>
      <c r="H117" s="50"/>
      <c r="I117" s="53"/>
      <c r="J117" s="46"/>
      <c r="K117" s="136"/>
    </row>
    <row r="118" spans="1:11" x14ac:dyDescent="0.25">
      <c r="A118" s="10"/>
      <c r="B118" s="30"/>
      <c r="C118" s="30"/>
      <c r="D118" s="36" t="s">
        <v>446</v>
      </c>
      <c r="E118" s="12"/>
      <c r="F118" s="122">
        <v>8</v>
      </c>
      <c r="G118" s="44">
        <v>0.4</v>
      </c>
      <c r="H118" s="44">
        <v>0.4</v>
      </c>
      <c r="I118" s="44">
        <v>0.4</v>
      </c>
      <c r="J118" s="52">
        <f>F118*G118*H118*I118</f>
        <v>0.51200000000000012</v>
      </c>
      <c r="K118" s="136"/>
    </row>
    <row r="119" spans="1:11" x14ac:dyDescent="0.25">
      <c r="A119" s="75"/>
      <c r="B119" s="65"/>
      <c r="C119" s="65"/>
      <c r="D119" s="124"/>
      <c r="E119" s="125"/>
      <c r="F119" s="146"/>
      <c r="G119" s="79"/>
      <c r="H119" s="79"/>
      <c r="I119" s="79"/>
      <c r="J119" s="127"/>
      <c r="K119" s="136"/>
    </row>
    <row r="120" spans="1:11" x14ac:dyDescent="0.25">
      <c r="A120" s="2" t="s">
        <v>1</v>
      </c>
      <c r="B120" s="21" t="s">
        <v>2</v>
      </c>
      <c r="C120" s="28" t="s">
        <v>3</v>
      </c>
      <c r="D120" s="2" t="s">
        <v>4</v>
      </c>
      <c r="E120" s="4" t="s">
        <v>5</v>
      </c>
      <c r="F120" s="378" t="s">
        <v>6</v>
      </c>
      <c r="G120" s="38" t="s">
        <v>61</v>
      </c>
      <c r="H120" s="39" t="s">
        <v>62</v>
      </c>
      <c r="I120" s="39" t="s">
        <v>63</v>
      </c>
      <c r="J120" s="69" t="s">
        <v>9</v>
      </c>
      <c r="K120" s="136"/>
    </row>
    <row r="121" spans="1:11" ht="30" customHeight="1" x14ac:dyDescent="0.25">
      <c r="A121" s="7" t="s">
        <v>867</v>
      </c>
      <c r="B121" s="23">
        <f>ORÇAMENTO!B36</f>
        <v>96619</v>
      </c>
      <c r="C121" s="23" t="s">
        <v>13</v>
      </c>
      <c r="D121" s="139" t="str">
        <f>ORÇAMENTO!D36</f>
        <v>LASTRO DE CONCRETO MAGRO, APLICADO EM BLOCOS DE COROAMENTO OU SAPATAS, ESPESSURA DE 5 CM. AF_01/2024</v>
      </c>
      <c r="E121" s="140" t="str">
        <f>ORÇAMENTO!E36</f>
        <v>M²</v>
      </c>
      <c r="F121" s="8"/>
      <c r="G121" s="53"/>
      <c r="H121" s="50"/>
      <c r="I121" s="53"/>
      <c r="J121" s="46"/>
      <c r="K121" s="136"/>
    </row>
    <row r="122" spans="1:11" x14ac:dyDescent="0.25">
      <c r="A122" s="10"/>
      <c r="B122" s="30"/>
      <c r="C122" s="30"/>
      <c r="D122" s="36" t="s">
        <v>446</v>
      </c>
      <c r="E122" s="12"/>
      <c r="F122" s="122"/>
      <c r="G122" s="44">
        <v>6</v>
      </c>
      <c r="H122" s="44">
        <v>0.3</v>
      </c>
      <c r="I122" s="44"/>
      <c r="J122" s="52">
        <f>(G122*H122)+I123</f>
        <v>3.08</v>
      </c>
      <c r="K122" s="136"/>
    </row>
    <row r="123" spans="1:11" x14ac:dyDescent="0.25">
      <c r="A123" s="75"/>
      <c r="B123" s="65"/>
      <c r="C123" s="65"/>
      <c r="D123" s="124"/>
      <c r="E123" s="125"/>
      <c r="F123" s="146">
        <v>8</v>
      </c>
      <c r="G123" s="79">
        <v>0.4</v>
      </c>
      <c r="H123" s="79">
        <v>0.4</v>
      </c>
      <c r="I123" s="79">
        <f>H123*G123*F123</f>
        <v>1.2800000000000002</v>
      </c>
      <c r="J123" s="127"/>
      <c r="K123" s="136"/>
    </row>
    <row r="124" spans="1:11" x14ac:dyDescent="0.25">
      <c r="A124" s="2" t="s">
        <v>1</v>
      </c>
      <c r="B124" s="21" t="s">
        <v>2</v>
      </c>
      <c r="C124" s="28" t="s">
        <v>3</v>
      </c>
      <c r="D124" s="2" t="s">
        <v>4</v>
      </c>
      <c r="E124" s="4" t="s">
        <v>5</v>
      </c>
      <c r="F124" s="3" t="s">
        <v>6</v>
      </c>
      <c r="G124" s="38" t="s">
        <v>61</v>
      </c>
      <c r="H124" s="39" t="s">
        <v>62</v>
      </c>
      <c r="I124" s="39" t="s">
        <v>63</v>
      </c>
      <c r="J124" s="69" t="s">
        <v>9</v>
      </c>
      <c r="K124" s="136"/>
    </row>
    <row r="125" spans="1:11" ht="29.25" customHeight="1" x14ac:dyDescent="0.25">
      <c r="A125" s="7" t="s">
        <v>868</v>
      </c>
      <c r="B125" s="23">
        <f>ORÇAMENTO!B37</f>
        <v>96543</v>
      </c>
      <c r="C125" s="23" t="s">
        <v>13</v>
      </c>
      <c r="D125" s="139" t="str">
        <f>ORÇAMENTO!D37</f>
        <v>ARMAÇÃO DE BLOCO UTILIZANDO AÇO CA-60 DE 5 MM - MONTAGEM. AF_01/2024</v>
      </c>
      <c r="E125" s="140" t="str">
        <f>ORÇAMENTO!E37</f>
        <v>KG</v>
      </c>
      <c r="F125" s="8"/>
      <c r="G125" s="53"/>
      <c r="H125" s="50"/>
      <c r="I125" s="53"/>
      <c r="J125" s="46"/>
      <c r="K125" s="136"/>
    </row>
    <row r="126" spans="1:11" x14ac:dyDescent="0.25">
      <c r="A126" s="10"/>
      <c r="B126" s="30"/>
      <c r="C126" s="30"/>
      <c r="D126" s="36" t="s">
        <v>446</v>
      </c>
      <c r="E126" s="12"/>
      <c r="F126" s="122">
        <v>28</v>
      </c>
      <c r="G126" s="44"/>
      <c r="H126" s="44"/>
      <c r="I126" s="44"/>
      <c r="J126" s="52">
        <f>F126</f>
        <v>28</v>
      </c>
      <c r="K126" s="136"/>
    </row>
    <row r="127" spans="1:11" x14ac:dyDescent="0.25">
      <c r="A127" s="75"/>
      <c r="B127" s="65"/>
      <c r="C127" s="65"/>
      <c r="D127" s="76"/>
      <c r="E127" s="125"/>
      <c r="F127" s="146"/>
      <c r="G127" s="79"/>
      <c r="H127" s="79"/>
      <c r="I127" s="79"/>
      <c r="J127" s="127"/>
      <c r="K127" s="136"/>
    </row>
    <row r="128" spans="1:11" x14ac:dyDescent="0.25">
      <c r="A128" s="2" t="s">
        <v>1</v>
      </c>
      <c r="B128" s="21" t="s">
        <v>2</v>
      </c>
      <c r="C128" s="28" t="s">
        <v>3</v>
      </c>
      <c r="D128" s="2" t="s">
        <v>4</v>
      </c>
      <c r="E128" s="4" t="s">
        <v>5</v>
      </c>
      <c r="F128" s="3" t="s">
        <v>6</v>
      </c>
      <c r="G128" s="38" t="s">
        <v>61</v>
      </c>
      <c r="H128" s="39" t="s">
        <v>62</v>
      </c>
      <c r="I128" s="39" t="s">
        <v>63</v>
      </c>
      <c r="J128" s="69" t="s">
        <v>9</v>
      </c>
      <c r="K128" s="136"/>
    </row>
    <row r="129" spans="1:11" ht="30" customHeight="1" x14ac:dyDescent="0.25">
      <c r="A129" s="7" t="s">
        <v>869</v>
      </c>
      <c r="B129" s="23">
        <f>ORÇAMENTO!B38</f>
        <v>96545</v>
      </c>
      <c r="C129" s="23" t="s">
        <v>13</v>
      </c>
      <c r="D129" s="139" t="str">
        <f>ORÇAMENTO!D38</f>
        <v>ARMAÇÃO DE BLOCO UTILIZANDO AÇO CA-50 DE 8 MM - MONTAGEM. AF_01/2024</v>
      </c>
      <c r="E129" s="140" t="str">
        <f>ORÇAMENTO!E38</f>
        <v>KG</v>
      </c>
      <c r="F129" s="8"/>
      <c r="G129" s="53"/>
      <c r="H129" s="50"/>
      <c r="I129" s="53"/>
      <c r="J129" s="46"/>
      <c r="K129" s="136"/>
    </row>
    <row r="130" spans="1:11" x14ac:dyDescent="0.25">
      <c r="A130" s="10"/>
      <c r="B130" s="30"/>
      <c r="C130" s="30"/>
      <c r="D130" s="36" t="s">
        <v>446</v>
      </c>
      <c r="E130" s="12"/>
      <c r="F130" s="122">
        <v>32</v>
      </c>
      <c r="H130" s="44">
        <v>0.62</v>
      </c>
      <c r="I130" s="44"/>
      <c r="J130" s="52">
        <f>(F130+F131)*H130</f>
        <v>39.68</v>
      </c>
      <c r="K130" s="136"/>
    </row>
    <row r="131" spans="1:11" x14ac:dyDescent="0.25">
      <c r="A131" s="75"/>
      <c r="B131" s="65"/>
      <c r="C131" s="65"/>
      <c r="D131" s="124"/>
      <c r="E131" s="125"/>
      <c r="F131" s="146">
        <v>32</v>
      </c>
      <c r="G131" s="79"/>
      <c r="H131" s="79"/>
      <c r="I131" s="79"/>
      <c r="J131" s="127"/>
      <c r="K131" s="136"/>
    </row>
    <row r="132" spans="1:11" x14ac:dyDescent="0.25">
      <c r="A132" s="2" t="s">
        <v>1</v>
      </c>
      <c r="B132" s="21" t="s">
        <v>2</v>
      </c>
      <c r="C132" s="28" t="s">
        <v>3</v>
      </c>
      <c r="D132" s="2" t="s">
        <v>4</v>
      </c>
      <c r="E132" s="4" t="s">
        <v>5</v>
      </c>
      <c r="F132" s="3" t="s">
        <v>6</v>
      </c>
      <c r="G132" s="38" t="s">
        <v>61</v>
      </c>
      <c r="H132" s="39" t="s">
        <v>62</v>
      </c>
      <c r="I132" s="39" t="s">
        <v>63</v>
      </c>
      <c r="J132" s="69" t="s">
        <v>9</v>
      </c>
      <c r="K132" s="136"/>
    </row>
    <row r="133" spans="1:11" ht="30" customHeight="1" x14ac:dyDescent="0.25">
      <c r="A133" s="7" t="s">
        <v>870</v>
      </c>
      <c r="B133" s="23">
        <f>ORÇAMENTO!B39</f>
        <v>92411</v>
      </c>
      <c r="C133" s="23" t="s">
        <v>13</v>
      </c>
      <c r="D133" s="139" t="str">
        <f>ORÇAMENTO!D39</f>
        <v>MONTAGEM E DESMONTAGEM DE FÔRMA DE PILARES RETANGULARES E ESTRUTURAS SIMILARES, PÉ-DIREITO SIMPLES, EM MADEIRA SERRADA, 2 UTILIZAÇÕES. AF_09/2020</v>
      </c>
      <c r="E133" s="140" t="str">
        <f>ORÇAMENTO!E39</f>
        <v>M²</v>
      </c>
      <c r="F133" s="8"/>
      <c r="G133" s="53"/>
      <c r="H133" s="50"/>
      <c r="I133" s="53"/>
      <c r="J133" s="46"/>
      <c r="K133" s="136"/>
    </row>
    <row r="134" spans="1:11" x14ac:dyDescent="0.25">
      <c r="A134" s="10"/>
      <c r="B134" s="30"/>
      <c r="C134" s="30"/>
      <c r="D134" s="36" t="s">
        <v>446</v>
      </c>
      <c r="E134" s="12"/>
      <c r="F134" s="122">
        <v>8</v>
      </c>
      <c r="G134" s="44">
        <v>0.25</v>
      </c>
      <c r="H134" s="44"/>
      <c r="I134" s="44">
        <v>2.5</v>
      </c>
      <c r="J134" s="379">
        <f>F134*G134*I134</f>
        <v>5</v>
      </c>
      <c r="K134" s="136"/>
    </row>
    <row r="135" spans="1:11" ht="25.5" customHeight="1" x14ac:dyDescent="0.25">
      <c r="A135" s="75"/>
      <c r="B135" s="65"/>
      <c r="C135" s="65"/>
      <c r="D135" s="76"/>
      <c r="E135" s="125"/>
      <c r="F135" s="146"/>
      <c r="G135" s="79"/>
      <c r="H135" s="578" t="s">
        <v>491</v>
      </c>
      <c r="I135" s="578"/>
      <c r="J135" s="380">
        <f>J134*4</f>
        <v>20</v>
      </c>
      <c r="K135" s="136"/>
    </row>
    <row r="136" spans="1:11" x14ac:dyDescent="0.25">
      <c r="A136" s="75"/>
      <c r="B136" s="65"/>
      <c r="C136" s="65"/>
      <c r="D136" s="76"/>
      <c r="E136" s="125"/>
      <c r="F136" s="146"/>
      <c r="G136" s="79"/>
      <c r="H136" s="578" t="s">
        <v>185</v>
      </c>
      <c r="I136" s="578"/>
      <c r="J136" s="127">
        <f>J135/2</f>
        <v>10</v>
      </c>
      <c r="K136" s="136"/>
    </row>
    <row r="137" spans="1:11" x14ac:dyDescent="0.25">
      <c r="A137" s="75"/>
      <c r="B137" s="65"/>
      <c r="C137" s="65"/>
      <c r="D137" s="76"/>
      <c r="E137" s="125"/>
      <c r="F137" s="146"/>
      <c r="G137" s="79"/>
      <c r="H137" s="579" t="s">
        <v>38</v>
      </c>
      <c r="I137" s="579"/>
      <c r="J137" s="381">
        <f>J136</f>
        <v>10</v>
      </c>
      <c r="K137" s="136"/>
    </row>
    <row r="138" spans="1:11" x14ac:dyDescent="0.25">
      <c r="A138" s="75"/>
      <c r="B138" s="65"/>
      <c r="C138" s="65"/>
      <c r="D138" s="124"/>
      <c r="E138" s="125"/>
      <c r="F138" s="146"/>
      <c r="G138" s="79"/>
      <c r="H138" s="79"/>
      <c r="I138" s="79"/>
      <c r="J138" s="127"/>
      <c r="K138" s="136"/>
    </row>
    <row r="139" spans="1:11" ht="27.6" x14ac:dyDescent="0.25">
      <c r="A139" s="2" t="s">
        <v>1</v>
      </c>
      <c r="B139" s="21" t="s">
        <v>2</v>
      </c>
      <c r="C139" s="28" t="s">
        <v>3</v>
      </c>
      <c r="D139" s="2" t="s">
        <v>4</v>
      </c>
      <c r="E139" s="4" t="s">
        <v>5</v>
      </c>
      <c r="F139" s="378" t="s">
        <v>445</v>
      </c>
      <c r="G139" s="38" t="s">
        <v>61</v>
      </c>
      <c r="H139" s="39" t="s">
        <v>62</v>
      </c>
      <c r="I139" s="39" t="s">
        <v>63</v>
      </c>
      <c r="J139" s="69" t="s">
        <v>9</v>
      </c>
      <c r="K139" s="136"/>
    </row>
    <row r="140" spans="1:11" ht="31.5" customHeight="1" x14ac:dyDescent="0.25">
      <c r="A140" s="7" t="s">
        <v>871</v>
      </c>
      <c r="B140" s="23">
        <f>ORÇAMENTO!B40</f>
        <v>96558</v>
      </c>
      <c r="C140" s="23" t="s">
        <v>13</v>
      </c>
      <c r="D140" s="139" t="str">
        <f>ORÇAMENTO!D40</f>
        <v>CONCRETAGEM DE SAPATA, FCK 30 MPA, COM USO DE BOMBA - LANÇAMENTO, ADENSAMENTO E ACABAMENTO. AF_01/2024</v>
      </c>
      <c r="E140" s="140" t="str">
        <f>ORÇAMENTO!E40</f>
        <v>M³</v>
      </c>
      <c r="F140" s="8"/>
      <c r="G140" s="53"/>
      <c r="H140" s="50"/>
      <c r="I140" s="53"/>
      <c r="J140" s="46"/>
      <c r="K140" s="136"/>
    </row>
    <row r="141" spans="1:11" x14ac:dyDescent="0.25">
      <c r="A141" s="10"/>
      <c r="B141" s="30"/>
      <c r="C141" s="30"/>
      <c r="D141" s="36" t="s">
        <v>446</v>
      </c>
      <c r="E141" s="12"/>
      <c r="F141" s="122">
        <v>8</v>
      </c>
      <c r="G141" s="44">
        <v>0.4</v>
      </c>
      <c r="H141" s="44">
        <v>0.4</v>
      </c>
      <c r="I141" s="44">
        <v>0.2</v>
      </c>
      <c r="J141" s="52">
        <f>F141*G141*H141*I141</f>
        <v>0.25600000000000006</v>
      </c>
      <c r="K141" s="136"/>
    </row>
    <row r="142" spans="1:11" x14ac:dyDescent="0.25">
      <c r="A142" s="10"/>
      <c r="B142" s="30"/>
      <c r="C142" s="30"/>
      <c r="D142" s="36"/>
      <c r="E142" s="12"/>
      <c r="F142" s="122"/>
      <c r="G142" s="44"/>
      <c r="H142" s="44"/>
      <c r="I142" s="44"/>
      <c r="J142" s="52"/>
      <c r="K142" s="136"/>
    </row>
    <row r="143" spans="1:11" x14ac:dyDescent="0.25">
      <c r="A143" s="2" t="s">
        <v>1</v>
      </c>
      <c r="B143" s="21" t="s">
        <v>2</v>
      </c>
      <c r="C143" s="28" t="s">
        <v>3</v>
      </c>
      <c r="D143" s="2" t="s">
        <v>4</v>
      </c>
      <c r="E143" s="4" t="s">
        <v>5</v>
      </c>
      <c r="F143" s="378"/>
      <c r="G143" s="38" t="s">
        <v>61</v>
      </c>
      <c r="H143" s="39" t="s">
        <v>62</v>
      </c>
      <c r="I143" s="39" t="s">
        <v>63</v>
      </c>
      <c r="J143" s="69" t="s">
        <v>9</v>
      </c>
      <c r="K143" s="136"/>
    </row>
    <row r="144" spans="1:11" ht="25.5" customHeight="1" x14ac:dyDescent="0.25">
      <c r="A144" s="7" t="s">
        <v>872</v>
      </c>
      <c r="B144" s="23">
        <f>ORÇAMENTO!B46</f>
        <v>92543</v>
      </c>
      <c r="C144" s="23" t="s">
        <v>13</v>
      </c>
      <c r="D144" s="139" t="s">
        <v>492</v>
      </c>
      <c r="E144" s="140" t="str">
        <f>ORÇAMENTO!E41</f>
        <v>M³</v>
      </c>
      <c r="F144" s="8"/>
      <c r="G144" s="53"/>
      <c r="H144" s="50"/>
      <c r="I144" s="53"/>
      <c r="J144" s="46"/>
      <c r="K144" s="136"/>
    </row>
    <row r="145" spans="1:11" x14ac:dyDescent="0.25">
      <c r="A145" s="10"/>
      <c r="B145" s="30"/>
      <c r="C145" s="30"/>
      <c r="D145" s="36" t="s">
        <v>446</v>
      </c>
      <c r="E145" s="12"/>
      <c r="F145" s="122"/>
      <c r="G145" s="44">
        <v>21</v>
      </c>
      <c r="H145" s="44">
        <v>0.2</v>
      </c>
      <c r="I145" s="44">
        <v>0.2</v>
      </c>
      <c r="J145" s="52">
        <f>G145*H145*I145</f>
        <v>0.84000000000000008</v>
      </c>
      <c r="K145" s="136"/>
    </row>
    <row r="146" spans="1:11" x14ac:dyDescent="0.25">
      <c r="A146" s="75"/>
      <c r="B146" s="65"/>
      <c r="C146" s="65"/>
      <c r="D146" s="76"/>
      <c r="E146" s="125"/>
      <c r="F146" s="146"/>
      <c r="G146" s="79"/>
      <c r="H146" s="79"/>
      <c r="I146" s="79"/>
      <c r="J146" s="127"/>
      <c r="K146" s="136"/>
    </row>
    <row r="147" spans="1:11" ht="33.75" customHeight="1" x14ac:dyDescent="0.25">
      <c r="A147" s="2" t="s">
        <v>1</v>
      </c>
      <c r="B147" s="21" t="s">
        <v>2</v>
      </c>
      <c r="C147" s="28" t="s">
        <v>3</v>
      </c>
      <c r="D147" s="2" t="s">
        <v>4</v>
      </c>
      <c r="E147" s="4" t="s">
        <v>5</v>
      </c>
      <c r="F147" s="378" t="s">
        <v>445</v>
      </c>
      <c r="G147" s="38" t="s">
        <v>61</v>
      </c>
      <c r="H147" s="39" t="s">
        <v>62</v>
      </c>
      <c r="I147" s="39" t="s">
        <v>63</v>
      </c>
      <c r="J147" s="69" t="s">
        <v>9</v>
      </c>
      <c r="K147" s="136"/>
    </row>
    <row r="148" spans="1:11" ht="30.75" customHeight="1" x14ac:dyDescent="0.25">
      <c r="A148" s="7" t="s">
        <v>873</v>
      </c>
      <c r="B148" s="23">
        <f>ORÇAMENTO!B42</f>
        <v>103672</v>
      </c>
      <c r="C148" s="23" t="s">
        <v>13</v>
      </c>
      <c r="D148" s="139" t="str">
        <f>ORÇAMENTO!D42</f>
        <v>CONCRETAGEM DE PILARES, FCK = 25 MPA, COM USO DE BOMBA - LANÇAMENTO, ADENSAMENTO E ACABAMENTO. AF_02/2022_PS</v>
      </c>
      <c r="E148" s="140" t="str">
        <f>ORÇAMENTO!E42</f>
        <v>M³</v>
      </c>
      <c r="F148" s="8"/>
      <c r="G148" s="53"/>
      <c r="H148" s="50"/>
      <c r="I148" s="53"/>
      <c r="J148" s="46"/>
      <c r="K148" s="136"/>
    </row>
    <row r="149" spans="1:11" x14ac:dyDescent="0.25">
      <c r="A149" s="10"/>
      <c r="B149" s="30"/>
      <c r="C149" s="30"/>
      <c r="D149" s="36" t="s">
        <v>446</v>
      </c>
      <c r="E149" s="12"/>
      <c r="F149" s="122">
        <v>8</v>
      </c>
      <c r="G149" s="44">
        <v>0.25</v>
      </c>
      <c r="H149" s="44">
        <v>0.15</v>
      </c>
      <c r="I149" s="44">
        <v>2.5</v>
      </c>
      <c r="J149" s="52">
        <f>F149*G149*H149*I149</f>
        <v>0.75</v>
      </c>
      <c r="K149" s="136"/>
    </row>
    <row r="150" spans="1:11" x14ac:dyDescent="0.25">
      <c r="A150" s="75"/>
      <c r="B150" s="65"/>
      <c r="C150" s="65"/>
      <c r="D150" s="124"/>
      <c r="E150" s="125"/>
      <c r="F150" s="146"/>
      <c r="G150" s="79"/>
      <c r="H150" s="79"/>
      <c r="I150" s="79"/>
      <c r="J150" s="127"/>
      <c r="K150" s="136"/>
    </row>
    <row r="151" spans="1:11" x14ac:dyDescent="0.25">
      <c r="A151" s="2" t="s">
        <v>1</v>
      </c>
      <c r="B151" s="21" t="s">
        <v>2</v>
      </c>
      <c r="C151" s="28" t="s">
        <v>3</v>
      </c>
      <c r="D151" s="2" t="s">
        <v>4</v>
      </c>
      <c r="E151" s="4" t="s">
        <v>5</v>
      </c>
      <c r="F151" s="378" t="s">
        <v>6</v>
      </c>
      <c r="G151" s="38" t="s">
        <v>61</v>
      </c>
      <c r="H151" s="39" t="s">
        <v>62</v>
      </c>
      <c r="I151" s="39" t="s">
        <v>63</v>
      </c>
      <c r="J151" s="69" t="s">
        <v>9</v>
      </c>
      <c r="K151" s="136"/>
    </row>
    <row r="152" spans="1:11" ht="39.6" x14ac:dyDescent="0.25">
      <c r="A152" s="7" t="s">
        <v>874</v>
      </c>
      <c r="B152" s="23">
        <v>104109</v>
      </c>
      <c r="C152" s="23" t="s">
        <v>13</v>
      </c>
      <c r="D152" s="139" t="s">
        <v>493</v>
      </c>
      <c r="E152" s="140" t="s">
        <v>19</v>
      </c>
      <c r="F152" s="8"/>
      <c r="G152" s="53"/>
      <c r="H152" s="50"/>
      <c r="I152" s="53"/>
      <c r="J152" s="46"/>
      <c r="K152" s="136"/>
    </row>
    <row r="153" spans="1:11" x14ac:dyDescent="0.25">
      <c r="A153" s="10"/>
      <c r="B153" s="30"/>
      <c r="C153" s="30"/>
      <c r="D153" s="36" t="s">
        <v>446</v>
      </c>
      <c r="E153" s="12"/>
      <c r="F153" s="122">
        <v>80</v>
      </c>
      <c r="G153" s="44">
        <v>0.61699999999999999</v>
      </c>
      <c r="H153" s="44"/>
      <c r="I153" s="44"/>
      <c r="J153" s="52">
        <f>F153*G153</f>
        <v>49.36</v>
      </c>
      <c r="K153" s="136"/>
    </row>
    <row r="154" spans="1:11" x14ac:dyDescent="0.25">
      <c r="A154" s="75"/>
      <c r="B154" s="65"/>
      <c r="C154" s="65"/>
      <c r="D154" s="124"/>
      <c r="E154" s="125"/>
      <c r="F154" s="146"/>
      <c r="G154" s="79"/>
      <c r="H154" s="79"/>
      <c r="I154" s="79"/>
      <c r="J154" s="127"/>
      <c r="K154" s="136"/>
    </row>
    <row r="155" spans="1:11" x14ac:dyDescent="0.25">
      <c r="A155" s="2" t="s">
        <v>1</v>
      </c>
      <c r="B155" s="21" t="s">
        <v>2</v>
      </c>
      <c r="C155" s="28" t="s">
        <v>3</v>
      </c>
      <c r="D155" s="2" t="s">
        <v>4</v>
      </c>
      <c r="E155" s="4" t="s">
        <v>5</v>
      </c>
      <c r="F155" s="3" t="s">
        <v>6</v>
      </c>
      <c r="G155" s="38" t="s">
        <v>61</v>
      </c>
      <c r="H155" s="39" t="s">
        <v>62</v>
      </c>
      <c r="I155" s="39" t="s">
        <v>63</v>
      </c>
      <c r="J155" s="69" t="s">
        <v>9</v>
      </c>
      <c r="K155" s="136"/>
    </row>
    <row r="156" spans="1:11" ht="26.4" x14ac:dyDescent="0.25">
      <c r="A156" s="7" t="s">
        <v>875</v>
      </c>
      <c r="B156" s="23">
        <f>ORÇAMENTO!B44</f>
        <v>100701</v>
      </c>
      <c r="C156" s="23" t="s">
        <v>13</v>
      </c>
      <c r="D156" s="139" t="str">
        <f>ORÇAMENTO!D44</f>
        <v>PORTA DE FERRO, DE ABRIR, TIPO GRADE COM CHAPA, COM GUARNIÇÕES. AF_10/2025</v>
      </c>
      <c r="E156" s="140" t="str">
        <f>ORÇAMENTO!E44</f>
        <v>M²</v>
      </c>
      <c r="F156" s="8"/>
      <c r="G156" s="53"/>
      <c r="H156" s="50"/>
      <c r="I156" s="53"/>
      <c r="J156" s="46"/>
      <c r="K156" s="136"/>
    </row>
    <row r="157" spans="1:11" x14ac:dyDescent="0.25">
      <c r="A157" s="10"/>
      <c r="B157" s="30"/>
      <c r="C157" s="30"/>
      <c r="D157" s="36" t="s">
        <v>501</v>
      </c>
      <c r="E157" s="12"/>
      <c r="F157" s="122">
        <v>2</v>
      </c>
      <c r="G157" s="44"/>
      <c r="H157" s="44">
        <v>1.2</v>
      </c>
      <c r="I157" s="44">
        <v>2.1</v>
      </c>
      <c r="J157" s="379">
        <f>F157*H157*I157</f>
        <v>5.04</v>
      </c>
      <c r="K157" s="136"/>
    </row>
    <row r="158" spans="1:11" x14ac:dyDescent="0.25">
      <c r="A158" s="75"/>
      <c r="B158" s="65"/>
      <c r="C158" s="65"/>
      <c r="D158" s="124"/>
      <c r="E158" s="125"/>
      <c r="F158" s="146"/>
      <c r="G158" s="79"/>
      <c r="H158" s="79"/>
      <c r="I158" s="79"/>
      <c r="J158" s="127"/>
      <c r="K158" s="136"/>
    </row>
    <row r="159" spans="1:11" x14ac:dyDescent="0.25">
      <c r="A159" s="75"/>
      <c r="B159" s="65"/>
      <c r="C159" s="65"/>
      <c r="D159" s="124"/>
      <c r="E159" s="125"/>
      <c r="F159" s="146"/>
      <c r="G159" s="79"/>
      <c r="H159" s="79"/>
      <c r="I159" s="79"/>
      <c r="J159" s="127"/>
      <c r="K159" s="136"/>
    </row>
    <row r="160" spans="1:11" x14ac:dyDescent="0.25">
      <c r="A160" s="5">
        <v>5</v>
      </c>
      <c r="B160" s="22"/>
      <c r="C160" s="22"/>
      <c r="D160" s="5" t="s">
        <v>102</v>
      </c>
      <c r="E160" s="5"/>
      <c r="F160" s="6"/>
      <c r="G160" s="40"/>
      <c r="H160" s="41"/>
      <c r="I160" s="42"/>
      <c r="J160" s="68"/>
      <c r="K160" s="136"/>
    </row>
    <row r="161" spans="1:11" x14ac:dyDescent="0.25">
      <c r="A161" s="2" t="s">
        <v>1</v>
      </c>
      <c r="B161" s="21" t="s">
        <v>2</v>
      </c>
      <c r="C161" s="28" t="s">
        <v>3</v>
      </c>
      <c r="D161" s="2" t="s">
        <v>4</v>
      </c>
      <c r="E161" s="4" t="s">
        <v>5</v>
      </c>
      <c r="F161" s="3" t="s">
        <v>6</v>
      </c>
      <c r="G161" s="38" t="s">
        <v>61</v>
      </c>
      <c r="H161" s="39" t="s">
        <v>62</v>
      </c>
      <c r="I161" s="39" t="s">
        <v>63</v>
      </c>
      <c r="J161" s="69" t="s">
        <v>9</v>
      </c>
      <c r="K161" s="136"/>
    </row>
    <row r="162" spans="1:11" ht="42.75" customHeight="1" x14ac:dyDescent="0.25">
      <c r="A162" s="7" t="s">
        <v>53</v>
      </c>
      <c r="B162" s="23">
        <f>ORÇAMENTO!B46</f>
        <v>92543</v>
      </c>
      <c r="C162" s="23" t="s">
        <v>13</v>
      </c>
      <c r="D162" s="139" t="str">
        <f>ORÇAMENTO!D46</f>
        <v>TRAMA DE MADEIRA COMPOSTA POR TERÇAS PARA TELHADOS DE ATÉ 2 ÁGUAS PARA TELHA ONDULADA DE FIBROCIMENTO, METÁLICA, PLÁSTICA OU TERMOACÚSTICA, INCLUSO TRANSPORTE VERTICAL. AF_10/2025</v>
      </c>
      <c r="E162" s="140" t="s">
        <v>21</v>
      </c>
      <c r="F162" s="8"/>
      <c r="G162" s="53"/>
      <c r="H162" s="50"/>
      <c r="I162" s="53"/>
      <c r="J162" s="46"/>
      <c r="K162" s="136"/>
    </row>
    <row r="163" spans="1:11" ht="26.4" x14ac:dyDescent="0.25">
      <c r="A163" s="10"/>
      <c r="B163" s="30"/>
      <c r="C163" s="30"/>
      <c r="D163" s="76" t="s">
        <v>494</v>
      </c>
      <c r="E163" s="12"/>
      <c r="F163" s="386">
        <v>0.25</v>
      </c>
      <c r="G163" s="44">
        <v>271</v>
      </c>
      <c r="H163" s="44"/>
      <c r="I163" s="44"/>
      <c r="J163" s="52">
        <f>F163*G163</f>
        <v>67.75</v>
      </c>
      <c r="K163" s="136"/>
    </row>
    <row r="164" spans="1:11" x14ac:dyDescent="0.25">
      <c r="A164" s="64"/>
      <c r="B164" s="65"/>
      <c r="C164" s="65"/>
      <c r="D164" s="65"/>
      <c r="E164" s="65"/>
      <c r="F164" s="65"/>
      <c r="G164" s="65"/>
      <c r="H164" s="65"/>
      <c r="I164" s="65"/>
      <c r="J164" s="66"/>
      <c r="K164" s="136"/>
    </row>
    <row r="165" spans="1:11" x14ac:dyDescent="0.25">
      <c r="A165" s="2" t="s">
        <v>1</v>
      </c>
      <c r="B165" s="21" t="s">
        <v>2</v>
      </c>
      <c r="C165" s="28" t="s">
        <v>3</v>
      </c>
      <c r="D165" s="2" t="s">
        <v>4</v>
      </c>
      <c r="E165" s="4" t="s">
        <v>5</v>
      </c>
      <c r="F165" s="3" t="s">
        <v>6</v>
      </c>
      <c r="G165" s="38" t="s">
        <v>61</v>
      </c>
      <c r="H165" s="39" t="s">
        <v>62</v>
      </c>
      <c r="I165" s="39" t="s">
        <v>63</v>
      </c>
      <c r="J165" s="69" t="s">
        <v>9</v>
      </c>
      <c r="K165" s="136"/>
    </row>
    <row r="166" spans="1:11" ht="45" customHeight="1" x14ac:dyDescent="0.25">
      <c r="A166" s="7" t="s">
        <v>436</v>
      </c>
      <c r="B166" s="54">
        <f>ORÇAMENTO!B47</f>
        <v>94213</v>
      </c>
      <c r="C166" s="29" t="s">
        <v>13</v>
      </c>
      <c r="D166" s="7" t="str">
        <f>ORÇAMENTO!D47</f>
        <v>TELHAMENTO COM TELHA DE AÇO/ALUMÍNIO E = 0,5 MM, COM ATÉ 2 ÁGUAS, INCLUSO IÇAMENTO. AF_07/2019</v>
      </c>
      <c r="E166" s="140" t="s">
        <v>21</v>
      </c>
      <c r="F166" s="8"/>
      <c r="G166" s="53"/>
      <c r="H166" s="50"/>
      <c r="I166" s="53"/>
      <c r="J166" s="46"/>
      <c r="K166" s="136"/>
    </row>
    <row r="167" spans="1:11" ht="26.4" x14ac:dyDescent="0.25">
      <c r="A167" s="10"/>
      <c r="B167" s="24"/>
      <c r="C167" s="30"/>
      <c r="D167" s="76" t="s">
        <v>494</v>
      </c>
      <c r="E167" s="12"/>
      <c r="F167" s="386">
        <v>0.25</v>
      </c>
      <c r="G167" s="44">
        <v>271</v>
      </c>
      <c r="H167" s="44"/>
      <c r="I167" s="44"/>
      <c r="J167" s="52">
        <f>F167*G167</f>
        <v>67.75</v>
      </c>
      <c r="K167" s="136"/>
    </row>
    <row r="168" spans="1:11" x14ac:dyDescent="0.25">
      <c r="A168" s="64"/>
      <c r="B168" s="65"/>
      <c r="C168" s="65"/>
      <c r="D168" s="65"/>
      <c r="E168" s="65"/>
      <c r="F168" s="65"/>
      <c r="G168" s="65"/>
      <c r="H168" s="65"/>
      <c r="I168" s="65"/>
      <c r="J168" s="66"/>
      <c r="K168" s="136"/>
    </row>
    <row r="169" spans="1:11" x14ac:dyDescent="0.25">
      <c r="A169" s="2" t="s">
        <v>1</v>
      </c>
      <c r="B169" s="21" t="s">
        <v>2</v>
      </c>
      <c r="C169" s="28" t="s">
        <v>3</v>
      </c>
      <c r="D169" s="2" t="s">
        <v>4</v>
      </c>
      <c r="E169" s="4" t="s">
        <v>5</v>
      </c>
      <c r="F169" s="3" t="s">
        <v>6</v>
      </c>
      <c r="G169" s="38" t="s">
        <v>61</v>
      </c>
      <c r="H169" s="39" t="s">
        <v>62</v>
      </c>
      <c r="I169" s="39" t="s">
        <v>63</v>
      </c>
      <c r="J169" s="69" t="s">
        <v>9</v>
      </c>
      <c r="K169" s="136"/>
    </row>
    <row r="170" spans="1:11" x14ac:dyDescent="0.25">
      <c r="A170" s="7" t="s">
        <v>437</v>
      </c>
      <c r="B170" s="23" t="str">
        <f>ORÇAMENTO!B48</f>
        <v>C0770</v>
      </c>
      <c r="C170" s="23" t="s">
        <v>15</v>
      </c>
      <c r="D170" s="139" t="str">
        <f>ORÇAMENTO!D48</f>
        <v>CHAPA POLICARBONATO COMPACTO CRISTAL ESP.= 6mm</v>
      </c>
      <c r="E170" s="140" t="s">
        <v>21</v>
      </c>
      <c r="F170" s="8"/>
      <c r="G170" s="53"/>
      <c r="H170" s="50"/>
      <c r="I170" s="53"/>
      <c r="J170" s="46"/>
      <c r="K170" s="136"/>
    </row>
    <row r="171" spans="1:11" ht="15" customHeight="1" x14ac:dyDescent="0.25">
      <c r="A171" s="10"/>
      <c r="B171" s="30"/>
      <c r="C171" s="30"/>
      <c r="D171" s="76" t="s">
        <v>497</v>
      </c>
      <c r="E171" s="12"/>
      <c r="F171" s="126">
        <v>20.03</v>
      </c>
      <c r="G171" s="44"/>
      <c r="H171" s="44"/>
      <c r="I171" s="44"/>
      <c r="J171"/>
      <c r="K171" s="136"/>
    </row>
    <row r="172" spans="1:11" ht="15" customHeight="1" x14ac:dyDescent="0.25">
      <c r="A172" s="75"/>
      <c r="B172" s="65"/>
      <c r="C172" s="65"/>
      <c r="D172" s="76"/>
      <c r="E172" s="125"/>
      <c r="F172" s="126"/>
      <c r="G172" s="79"/>
      <c r="H172" s="79"/>
      <c r="I172" s="79"/>
      <c r="J172"/>
      <c r="K172" s="136"/>
    </row>
    <row r="173" spans="1:11" ht="18.75" customHeight="1" x14ac:dyDescent="0.25">
      <c r="A173" s="75"/>
      <c r="B173" s="65"/>
      <c r="C173" s="65"/>
      <c r="D173" s="76"/>
      <c r="E173" s="125"/>
      <c r="F173" s="126"/>
      <c r="G173" s="79"/>
      <c r="H173" s="79"/>
      <c r="I173" s="79"/>
      <c r="J173" s="52">
        <f>F171+F172</f>
        <v>20.03</v>
      </c>
      <c r="K173" s="136"/>
    </row>
    <row r="174" spans="1:11" x14ac:dyDescent="0.25">
      <c r="A174" s="64"/>
      <c r="B174" s="65"/>
      <c r="C174" s="65"/>
      <c r="D174" s="65"/>
      <c r="E174" s="65"/>
      <c r="F174" s="65"/>
      <c r="G174" s="65"/>
      <c r="H174" s="65"/>
      <c r="I174" s="65"/>
      <c r="J174" s="66"/>
      <c r="K174" s="136"/>
    </row>
    <row r="175" spans="1:11" x14ac:dyDescent="0.25">
      <c r="A175" s="2" t="s">
        <v>1</v>
      </c>
      <c r="B175" s="21" t="s">
        <v>2</v>
      </c>
      <c r="C175" s="28" t="s">
        <v>3</v>
      </c>
      <c r="D175" s="2" t="s">
        <v>4</v>
      </c>
      <c r="E175" s="4" t="s">
        <v>5</v>
      </c>
      <c r="F175" s="3" t="s">
        <v>6</v>
      </c>
      <c r="G175" s="38" t="s">
        <v>61</v>
      </c>
      <c r="H175" s="39" t="s">
        <v>62</v>
      </c>
      <c r="I175" s="39" t="s">
        <v>63</v>
      </c>
      <c r="J175" s="69" t="s">
        <v>9</v>
      </c>
      <c r="K175" s="136"/>
    </row>
    <row r="176" spans="1:11" ht="30" customHeight="1" x14ac:dyDescent="0.25">
      <c r="A176" s="7" t="s">
        <v>439</v>
      </c>
      <c r="B176" s="54">
        <f>ORÇAMENTO!B49</f>
        <v>94229</v>
      </c>
      <c r="C176" s="29" t="s">
        <v>13</v>
      </c>
      <c r="D176" s="7" t="str">
        <f>ORÇAMENTO!D49</f>
        <v>CALHA EM CHAPA DE AÇO GALVANIZADO NÚMERO 24, DESENVOLVIMENTO DE 100 CM, INCLUSO TRANSPORTE VERTICAL. AF_07/2019</v>
      </c>
      <c r="E176" s="140" t="s">
        <v>16</v>
      </c>
      <c r="F176" s="8"/>
      <c r="G176" s="53"/>
      <c r="H176" s="50"/>
      <c r="I176" s="53"/>
      <c r="J176" s="46"/>
      <c r="K176" s="136"/>
    </row>
    <row r="177" spans="1:11" x14ac:dyDescent="0.25">
      <c r="A177" s="10"/>
      <c r="B177" s="24"/>
      <c r="C177" s="30"/>
      <c r="D177" s="76" t="s">
        <v>503</v>
      </c>
      <c r="E177" s="12"/>
      <c r="F177" s="11">
        <v>23.25</v>
      </c>
      <c r="G177" s="44"/>
      <c r="H177" s="44"/>
      <c r="I177" s="44"/>
      <c r="J177" s="52"/>
      <c r="K177" s="136"/>
    </row>
    <row r="178" spans="1:11" x14ac:dyDescent="0.25">
      <c r="A178" s="75"/>
      <c r="B178" s="123"/>
      <c r="C178" s="65"/>
      <c r="D178" s="76" t="s">
        <v>504</v>
      </c>
      <c r="E178" s="125"/>
      <c r="F178" s="126">
        <v>4.9000000000000004</v>
      </c>
      <c r="G178" s="79"/>
      <c r="H178" s="79"/>
      <c r="I178" s="79"/>
      <c r="J178" s="127"/>
      <c r="K178" s="136"/>
    </row>
    <row r="179" spans="1:11" x14ac:dyDescent="0.25">
      <c r="A179" s="75"/>
      <c r="B179" s="123"/>
      <c r="C179" s="65"/>
      <c r="D179" s="76" t="s">
        <v>506</v>
      </c>
      <c r="E179" s="125"/>
      <c r="F179" s="126">
        <v>7.9</v>
      </c>
      <c r="G179" s="79"/>
      <c r="H179" s="79"/>
      <c r="I179" s="79"/>
      <c r="J179" s="127"/>
      <c r="K179" s="136"/>
    </row>
    <row r="180" spans="1:11" x14ac:dyDescent="0.25">
      <c r="A180" s="75"/>
      <c r="B180" s="123"/>
      <c r="C180" s="65"/>
      <c r="D180" s="76" t="s">
        <v>505</v>
      </c>
      <c r="E180" s="125"/>
      <c r="F180" s="126">
        <v>10.7</v>
      </c>
      <c r="G180" s="79"/>
      <c r="H180" s="79"/>
      <c r="I180" s="79"/>
      <c r="J180" s="127"/>
      <c r="K180" s="136"/>
    </row>
    <row r="181" spans="1:11" x14ac:dyDescent="0.25">
      <c r="A181" s="75"/>
      <c r="B181" s="123"/>
      <c r="C181" s="65"/>
      <c r="D181" s="76"/>
      <c r="E181" s="125"/>
      <c r="F181" s="126"/>
      <c r="G181" s="79"/>
      <c r="H181" s="79"/>
      <c r="I181" s="79"/>
      <c r="J181" s="127"/>
      <c r="K181" s="136"/>
    </row>
    <row r="182" spans="1:11" x14ac:dyDescent="0.25">
      <c r="A182" s="75"/>
      <c r="B182" s="123"/>
      <c r="C182" s="65"/>
      <c r="D182" s="76"/>
      <c r="E182" s="125"/>
      <c r="F182" s="126"/>
      <c r="G182" s="79"/>
      <c r="H182" s="79"/>
      <c r="I182" s="79"/>
      <c r="J182" s="127">
        <f>F177+F178+F179+F180</f>
        <v>46.75</v>
      </c>
      <c r="K182" s="136"/>
    </row>
    <row r="183" spans="1:11" x14ac:dyDescent="0.25">
      <c r="A183" s="64"/>
      <c r="B183" s="65"/>
      <c r="C183" s="65"/>
      <c r="D183" s="65"/>
      <c r="E183" s="65"/>
      <c r="F183" s="65"/>
      <c r="G183" s="65"/>
      <c r="H183" s="65"/>
      <c r="I183" s="65"/>
      <c r="J183" s="66"/>
      <c r="K183" s="136"/>
    </row>
    <row r="184" spans="1:11" ht="28.5" customHeight="1" x14ac:dyDescent="0.25">
      <c r="A184" s="7" t="s">
        <v>440</v>
      </c>
      <c r="B184" s="54">
        <f>ORÇAMENTO!B50</f>
        <v>94231</v>
      </c>
      <c r="C184" s="29" t="s">
        <v>13</v>
      </c>
      <c r="D184" s="7" t="str">
        <f>ORÇAMENTO!D50</f>
        <v>RUFO EM CHAPA DE AÇO GALVANIZADO NÚMERO 24, CORTE DE 25 CM, INCLUSO TRANSPORTE VERTICAL. AF_07/2019</v>
      </c>
      <c r="E184" s="140" t="s">
        <v>16</v>
      </c>
      <c r="F184" s="8"/>
      <c r="G184" s="53"/>
      <c r="H184" s="50"/>
      <c r="I184" s="53"/>
      <c r="J184" s="46"/>
      <c r="K184" s="136"/>
    </row>
    <row r="185" spans="1:11" x14ac:dyDescent="0.25">
      <c r="A185" s="10"/>
      <c r="B185" s="24"/>
      <c r="C185" s="30"/>
      <c r="D185" s="76" t="s">
        <v>381</v>
      </c>
      <c r="E185" s="12"/>
      <c r="F185" s="122"/>
      <c r="G185" s="44"/>
      <c r="H185" s="44"/>
      <c r="I185" s="44"/>
      <c r="J185" s="52">
        <f>F186+F187+F189+F188</f>
        <v>158.41999999999999</v>
      </c>
      <c r="K185" s="136"/>
    </row>
    <row r="186" spans="1:11" ht="135" customHeight="1" x14ac:dyDescent="0.25">
      <c r="A186" s="10"/>
      <c r="B186" s="24"/>
      <c r="C186" s="30"/>
      <c r="D186" s="76"/>
      <c r="E186" s="12"/>
      <c r="F186" s="122">
        <v>135.41</v>
      </c>
      <c r="G186" s="44"/>
      <c r="H186" s="44"/>
      <c r="I186" s="44"/>
      <c r="J186" s="52"/>
      <c r="K186" s="136"/>
    </row>
    <row r="187" spans="1:11" x14ac:dyDescent="0.25">
      <c r="A187" s="10"/>
      <c r="B187" s="24"/>
      <c r="C187" s="30"/>
      <c r="D187" s="76" t="s">
        <v>507</v>
      </c>
      <c r="E187" s="12"/>
      <c r="F187" s="122">
        <v>5.01</v>
      </c>
      <c r="G187" s="44"/>
      <c r="H187" s="44"/>
      <c r="I187" s="44"/>
      <c r="J187" s="52"/>
      <c r="K187" s="136"/>
    </row>
    <row r="188" spans="1:11" x14ac:dyDescent="0.25">
      <c r="A188" s="10"/>
      <c r="B188" s="24"/>
      <c r="C188" s="30"/>
      <c r="D188" s="76" t="s">
        <v>508</v>
      </c>
      <c r="E188" s="12"/>
      <c r="F188" s="122">
        <v>6</v>
      </c>
      <c r="G188" s="44"/>
      <c r="H188" s="44"/>
      <c r="I188" s="44"/>
      <c r="J188" s="52"/>
      <c r="K188" s="136"/>
    </row>
    <row r="189" spans="1:11" x14ac:dyDescent="0.25">
      <c r="A189" s="10"/>
      <c r="B189" s="24"/>
      <c r="C189" s="30"/>
      <c r="D189" s="76" t="s">
        <v>509</v>
      </c>
      <c r="E189" s="12"/>
      <c r="F189" s="122">
        <v>12</v>
      </c>
      <c r="G189" s="44"/>
      <c r="H189" s="44"/>
      <c r="I189" s="44"/>
      <c r="J189" s="52"/>
      <c r="K189" s="136"/>
    </row>
    <row r="190" spans="1:11" x14ac:dyDescent="0.25">
      <c r="A190" s="10"/>
      <c r="B190" s="24"/>
      <c r="C190" s="30"/>
      <c r="D190" s="76"/>
      <c r="E190" s="12"/>
      <c r="F190" s="122"/>
      <c r="G190" s="44"/>
      <c r="H190" s="44"/>
      <c r="I190" s="44"/>
      <c r="J190" s="52"/>
      <c r="K190" s="136"/>
    </row>
    <row r="191" spans="1:11" ht="26.4" x14ac:dyDescent="0.25">
      <c r="A191" s="7" t="s">
        <v>441</v>
      </c>
      <c r="B191" s="54">
        <f>ORÇAMENTO!B51</f>
        <v>94216</v>
      </c>
      <c r="C191" s="29" t="s">
        <v>13</v>
      </c>
      <c r="D191" s="7" t="str">
        <f>ORÇAMENTO!D51</f>
        <v>TELHAMENTO COM TELHA METÁLICA TERMOACÚSTICA E = 30 MM, COM ATÉ 2 ÁGUAS, INCLUSO IÇAMENTO. AF_07/2019</v>
      </c>
      <c r="E191" s="140" t="str">
        <f>ORÇAMENTO!E51</f>
        <v>M²</v>
      </c>
      <c r="F191" s="8"/>
      <c r="G191" s="53"/>
      <c r="H191" s="50"/>
      <c r="I191" s="53"/>
      <c r="J191" s="46"/>
      <c r="K191" s="136"/>
    </row>
    <row r="192" spans="1:11" ht="26.4" x14ac:dyDescent="0.25">
      <c r="A192" s="10"/>
      <c r="B192" s="24"/>
      <c r="C192" s="30"/>
      <c r="D192" s="76" t="s">
        <v>496</v>
      </c>
      <c r="E192" s="12"/>
      <c r="F192" s="122">
        <v>35</v>
      </c>
      <c r="G192" s="44"/>
      <c r="H192" s="44"/>
      <c r="I192" s="44"/>
      <c r="J192" s="52">
        <f>F192</f>
        <v>35</v>
      </c>
      <c r="K192" s="136"/>
    </row>
    <row r="193" spans="1:11" x14ac:dyDescent="0.25">
      <c r="A193" s="10"/>
      <c r="B193" s="24"/>
      <c r="C193" s="30"/>
      <c r="D193" s="76"/>
      <c r="E193" s="12"/>
      <c r="F193" s="122"/>
      <c r="G193" s="44"/>
      <c r="H193" s="44"/>
      <c r="I193" s="44"/>
      <c r="J193" s="52"/>
      <c r="K193" s="136"/>
    </row>
    <row r="194" spans="1:11" ht="52.8" x14ac:dyDescent="0.25">
      <c r="A194" s="7" t="s">
        <v>442</v>
      </c>
      <c r="B194" s="54">
        <f>ORÇAMENTO!B52</f>
        <v>100384</v>
      </c>
      <c r="C194" s="29" t="s">
        <v>13</v>
      </c>
      <c r="D194" s="7" t="s">
        <v>513</v>
      </c>
      <c r="E194" s="140" t="s">
        <v>21</v>
      </c>
      <c r="F194" s="8"/>
      <c r="G194" s="53"/>
      <c r="H194" s="50"/>
      <c r="I194" s="53"/>
      <c r="J194" s="46"/>
      <c r="K194" s="136"/>
    </row>
    <row r="195" spans="1:11" ht="34.950000000000003" customHeight="1" x14ac:dyDescent="0.25">
      <c r="A195" s="10"/>
      <c r="B195" s="24"/>
      <c r="C195" s="30"/>
      <c r="D195" s="76" t="s">
        <v>494</v>
      </c>
      <c r="E195" s="12"/>
      <c r="F195" s="122">
        <v>271</v>
      </c>
      <c r="G195" s="44">
        <v>0.25</v>
      </c>
      <c r="H195" s="44"/>
      <c r="I195" s="44"/>
      <c r="J195" s="52">
        <f>F195*G195</f>
        <v>67.75</v>
      </c>
      <c r="K195" s="136"/>
    </row>
    <row r="196" spans="1:11" x14ac:dyDescent="0.25">
      <c r="A196" s="10"/>
      <c r="B196" s="24"/>
      <c r="C196" s="30"/>
      <c r="D196" s="76"/>
      <c r="E196" s="12"/>
      <c r="F196" s="122"/>
      <c r="G196" s="44"/>
      <c r="H196" s="44"/>
      <c r="I196" s="44"/>
      <c r="J196" s="52"/>
      <c r="K196" s="136"/>
    </row>
    <row r="197" spans="1:11" ht="26.4" x14ac:dyDescent="0.25">
      <c r="A197" s="7" t="s">
        <v>443</v>
      </c>
      <c r="B197" s="54">
        <f>ORÇAMENTO!B53</f>
        <v>97650</v>
      </c>
      <c r="C197" s="29" t="s">
        <v>13</v>
      </c>
      <c r="D197" s="7" t="str">
        <f>ORÇAMENTO!D53</f>
        <v>REMOÇÃO DE TRAMA DE MADEIRA PARA COBERTURA, DE FORMA MANUAL, SEM REAPROVEITAMENTO. AF_09/2023</v>
      </c>
      <c r="E197" s="140" t="s">
        <v>21</v>
      </c>
      <c r="F197" s="8"/>
      <c r="G197" s="53"/>
      <c r="H197" s="50"/>
      <c r="I197" s="53"/>
      <c r="J197" s="46"/>
      <c r="K197" s="136"/>
    </row>
    <row r="198" spans="1:11" ht="26.4" x14ac:dyDescent="0.25">
      <c r="A198" s="10"/>
      <c r="B198" s="24"/>
      <c r="C198" s="30"/>
      <c r="D198" s="76" t="s">
        <v>515</v>
      </c>
      <c r="E198" s="12"/>
      <c r="F198" s="122">
        <v>271</v>
      </c>
      <c r="G198" s="44">
        <v>0.25</v>
      </c>
      <c r="H198" s="44"/>
      <c r="I198" s="44"/>
      <c r="J198" s="52">
        <f>F198*G198</f>
        <v>67.75</v>
      </c>
      <c r="K198" s="136"/>
    </row>
    <row r="199" spans="1:11" x14ac:dyDescent="0.25">
      <c r="A199" s="10"/>
      <c r="B199" s="24"/>
      <c r="C199" s="30"/>
      <c r="D199" s="76"/>
      <c r="E199" s="12"/>
      <c r="F199" s="122"/>
      <c r="G199" s="44"/>
      <c r="H199" s="44"/>
      <c r="I199" s="44"/>
      <c r="J199" s="52"/>
      <c r="K199" s="136"/>
    </row>
    <row r="200" spans="1:11" x14ac:dyDescent="0.25">
      <c r="A200" s="7" t="s">
        <v>447</v>
      </c>
      <c r="B200" s="54">
        <f>ORÇAMENTO!B54</f>
        <v>8637</v>
      </c>
      <c r="C200" s="29" t="str">
        <f>ORÇAMENTO!C54</f>
        <v>ORSE</v>
      </c>
      <c r="D200" s="7" t="str">
        <f>ORÇAMENTO!D54</f>
        <v>CHAPIM DE CONCRETO PRÉ-MOLDADO</v>
      </c>
      <c r="E200" s="140" t="s">
        <v>16</v>
      </c>
      <c r="F200" s="8"/>
      <c r="G200" s="53"/>
      <c r="H200" s="50"/>
      <c r="I200" s="53"/>
      <c r="J200" s="46"/>
      <c r="K200" s="136"/>
    </row>
    <row r="201" spans="1:11" ht="26.4" x14ac:dyDescent="0.25">
      <c r="A201" s="10"/>
      <c r="B201" s="24"/>
      <c r="C201" s="30"/>
      <c r="D201" s="76" t="s">
        <v>516</v>
      </c>
      <c r="E201" s="30" t="s">
        <v>517</v>
      </c>
      <c r="F201" s="122">
        <v>85.88</v>
      </c>
      <c r="G201" s="45" t="s">
        <v>518</v>
      </c>
      <c r="H201" s="44">
        <v>19.3</v>
      </c>
      <c r="I201" s="44"/>
      <c r="J201" s="52">
        <f>H207+F207</f>
        <v>212.01000000000002</v>
      </c>
      <c r="K201" s="136"/>
    </row>
    <row r="202" spans="1:11" x14ac:dyDescent="0.25">
      <c r="A202" s="10"/>
      <c r="B202" s="24"/>
      <c r="C202" s="30"/>
      <c r="D202" s="76"/>
      <c r="E202" s="12"/>
      <c r="F202" s="122">
        <v>19.399999999999999</v>
      </c>
      <c r="G202" s="44"/>
      <c r="H202" s="44">
        <v>27.82</v>
      </c>
      <c r="I202" s="44"/>
      <c r="J202" s="52"/>
      <c r="K202" s="136"/>
    </row>
    <row r="203" spans="1:11" x14ac:dyDescent="0.25">
      <c r="A203" s="10"/>
      <c r="B203" s="24"/>
      <c r="C203" s="30"/>
      <c r="D203" s="76"/>
      <c r="E203" s="12"/>
      <c r="F203" s="122">
        <v>7.9</v>
      </c>
      <c r="G203" s="44"/>
      <c r="H203" s="44">
        <v>17.46</v>
      </c>
      <c r="I203" s="44"/>
      <c r="J203" s="52"/>
      <c r="K203" s="136"/>
    </row>
    <row r="204" spans="1:11" x14ac:dyDescent="0.25">
      <c r="A204" s="10"/>
      <c r="B204" s="24"/>
      <c r="C204" s="30"/>
      <c r="D204" s="76"/>
      <c r="E204" s="12"/>
      <c r="F204" s="122">
        <v>10.85</v>
      </c>
      <c r="G204" s="44"/>
      <c r="H204" s="44">
        <v>4.7</v>
      </c>
      <c r="I204" s="44"/>
      <c r="J204" s="52"/>
      <c r="K204" s="136"/>
    </row>
    <row r="205" spans="1:11" x14ac:dyDescent="0.25">
      <c r="A205" s="10"/>
      <c r="B205" s="24"/>
      <c r="C205" s="30"/>
      <c r="D205" s="76"/>
      <c r="E205" s="12"/>
      <c r="F205" s="122">
        <v>10</v>
      </c>
      <c r="G205" s="44"/>
      <c r="H205" s="44">
        <v>3.8</v>
      </c>
      <c r="I205" s="44"/>
      <c r="J205" s="52"/>
      <c r="K205" s="136"/>
    </row>
    <row r="206" spans="1:11" x14ac:dyDescent="0.25">
      <c r="A206" s="10"/>
      <c r="B206" s="24"/>
      <c r="C206" s="30"/>
      <c r="D206" s="76"/>
      <c r="E206" s="12"/>
      <c r="F206" s="122">
        <v>3.9</v>
      </c>
      <c r="G206" s="44"/>
      <c r="H206" s="44">
        <v>1</v>
      </c>
      <c r="I206" s="44"/>
      <c r="J206" s="52"/>
      <c r="K206" s="136"/>
    </row>
    <row r="207" spans="1:11" x14ac:dyDescent="0.25">
      <c r="A207" s="10"/>
      <c r="B207" s="24"/>
      <c r="C207" s="30"/>
      <c r="D207" s="76"/>
      <c r="E207" s="12"/>
      <c r="F207" s="122">
        <f>F201+F202+F203+F204+F205+F206</f>
        <v>137.93</v>
      </c>
      <c r="G207" s="44"/>
      <c r="H207" s="52">
        <f>SUM(H201:H206)</f>
        <v>74.080000000000013</v>
      </c>
      <c r="I207" s="44"/>
      <c r="J207" s="52"/>
      <c r="K207" s="136"/>
    </row>
    <row r="208" spans="1:11" x14ac:dyDescent="0.25">
      <c r="A208" s="10"/>
      <c r="B208" s="24"/>
      <c r="C208" s="30"/>
      <c r="D208" s="76"/>
      <c r="E208" s="12"/>
      <c r="F208" s="122"/>
      <c r="G208" s="44"/>
      <c r="H208" s="44"/>
      <c r="I208" s="44"/>
      <c r="J208" s="52"/>
      <c r="K208" s="136"/>
    </row>
    <row r="209" spans="1:11" x14ac:dyDescent="0.25">
      <c r="A209" s="5">
        <v>6</v>
      </c>
      <c r="B209" s="22"/>
      <c r="C209" s="22"/>
      <c r="D209" s="5" t="s">
        <v>147</v>
      </c>
      <c r="E209" s="5"/>
      <c r="F209" s="6"/>
      <c r="G209" s="40"/>
      <c r="H209" s="41"/>
      <c r="I209" s="42"/>
      <c r="J209" s="68"/>
      <c r="K209" s="136"/>
    </row>
    <row r="210" spans="1:11" x14ac:dyDescent="0.25">
      <c r="A210" s="55" t="s">
        <v>54</v>
      </c>
      <c r="B210" s="56"/>
      <c r="C210" s="56"/>
      <c r="D210" s="55" t="s">
        <v>104</v>
      </c>
      <c r="E210" s="55"/>
      <c r="F210" s="57"/>
      <c r="G210" s="58"/>
      <c r="H210" s="59"/>
      <c r="I210" s="60"/>
      <c r="J210" s="62"/>
      <c r="K210" s="136"/>
    </row>
    <row r="211" spans="1:11" x14ac:dyDescent="0.25">
      <c r="A211" s="2" t="s">
        <v>1</v>
      </c>
      <c r="B211" s="21" t="s">
        <v>2</v>
      </c>
      <c r="C211" s="28" t="s">
        <v>3</v>
      </c>
      <c r="D211" s="2" t="s">
        <v>4</v>
      </c>
      <c r="E211" s="4" t="s">
        <v>5</v>
      </c>
      <c r="F211" s="3" t="s">
        <v>6</v>
      </c>
      <c r="G211" s="38" t="s">
        <v>61</v>
      </c>
      <c r="H211" s="39" t="s">
        <v>62</v>
      </c>
      <c r="I211" s="39" t="s">
        <v>63</v>
      </c>
      <c r="J211" s="69" t="s">
        <v>9</v>
      </c>
      <c r="K211" s="136"/>
    </row>
    <row r="212" spans="1:11" ht="43.5" customHeight="1" x14ac:dyDescent="0.25">
      <c r="A212" s="7" t="s">
        <v>876</v>
      </c>
      <c r="B212" s="54">
        <f>ORÇAMENTO!B57</f>
        <v>90952</v>
      </c>
      <c r="C212" s="29" t="s">
        <v>13</v>
      </c>
      <c r="D212" s="7" t="str">
        <f>ORÇAMENTO!D57</f>
        <v>CONTRAPISO ACÚSTICO EM ARGAMASSA TRAÇO 1:4 (CIMENTO E AREIA), PREPARO MANUAL, APLICADO EM ÁREAS SECAS, ACABAMENTO NÃO REFORÇADO, ESPESSURA 7 CM. AF_07/2021</v>
      </c>
      <c r="E212" s="140" t="s">
        <v>21</v>
      </c>
      <c r="F212" s="8"/>
      <c r="G212" s="53"/>
      <c r="H212" s="50"/>
      <c r="I212" s="53"/>
      <c r="J212" s="46"/>
      <c r="K212" s="136"/>
    </row>
    <row r="213" spans="1:11" ht="26.4" x14ac:dyDescent="0.25">
      <c r="A213" s="10"/>
      <c r="B213" s="24"/>
      <c r="C213" s="30"/>
      <c r="D213" s="36" t="s">
        <v>494</v>
      </c>
      <c r="E213" s="12"/>
      <c r="F213" s="11">
        <v>40</v>
      </c>
      <c r="G213" s="44"/>
      <c r="H213" s="44"/>
      <c r="I213" s="44"/>
      <c r="J213" s="52">
        <f>F213</f>
        <v>40</v>
      </c>
      <c r="K213" s="136"/>
    </row>
    <row r="214" spans="1:11" x14ac:dyDescent="0.25">
      <c r="A214" s="10"/>
      <c r="B214" s="64"/>
      <c r="C214" s="65"/>
      <c r="D214" s="124"/>
      <c r="E214" s="125"/>
      <c r="F214" s="126"/>
      <c r="G214" s="79"/>
      <c r="H214" s="79"/>
      <c r="I214" s="79"/>
      <c r="J214" s="127"/>
      <c r="K214" s="136"/>
    </row>
    <row r="215" spans="1:11" x14ac:dyDescent="0.25">
      <c r="A215" s="2" t="s">
        <v>1</v>
      </c>
      <c r="B215" s="21" t="s">
        <v>2</v>
      </c>
      <c r="C215" s="28" t="s">
        <v>3</v>
      </c>
      <c r="D215" s="2" t="s">
        <v>4</v>
      </c>
      <c r="E215" s="4" t="s">
        <v>5</v>
      </c>
      <c r="F215" s="3" t="s">
        <v>6</v>
      </c>
      <c r="G215" s="38" t="s">
        <v>61</v>
      </c>
      <c r="H215" s="39" t="s">
        <v>62</v>
      </c>
      <c r="I215" s="39" t="s">
        <v>63</v>
      </c>
      <c r="J215" s="69" t="s">
        <v>9</v>
      </c>
      <c r="K215" s="136"/>
    </row>
    <row r="216" spans="1:11" ht="28.5" customHeight="1" x14ac:dyDescent="0.25">
      <c r="A216" s="7" t="s">
        <v>877</v>
      </c>
      <c r="B216" s="54">
        <f>ORÇAMENTO!B58</f>
        <v>98681</v>
      </c>
      <c r="C216" s="29" t="s">
        <v>13</v>
      </c>
      <c r="D216" s="7" t="str">
        <f>ORÇAMENTO!D58</f>
        <v>PISO CIMENTADO, TRAÇO 1:3 (CIMENTO E AREIA), ACABAMENTO RÚSTICO, ESPESSURA 2,0 CM, PREPARO MECÂNICO DA ARGAMASSA. AF_09/2020</v>
      </c>
      <c r="E216" s="140" t="s">
        <v>21</v>
      </c>
      <c r="F216" s="8"/>
      <c r="G216" s="53"/>
      <c r="H216" s="50"/>
      <c r="I216" s="53"/>
      <c r="J216" s="46"/>
      <c r="K216" s="136"/>
    </row>
    <row r="217" spans="1:11" x14ac:dyDescent="0.25">
      <c r="A217" s="10"/>
      <c r="B217" s="24"/>
      <c r="C217" s="30"/>
      <c r="D217" s="36" t="s">
        <v>381</v>
      </c>
      <c r="E217" s="12"/>
      <c r="F217" s="11"/>
      <c r="G217" s="44"/>
      <c r="H217" s="44"/>
      <c r="I217" s="44"/>
      <c r="J217" s="52">
        <f>SUM(F218:F245)</f>
        <v>316.20000000000005</v>
      </c>
      <c r="K217" s="136"/>
    </row>
    <row r="218" spans="1:11" x14ac:dyDescent="0.25">
      <c r="A218" s="10"/>
      <c r="B218" s="64"/>
      <c r="C218" s="414">
        <v>1</v>
      </c>
      <c r="D218" s="415" t="s">
        <v>519</v>
      </c>
      <c r="E218" s="416"/>
      <c r="F218" s="416">
        <v>7.77</v>
      </c>
      <c r="G218" s="79"/>
      <c r="H218" s="79"/>
      <c r="I218" s="79"/>
      <c r="J218" s="127"/>
      <c r="K218" s="136"/>
    </row>
    <row r="219" spans="1:11" x14ac:dyDescent="0.25">
      <c r="A219" s="10"/>
      <c r="B219" s="64"/>
      <c r="C219" s="414">
        <v>2</v>
      </c>
      <c r="D219" s="415" t="s">
        <v>520</v>
      </c>
      <c r="E219" s="416"/>
      <c r="F219" s="416">
        <v>8.09</v>
      </c>
      <c r="G219" s="79"/>
      <c r="H219" s="79"/>
      <c r="I219" s="79"/>
      <c r="J219" s="127"/>
      <c r="K219" s="136"/>
    </row>
    <row r="220" spans="1:11" x14ac:dyDescent="0.25">
      <c r="A220" s="10"/>
      <c r="B220" s="64"/>
      <c r="C220" s="414">
        <v>3</v>
      </c>
      <c r="D220" s="415" t="s">
        <v>521</v>
      </c>
      <c r="E220" s="416"/>
      <c r="F220" s="416">
        <v>38.729999999999997</v>
      </c>
      <c r="G220" s="79"/>
      <c r="H220" s="79"/>
      <c r="I220" s="79"/>
      <c r="J220" s="127"/>
      <c r="K220" s="136"/>
    </row>
    <row r="221" spans="1:11" x14ac:dyDescent="0.25">
      <c r="A221" s="10"/>
      <c r="B221" s="64"/>
      <c r="C221" s="414">
        <v>4</v>
      </c>
      <c r="D221" s="415" t="s">
        <v>522</v>
      </c>
      <c r="E221" s="416"/>
      <c r="F221" s="416">
        <v>4.5</v>
      </c>
      <c r="G221" s="79"/>
      <c r="H221" s="79"/>
      <c r="I221" s="79"/>
      <c r="J221" s="127"/>
      <c r="K221" s="136"/>
    </row>
    <row r="222" spans="1:11" x14ac:dyDescent="0.25">
      <c r="A222" s="10"/>
      <c r="B222" s="64"/>
      <c r="C222" s="414">
        <v>5</v>
      </c>
      <c r="D222" s="415" t="s">
        <v>523</v>
      </c>
      <c r="E222" s="416"/>
      <c r="F222" s="416">
        <v>5.95</v>
      </c>
      <c r="G222" s="79"/>
      <c r="H222" s="79"/>
      <c r="I222" s="79"/>
      <c r="J222" s="127"/>
      <c r="K222" s="136"/>
    </row>
    <row r="223" spans="1:11" x14ac:dyDescent="0.25">
      <c r="A223" s="10"/>
      <c r="B223" s="64"/>
      <c r="C223" s="414">
        <v>6</v>
      </c>
      <c r="D223" s="415" t="s">
        <v>524</v>
      </c>
      <c r="E223" s="416"/>
      <c r="F223" s="416">
        <v>37.4</v>
      </c>
      <c r="G223" s="79"/>
      <c r="H223" s="79"/>
      <c r="I223" s="79"/>
      <c r="J223" s="127"/>
      <c r="K223" s="136"/>
    </row>
    <row r="224" spans="1:11" x14ac:dyDescent="0.25">
      <c r="A224" s="10"/>
      <c r="B224" s="64"/>
      <c r="C224" s="414">
        <v>7</v>
      </c>
      <c r="D224" s="415" t="s">
        <v>525</v>
      </c>
      <c r="E224" s="416"/>
      <c r="F224" s="416">
        <v>11.4</v>
      </c>
      <c r="G224" s="79"/>
      <c r="H224" s="79"/>
      <c r="I224" s="79"/>
      <c r="J224" s="127"/>
      <c r="K224" s="136"/>
    </row>
    <row r="225" spans="1:11" x14ac:dyDescent="0.25">
      <c r="A225" s="10"/>
      <c r="B225" s="64"/>
      <c r="C225" s="414">
        <v>8</v>
      </c>
      <c r="D225" s="415" t="s">
        <v>526</v>
      </c>
      <c r="E225" s="416"/>
      <c r="F225" s="416">
        <v>9.98</v>
      </c>
      <c r="G225" s="79"/>
      <c r="H225" s="79"/>
      <c r="I225" s="79"/>
      <c r="J225" s="127"/>
      <c r="K225" s="136"/>
    </row>
    <row r="226" spans="1:11" x14ac:dyDescent="0.25">
      <c r="A226" s="10"/>
      <c r="B226" s="64"/>
      <c r="C226" s="414">
        <v>9</v>
      </c>
      <c r="D226" s="415" t="s">
        <v>527</v>
      </c>
      <c r="E226" s="416"/>
      <c r="F226" s="416">
        <v>13.39</v>
      </c>
      <c r="G226" s="79"/>
      <c r="H226" s="79"/>
      <c r="I226" s="79"/>
      <c r="J226" s="127"/>
      <c r="K226" s="136"/>
    </row>
    <row r="227" spans="1:11" x14ac:dyDescent="0.25">
      <c r="A227" s="10"/>
      <c r="B227" s="64"/>
      <c r="C227" s="414">
        <v>10</v>
      </c>
      <c r="D227" s="415" t="s">
        <v>528</v>
      </c>
      <c r="E227" s="416"/>
      <c r="F227" s="416">
        <v>19.78</v>
      </c>
      <c r="G227" s="79"/>
      <c r="H227" s="79"/>
      <c r="I227" s="79"/>
      <c r="J227" s="127"/>
      <c r="K227" s="136"/>
    </row>
    <row r="228" spans="1:11" x14ac:dyDescent="0.25">
      <c r="A228" s="10"/>
      <c r="B228" s="64"/>
      <c r="C228" s="414">
        <v>11</v>
      </c>
      <c r="D228" s="415" t="s">
        <v>529</v>
      </c>
      <c r="E228" s="416"/>
      <c r="F228" s="416">
        <v>7.8</v>
      </c>
      <c r="G228" s="79"/>
      <c r="H228" s="79"/>
      <c r="I228" s="79"/>
      <c r="J228" s="127"/>
      <c r="K228" s="136"/>
    </row>
    <row r="229" spans="1:11" x14ac:dyDescent="0.25">
      <c r="A229" s="10"/>
      <c r="B229" s="64"/>
      <c r="C229" s="414">
        <v>12</v>
      </c>
      <c r="D229" s="415" t="s">
        <v>530</v>
      </c>
      <c r="E229" s="416"/>
      <c r="F229" s="416">
        <v>4.18</v>
      </c>
      <c r="G229" s="79"/>
      <c r="H229" s="79"/>
      <c r="I229" s="79"/>
      <c r="J229" s="127"/>
      <c r="K229" s="136"/>
    </row>
    <row r="230" spans="1:11" x14ac:dyDescent="0.25">
      <c r="A230" s="10"/>
      <c r="B230" s="64"/>
      <c r="C230" s="414">
        <v>13</v>
      </c>
      <c r="D230" s="415" t="s">
        <v>198</v>
      </c>
      <c r="E230" s="416"/>
      <c r="F230" s="416">
        <v>4</v>
      </c>
      <c r="G230" s="79"/>
      <c r="H230" s="79"/>
      <c r="I230" s="79"/>
      <c r="J230" s="127"/>
      <c r="K230" s="136"/>
    </row>
    <row r="231" spans="1:11" x14ac:dyDescent="0.25">
      <c r="A231" s="10"/>
      <c r="B231" s="64"/>
      <c r="C231" s="414">
        <v>14</v>
      </c>
      <c r="D231" s="415" t="s">
        <v>531</v>
      </c>
      <c r="E231" s="416"/>
      <c r="F231" s="416">
        <v>7.98</v>
      </c>
      <c r="G231" s="79"/>
      <c r="H231" s="79"/>
      <c r="I231" s="79"/>
      <c r="J231" s="127"/>
      <c r="K231" s="136"/>
    </row>
    <row r="232" spans="1:11" x14ac:dyDescent="0.25">
      <c r="A232" s="10"/>
      <c r="B232" s="64"/>
      <c r="C232" s="414">
        <v>15</v>
      </c>
      <c r="D232" s="415" t="s">
        <v>532</v>
      </c>
      <c r="E232" s="416"/>
      <c r="F232" s="416">
        <v>14.87</v>
      </c>
      <c r="G232" s="79"/>
      <c r="H232" s="79"/>
      <c r="I232" s="79"/>
      <c r="J232" s="127"/>
      <c r="K232" s="136"/>
    </row>
    <row r="233" spans="1:11" x14ac:dyDescent="0.25">
      <c r="A233" s="10"/>
      <c r="B233" s="64"/>
      <c r="C233" s="414">
        <v>16</v>
      </c>
      <c r="D233" s="415" t="s">
        <v>533</v>
      </c>
      <c r="E233" s="416"/>
      <c r="F233" s="416">
        <v>7.2</v>
      </c>
      <c r="G233" s="79"/>
      <c r="H233" s="79"/>
      <c r="I233" s="79"/>
      <c r="J233" s="127"/>
      <c r="K233" s="136"/>
    </row>
    <row r="234" spans="1:11" x14ac:dyDescent="0.25">
      <c r="A234" s="10"/>
      <c r="B234" s="64"/>
      <c r="C234" s="414">
        <v>17</v>
      </c>
      <c r="D234" s="415" t="s">
        <v>534</v>
      </c>
      <c r="E234" s="416"/>
      <c r="F234" s="416">
        <v>23.39</v>
      </c>
      <c r="G234" s="79"/>
      <c r="H234" s="79"/>
      <c r="I234" s="79"/>
      <c r="J234" s="127"/>
      <c r="K234" s="136"/>
    </row>
    <row r="235" spans="1:11" x14ac:dyDescent="0.25">
      <c r="A235" s="10"/>
      <c r="B235" s="64"/>
      <c r="C235" s="414">
        <v>18</v>
      </c>
      <c r="D235" s="415" t="s">
        <v>535</v>
      </c>
      <c r="E235" s="416"/>
      <c r="F235" s="416">
        <v>14.94</v>
      </c>
      <c r="G235" s="79"/>
      <c r="H235" s="79"/>
      <c r="I235" s="79"/>
      <c r="J235" s="127"/>
      <c r="K235" s="136"/>
    </row>
    <row r="236" spans="1:11" x14ac:dyDescent="0.25">
      <c r="A236" s="10"/>
      <c r="B236" s="64"/>
      <c r="C236" s="414">
        <v>19</v>
      </c>
      <c r="D236" s="415" t="s">
        <v>536</v>
      </c>
      <c r="E236" s="416"/>
      <c r="F236" s="416">
        <v>11.38</v>
      </c>
      <c r="G236" s="79"/>
      <c r="H236" s="79"/>
      <c r="I236" s="79"/>
      <c r="J236" s="127"/>
      <c r="K236" s="136"/>
    </row>
    <row r="237" spans="1:11" x14ac:dyDescent="0.25">
      <c r="A237" s="10"/>
      <c r="B237" s="64"/>
      <c r="C237" s="414">
        <v>20</v>
      </c>
      <c r="D237" s="415" t="s">
        <v>537</v>
      </c>
      <c r="E237" s="416"/>
      <c r="F237" s="416">
        <v>6.48</v>
      </c>
      <c r="G237" s="79"/>
      <c r="H237" s="79"/>
      <c r="I237" s="79"/>
      <c r="J237" s="127"/>
      <c r="K237" s="136"/>
    </row>
    <row r="238" spans="1:11" x14ac:dyDescent="0.25">
      <c r="A238" s="10"/>
      <c r="B238" s="64"/>
      <c r="C238" s="414">
        <v>21</v>
      </c>
      <c r="D238" s="415" t="s">
        <v>538</v>
      </c>
      <c r="E238" s="416"/>
      <c r="F238" s="416">
        <v>10.5</v>
      </c>
      <c r="G238" s="79"/>
      <c r="H238" s="79"/>
      <c r="I238" s="79"/>
      <c r="J238" s="127"/>
      <c r="K238" s="136"/>
    </row>
    <row r="239" spans="1:11" x14ac:dyDescent="0.25">
      <c r="A239" s="10"/>
      <c r="B239" s="64"/>
      <c r="C239" s="414">
        <v>22</v>
      </c>
      <c r="D239" s="415" t="s">
        <v>539</v>
      </c>
      <c r="E239" s="416"/>
      <c r="F239" s="416">
        <v>15.45</v>
      </c>
      <c r="G239" s="79"/>
      <c r="H239" s="79"/>
      <c r="I239" s="79"/>
      <c r="J239" s="127"/>
      <c r="K239" s="136"/>
    </row>
    <row r="240" spans="1:11" x14ac:dyDescent="0.25">
      <c r="A240" s="10"/>
      <c r="B240" s="64"/>
      <c r="C240" s="414">
        <v>23</v>
      </c>
      <c r="D240" s="415" t="s">
        <v>540</v>
      </c>
      <c r="E240" s="416"/>
      <c r="F240" s="416">
        <v>9.4499999999999993</v>
      </c>
      <c r="G240" s="79"/>
      <c r="H240" s="79"/>
      <c r="I240" s="79"/>
      <c r="J240" s="127"/>
      <c r="K240" s="136"/>
    </row>
    <row r="241" spans="1:11" x14ac:dyDescent="0.25">
      <c r="A241" s="10"/>
      <c r="B241" s="64"/>
      <c r="C241" s="414">
        <v>24</v>
      </c>
      <c r="D241" s="415" t="s">
        <v>541</v>
      </c>
      <c r="E241" s="416"/>
      <c r="F241" s="416">
        <v>2.5499999999999998</v>
      </c>
      <c r="G241" s="79"/>
      <c r="H241" s="79"/>
      <c r="I241" s="79"/>
      <c r="J241" s="127"/>
      <c r="K241" s="136"/>
    </row>
    <row r="242" spans="1:11" x14ac:dyDescent="0.25">
      <c r="A242" s="10"/>
      <c r="B242" s="64"/>
      <c r="C242" s="414">
        <v>25</v>
      </c>
      <c r="D242" s="415" t="s">
        <v>542</v>
      </c>
      <c r="E242" s="416"/>
      <c r="F242" s="416">
        <v>2.5499999999999998</v>
      </c>
      <c r="G242" s="79"/>
      <c r="H242" s="79"/>
      <c r="I242" s="79"/>
      <c r="J242" s="127"/>
      <c r="K242" s="136"/>
    </row>
    <row r="243" spans="1:11" x14ac:dyDescent="0.25">
      <c r="A243" s="10"/>
      <c r="B243" s="64"/>
      <c r="C243" s="414">
        <v>26</v>
      </c>
      <c r="D243" s="415" t="s">
        <v>543</v>
      </c>
      <c r="E243" s="416"/>
      <c r="F243" s="416">
        <v>3.3</v>
      </c>
      <c r="G243" s="79"/>
      <c r="H243" s="79"/>
      <c r="I243" s="79"/>
      <c r="J243" s="127"/>
      <c r="K243" s="136"/>
    </row>
    <row r="244" spans="1:11" x14ac:dyDescent="0.25">
      <c r="A244" s="10"/>
      <c r="B244" s="64"/>
      <c r="C244" s="414">
        <v>27</v>
      </c>
      <c r="D244" s="415" t="s">
        <v>544</v>
      </c>
      <c r="E244" s="416"/>
      <c r="F244" s="416">
        <v>3.04</v>
      </c>
      <c r="G244" s="79"/>
      <c r="H244" s="79"/>
      <c r="I244" s="79"/>
      <c r="J244" s="127"/>
      <c r="K244" s="136"/>
    </row>
    <row r="245" spans="1:11" x14ac:dyDescent="0.25">
      <c r="A245" s="10"/>
      <c r="B245" s="64"/>
      <c r="C245" s="416">
        <v>28</v>
      </c>
      <c r="D245" s="415" t="s">
        <v>545</v>
      </c>
      <c r="E245" s="416"/>
      <c r="F245" s="416">
        <v>10.15</v>
      </c>
      <c r="G245" s="79"/>
      <c r="H245" s="79"/>
      <c r="I245" s="79"/>
      <c r="J245" s="127"/>
      <c r="K245" s="136"/>
    </row>
    <row r="246" spans="1:11" x14ac:dyDescent="0.25">
      <c r="A246" s="10"/>
      <c r="B246" s="64"/>
      <c r="C246" s="65"/>
      <c r="D246" s="124"/>
      <c r="E246" s="125"/>
      <c r="F246" s="126"/>
      <c r="G246" s="79"/>
      <c r="H246" s="79"/>
      <c r="I246" s="79"/>
      <c r="J246" s="127"/>
      <c r="K246" s="136"/>
    </row>
    <row r="247" spans="1:11" x14ac:dyDescent="0.25">
      <c r="A247" s="10"/>
      <c r="B247" s="64"/>
      <c r="C247" s="65"/>
      <c r="D247" s="124"/>
      <c r="E247" s="125"/>
      <c r="F247" s="126"/>
      <c r="G247" s="79"/>
      <c r="H247" s="79"/>
      <c r="I247" s="79"/>
      <c r="J247" s="127"/>
      <c r="K247" s="136"/>
    </row>
    <row r="248" spans="1:11" x14ac:dyDescent="0.25">
      <c r="A248" s="2" t="s">
        <v>1</v>
      </c>
      <c r="B248" s="21" t="s">
        <v>2</v>
      </c>
      <c r="C248" s="28" t="s">
        <v>3</v>
      </c>
      <c r="D248" s="2" t="s">
        <v>4</v>
      </c>
      <c r="E248" s="4" t="s">
        <v>5</v>
      </c>
      <c r="F248" s="3" t="s">
        <v>6</v>
      </c>
      <c r="G248" s="38" t="s">
        <v>61</v>
      </c>
      <c r="H248" s="39" t="s">
        <v>62</v>
      </c>
      <c r="I248" s="39" t="s">
        <v>63</v>
      </c>
      <c r="J248" s="69" t="s">
        <v>9</v>
      </c>
      <c r="K248" s="136"/>
    </row>
    <row r="249" spans="1:11" ht="41.25" customHeight="1" x14ac:dyDescent="0.25">
      <c r="A249" s="7" t="s">
        <v>878</v>
      </c>
      <c r="B249" s="54">
        <f>ORÇAMENTO!B59</f>
        <v>94995</v>
      </c>
      <c r="C249" s="29" t="s">
        <v>13</v>
      </c>
      <c r="D249" s="7" t="str">
        <f>ORÇAMENTO!D59</f>
        <v>EXECUÇÃO DE PASSEIO (CALÇADA) OU PISO DE CONCRETO COM CONCRETO MOLDADO IN LOCO, USINADO, ACABAMENTO CONVENCIONAL, ESPESSURA 8 CM, ARMADO. AF_08/2022</v>
      </c>
      <c r="E249" s="140" t="s">
        <v>21</v>
      </c>
      <c r="F249" s="8"/>
      <c r="G249" s="53"/>
      <c r="H249" s="50"/>
      <c r="I249" s="53"/>
      <c r="J249" s="46"/>
      <c r="K249" s="136"/>
    </row>
    <row r="250" spans="1:11" x14ac:dyDescent="0.25">
      <c r="A250" s="10"/>
      <c r="B250" s="24"/>
      <c r="C250" s="30"/>
      <c r="D250" s="36" t="s">
        <v>381</v>
      </c>
      <c r="E250" s="12"/>
      <c r="F250" s="122">
        <v>204</v>
      </c>
      <c r="G250" s="44"/>
      <c r="H250" s="44"/>
      <c r="I250" s="44"/>
      <c r="J250" s="52">
        <f>F250</f>
        <v>204</v>
      </c>
      <c r="K250" s="136"/>
    </row>
    <row r="251" spans="1:11" x14ac:dyDescent="0.25">
      <c r="A251" s="10"/>
      <c r="B251" s="64"/>
      <c r="C251" s="65"/>
      <c r="D251" s="124"/>
      <c r="E251" s="125"/>
      <c r="F251" s="126"/>
      <c r="G251" s="79"/>
      <c r="H251" s="79"/>
      <c r="I251" s="79"/>
      <c r="J251" s="127"/>
      <c r="K251" s="136"/>
    </row>
    <row r="252" spans="1:11" x14ac:dyDescent="0.25">
      <c r="A252" s="2" t="s">
        <v>1</v>
      </c>
      <c r="B252" s="21" t="s">
        <v>2</v>
      </c>
      <c r="C252" s="28" t="s">
        <v>3</v>
      </c>
      <c r="D252" s="2" t="s">
        <v>4</v>
      </c>
      <c r="E252" s="4" t="s">
        <v>5</v>
      </c>
      <c r="F252" s="3" t="s">
        <v>6</v>
      </c>
      <c r="G252" s="38" t="s">
        <v>61</v>
      </c>
      <c r="H252" s="39" t="s">
        <v>62</v>
      </c>
      <c r="I252" s="39" t="s">
        <v>63</v>
      </c>
      <c r="J252" s="69" t="s">
        <v>9</v>
      </c>
      <c r="K252" s="136"/>
    </row>
    <row r="253" spans="1:11" ht="28.5" customHeight="1" x14ac:dyDescent="0.25">
      <c r="A253" s="7" t="s">
        <v>879</v>
      </c>
      <c r="B253" s="23">
        <f>ORÇAMENTO!B60</f>
        <v>92396</v>
      </c>
      <c r="C253" s="29" t="s">
        <v>13</v>
      </c>
      <c r="D253" s="7" t="str">
        <f>ORÇAMENTO!D60</f>
        <v>EXECUÇÃO DE PASSEIO EM PISO INTERTRAVADO, COM BLOCO RETANGULAR COR NATURAL DE 20 X 10 CM, ESPESSURA 6 CM. AF_10/2022</v>
      </c>
      <c r="E253" s="140" t="s">
        <v>21</v>
      </c>
      <c r="F253" s="8"/>
      <c r="G253" s="53"/>
      <c r="H253" s="50"/>
      <c r="I253" s="53"/>
      <c r="J253" s="46"/>
      <c r="K253" s="136"/>
    </row>
    <row r="254" spans="1:11" x14ac:dyDescent="0.25">
      <c r="A254" s="10"/>
      <c r="B254" s="24"/>
      <c r="C254" s="30"/>
      <c r="D254" s="36" t="s">
        <v>381</v>
      </c>
      <c r="E254" s="12"/>
      <c r="F254" s="122">
        <v>165</v>
      </c>
      <c r="G254" s="44"/>
      <c r="H254" s="44"/>
      <c r="I254" s="44"/>
      <c r="J254" s="52">
        <f>F254</f>
        <v>165</v>
      </c>
      <c r="K254" s="136"/>
    </row>
    <row r="255" spans="1:11" x14ac:dyDescent="0.25">
      <c r="A255" s="10"/>
      <c r="B255" s="64"/>
      <c r="C255" s="65"/>
      <c r="D255" s="124"/>
      <c r="E255" s="125"/>
      <c r="F255" s="126"/>
      <c r="G255" s="79"/>
      <c r="H255" s="79"/>
      <c r="I255" s="79"/>
      <c r="J255" s="127"/>
      <c r="K255" s="136"/>
    </row>
    <row r="256" spans="1:11" x14ac:dyDescent="0.25">
      <c r="A256" s="2" t="s">
        <v>1</v>
      </c>
      <c r="B256" s="21" t="s">
        <v>2</v>
      </c>
      <c r="C256" s="28" t="s">
        <v>3</v>
      </c>
      <c r="D256" s="2" t="s">
        <v>4</v>
      </c>
      <c r="E256" s="4" t="s">
        <v>5</v>
      </c>
      <c r="F256" s="3" t="s">
        <v>6</v>
      </c>
      <c r="G256" s="38" t="s">
        <v>61</v>
      </c>
      <c r="H256" s="39" t="s">
        <v>62</v>
      </c>
      <c r="I256" s="39" t="s">
        <v>63</v>
      </c>
      <c r="J256" s="69" t="s">
        <v>9</v>
      </c>
      <c r="K256" s="136"/>
    </row>
    <row r="257" spans="1:11" ht="54" customHeight="1" x14ac:dyDescent="0.25">
      <c r="A257" s="7" t="s">
        <v>880</v>
      </c>
      <c r="B257" s="54">
        <f>ORÇAMENTO!B61</f>
        <v>94273</v>
      </c>
      <c r="C257" s="29" t="s">
        <v>13</v>
      </c>
      <c r="D257" s="7" t="str">
        <f>ORÇAMENTO!D61</f>
        <v>ASSENTAMENTO DE GUIA (MEIO-FIO) EM TRECHO RETO, CONFECCIONADA EM CONCRETO PRÉ-FABRICADO, DIMENSÕES 100X15X13X30 CM (COMPRIMENTO X BASE INFERIOR X BASE SUPERIOR X ALTURA). AF_01/2024</v>
      </c>
      <c r="E257" s="140" t="s">
        <v>16</v>
      </c>
      <c r="F257" s="8"/>
      <c r="G257" s="53"/>
      <c r="H257" s="50"/>
      <c r="I257" s="53"/>
      <c r="J257" s="46"/>
      <c r="K257" s="136"/>
    </row>
    <row r="258" spans="1:11" x14ac:dyDescent="0.25">
      <c r="A258" s="10"/>
      <c r="B258" s="24"/>
      <c r="C258" s="30"/>
      <c r="D258" s="36" t="s">
        <v>381</v>
      </c>
      <c r="E258" s="12"/>
      <c r="F258" s="122">
        <v>62.1</v>
      </c>
      <c r="G258" s="44"/>
      <c r="H258" s="44"/>
      <c r="I258" s="44"/>
      <c r="J258" s="52">
        <f>F258</f>
        <v>62.1</v>
      </c>
      <c r="K258" s="136"/>
    </row>
    <row r="259" spans="1:11" x14ac:dyDescent="0.25">
      <c r="A259" s="10"/>
      <c r="B259" s="64"/>
      <c r="C259" s="65"/>
      <c r="D259" s="124"/>
      <c r="E259" s="125"/>
      <c r="F259" s="126"/>
      <c r="G259" s="79"/>
      <c r="H259" s="79"/>
      <c r="I259" s="79"/>
      <c r="J259" s="127"/>
      <c r="K259" s="136"/>
    </row>
    <row r="260" spans="1:11" x14ac:dyDescent="0.25">
      <c r="A260" s="2" t="s">
        <v>1</v>
      </c>
      <c r="B260" s="21" t="s">
        <v>2</v>
      </c>
      <c r="C260" s="28" t="s">
        <v>3</v>
      </c>
      <c r="D260" s="2" t="s">
        <v>4</v>
      </c>
      <c r="E260" s="4" t="s">
        <v>5</v>
      </c>
      <c r="F260" s="3" t="s">
        <v>6</v>
      </c>
      <c r="G260" s="38" t="s">
        <v>61</v>
      </c>
      <c r="H260" s="39" t="s">
        <v>62</v>
      </c>
      <c r="I260" s="39" t="s">
        <v>63</v>
      </c>
      <c r="J260" s="69" t="s">
        <v>9</v>
      </c>
      <c r="K260" s="136"/>
    </row>
    <row r="261" spans="1:11" ht="42.75" customHeight="1" x14ac:dyDescent="0.25">
      <c r="A261" s="7" t="s">
        <v>881</v>
      </c>
      <c r="B261" s="54">
        <v>87261</v>
      </c>
      <c r="C261" s="29" t="s">
        <v>13</v>
      </c>
      <c r="D261" s="7" t="s">
        <v>546</v>
      </c>
      <c r="E261" s="140" t="s">
        <v>21</v>
      </c>
      <c r="F261" s="8"/>
      <c r="G261" s="53"/>
      <c r="H261" s="50"/>
      <c r="I261" s="53"/>
      <c r="J261" s="46"/>
      <c r="K261" s="136"/>
    </row>
    <row r="262" spans="1:11" x14ac:dyDescent="0.25">
      <c r="A262" s="10"/>
      <c r="B262" s="24"/>
      <c r="C262" s="30"/>
      <c r="D262" s="36" t="s">
        <v>381</v>
      </c>
      <c r="G262" s="44"/>
      <c r="H262" s="44"/>
      <c r="I262" s="44"/>
      <c r="J262" s="52"/>
      <c r="K262" s="136"/>
    </row>
    <row r="263" spans="1:11" x14ac:dyDescent="0.25">
      <c r="A263" s="10"/>
      <c r="B263" s="148"/>
      <c r="C263" s="416">
        <v>4</v>
      </c>
      <c r="D263" s="417" t="s">
        <v>522</v>
      </c>
      <c r="E263" s="416"/>
      <c r="F263" s="418">
        <v>4.5</v>
      </c>
      <c r="G263" s="79"/>
      <c r="H263" s="79"/>
      <c r="I263" s="79"/>
      <c r="J263" s="127"/>
      <c r="K263" s="136"/>
    </row>
    <row r="264" spans="1:11" x14ac:dyDescent="0.25">
      <c r="A264" s="10"/>
      <c r="B264" s="148"/>
      <c r="C264" s="416">
        <v>12</v>
      </c>
      <c r="D264" s="417" t="s">
        <v>530</v>
      </c>
      <c r="E264" s="416"/>
      <c r="F264" s="418">
        <v>4.18</v>
      </c>
      <c r="G264" s="79"/>
      <c r="H264" s="79"/>
      <c r="I264" s="79"/>
      <c r="J264" s="127"/>
      <c r="K264" s="136"/>
    </row>
    <row r="265" spans="1:11" x14ac:dyDescent="0.25">
      <c r="A265" s="10"/>
      <c r="B265" s="148"/>
      <c r="C265" s="416">
        <v>13</v>
      </c>
      <c r="D265" s="417" t="s">
        <v>198</v>
      </c>
      <c r="E265" s="416"/>
      <c r="F265" s="418">
        <v>4</v>
      </c>
      <c r="G265" s="79"/>
      <c r="H265" s="79"/>
      <c r="I265" s="79"/>
      <c r="J265" s="127"/>
      <c r="K265" s="136"/>
    </row>
    <row r="266" spans="1:11" x14ac:dyDescent="0.25">
      <c r="A266" s="10"/>
      <c r="B266" s="148"/>
      <c r="C266" s="416">
        <v>24</v>
      </c>
      <c r="D266" s="417" t="s">
        <v>541</v>
      </c>
      <c r="E266" s="416"/>
      <c r="F266" s="418">
        <v>2.5499999999999998</v>
      </c>
      <c r="G266" s="79"/>
      <c r="H266" s="79"/>
      <c r="I266" s="79"/>
      <c r="J266" s="127"/>
      <c r="K266" s="136"/>
    </row>
    <row r="267" spans="1:11" x14ac:dyDescent="0.25">
      <c r="A267" s="10"/>
      <c r="B267" s="148"/>
      <c r="C267" s="416">
        <v>25</v>
      </c>
      <c r="D267" s="417" t="s">
        <v>542</v>
      </c>
      <c r="E267" s="416"/>
      <c r="F267" s="418">
        <v>2.5499999999999998</v>
      </c>
      <c r="G267" s="79"/>
      <c r="H267" s="79"/>
      <c r="I267" s="79"/>
      <c r="J267" s="127"/>
      <c r="K267" s="136"/>
    </row>
    <row r="268" spans="1:11" x14ac:dyDescent="0.25">
      <c r="A268" s="10"/>
      <c r="B268" s="148"/>
      <c r="C268" s="416">
        <v>26</v>
      </c>
      <c r="D268" s="417" t="s">
        <v>543</v>
      </c>
      <c r="E268" s="416"/>
      <c r="F268" s="418">
        <v>3.3</v>
      </c>
      <c r="G268" s="79"/>
      <c r="H268" s="79"/>
      <c r="I268" s="79"/>
      <c r="J268" s="127"/>
      <c r="K268" s="136"/>
    </row>
    <row r="269" spans="1:11" x14ac:dyDescent="0.25">
      <c r="A269" s="10"/>
      <c r="B269" s="148"/>
      <c r="C269" s="416">
        <v>27</v>
      </c>
      <c r="D269" s="417" t="s">
        <v>544</v>
      </c>
      <c r="E269" s="416"/>
      <c r="F269" s="418">
        <v>3.04</v>
      </c>
      <c r="G269" s="79"/>
      <c r="H269" s="79"/>
      <c r="I269" s="79"/>
      <c r="J269" s="127">
        <f>F263+F264+F265+F266+F267+F268+F269</f>
        <v>24.12</v>
      </c>
      <c r="K269" s="136"/>
    </row>
    <row r="270" spans="1:11" x14ac:dyDescent="0.25">
      <c r="A270" s="10"/>
      <c r="B270" s="148"/>
      <c r="C270" s="65"/>
      <c r="D270" s="124"/>
      <c r="E270" s="125"/>
      <c r="F270" s="126"/>
      <c r="G270" s="79"/>
      <c r="H270" s="79"/>
      <c r="I270" s="79"/>
      <c r="J270" s="127"/>
      <c r="K270" s="136"/>
    </row>
    <row r="271" spans="1:11" x14ac:dyDescent="0.25">
      <c r="A271" s="2" t="s">
        <v>1</v>
      </c>
      <c r="B271" s="21" t="s">
        <v>2</v>
      </c>
      <c r="C271" s="28" t="s">
        <v>3</v>
      </c>
      <c r="D271" s="2" t="s">
        <v>4</v>
      </c>
      <c r="E271" s="4" t="s">
        <v>5</v>
      </c>
      <c r="F271" s="3" t="s">
        <v>6</v>
      </c>
      <c r="G271" s="38" t="s">
        <v>61</v>
      </c>
      <c r="H271" s="39" t="s">
        <v>62</v>
      </c>
      <c r="I271" s="39" t="s">
        <v>63</v>
      </c>
      <c r="J271" s="69" t="s">
        <v>9</v>
      </c>
      <c r="K271" s="136"/>
    </row>
    <row r="272" spans="1:11" ht="41.25" customHeight="1" x14ac:dyDescent="0.25">
      <c r="A272" s="7" t="s">
        <v>882</v>
      </c>
      <c r="B272" s="54">
        <v>87262</v>
      </c>
      <c r="C272" s="29" t="s">
        <v>13</v>
      </c>
      <c r="D272" s="7" t="s">
        <v>547</v>
      </c>
      <c r="E272" s="140" t="s">
        <v>21</v>
      </c>
      <c r="F272" s="8"/>
      <c r="G272" s="53"/>
      <c r="H272" s="50"/>
      <c r="I272" s="53"/>
      <c r="J272" s="46"/>
      <c r="K272" s="136"/>
    </row>
    <row r="273" spans="1:11" x14ac:dyDescent="0.25">
      <c r="A273" s="10"/>
      <c r="B273" s="24"/>
      <c r="C273" s="30"/>
      <c r="D273" s="36" t="s">
        <v>381</v>
      </c>
      <c r="G273" s="44"/>
      <c r="H273" s="44"/>
      <c r="I273" s="44"/>
      <c r="J273" s="52"/>
      <c r="K273" s="136"/>
    </row>
    <row r="274" spans="1:11" x14ac:dyDescent="0.25">
      <c r="A274" s="10"/>
      <c r="B274" s="148"/>
      <c r="C274" s="416">
        <v>1</v>
      </c>
      <c r="D274" s="417" t="s">
        <v>519</v>
      </c>
      <c r="E274" s="416"/>
      <c r="F274" s="418">
        <v>7.77</v>
      </c>
      <c r="G274" s="79"/>
      <c r="H274" s="79"/>
      <c r="I274" s="79"/>
      <c r="J274" s="127"/>
      <c r="K274" s="136"/>
    </row>
    <row r="275" spans="1:11" x14ac:dyDescent="0.25">
      <c r="A275" s="10"/>
      <c r="B275" s="148"/>
      <c r="C275" s="416">
        <v>2</v>
      </c>
      <c r="D275" s="417" t="s">
        <v>520</v>
      </c>
      <c r="E275" s="416"/>
      <c r="F275" s="418">
        <v>8.09</v>
      </c>
      <c r="G275" s="79"/>
      <c r="H275" s="79"/>
      <c r="I275" s="79"/>
      <c r="J275" s="127"/>
      <c r="K275" s="136"/>
    </row>
    <row r="276" spans="1:11" x14ac:dyDescent="0.25">
      <c r="A276" s="10"/>
      <c r="B276" s="148"/>
      <c r="C276" s="416">
        <v>5</v>
      </c>
      <c r="D276" s="417" t="s">
        <v>523</v>
      </c>
      <c r="E276" s="416"/>
      <c r="F276" s="418">
        <v>5.95</v>
      </c>
      <c r="G276" s="79"/>
      <c r="H276" s="79"/>
      <c r="I276" s="79"/>
      <c r="J276" s="127"/>
      <c r="K276" s="136"/>
    </row>
    <row r="277" spans="1:11" x14ac:dyDescent="0.25">
      <c r="A277" s="10"/>
      <c r="B277" s="64"/>
      <c r="C277" s="416">
        <v>8</v>
      </c>
      <c r="D277" s="417" t="s">
        <v>526</v>
      </c>
      <c r="E277" s="416"/>
      <c r="F277" s="418">
        <v>9.98</v>
      </c>
      <c r="G277" s="79"/>
      <c r="H277" s="79"/>
      <c r="I277" s="79"/>
      <c r="J277" s="127"/>
      <c r="K277" s="136"/>
    </row>
    <row r="278" spans="1:11" x14ac:dyDescent="0.25">
      <c r="A278" s="10"/>
      <c r="B278" s="64"/>
      <c r="C278" s="416">
        <v>11</v>
      </c>
      <c r="D278" s="417" t="s">
        <v>529</v>
      </c>
      <c r="E278" s="416"/>
      <c r="F278" s="418">
        <v>7.8</v>
      </c>
      <c r="G278" s="79"/>
      <c r="H278" s="79"/>
      <c r="I278" s="79"/>
      <c r="J278" s="127"/>
      <c r="K278" s="136"/>
    </row>
    <row r="279" spans="1:11" x14ac:dyDescent="0.25">
      <c r="A279" s="10"/>
      <c r="B279" s="64"/>
      <c r="C279" s="416">
        <v>14</v>
      </c>
      <c r="D279" s="417" t="s">
        <v>531</v>
      </c>
      <c r="E279" s="416"/>
      <c r="F279" s="418">
        <v>7.98</v>
      </c>
      <c r="G279" s="79"/>
      <c r="H279" s="79"/>
      <c r="I279" s="79"/>
      <c r="J279" s="127"/>
      <c r="K279" s="136"/>
    </row>
    <row r="280" spans="1:11" x14ac:dyDescent="0.25">
      <c r="A280" s="10"/>
      <c r="B280" s="64"/>
      <c r="C280" s="416">
        <v>16</v>
      </c>
      <c r="D280" s="417" t="s">
        <v>533</v>
      </c>
      <c r="E280" s="416"/>
      <c r="F280" s="418">
        <v>7.2</v>
      </c>
      <c r="G280" s="79"/>
      <c r="H280" s="79"/>
      <c r="I280" s="79"/>
      <c r="J280" s="127"/>
      <c r="K280" s="136"/>
    </row>
    <row r="281" spans="1:11" x14ac:dyDescent="0.25">
      <c r="A281" s="10"/>
      <c r="B281" s="64"/>
      <c r="C281" s="416">
        <v>20</v>
      </c>
      <c r="D281" s="417" t="s">
        <v>537</v>
      </c>
      <c r="E281" s="416"/>
      <c r="F281" s="418">
        <v>6.48</v>
      </c>
      <c r="G281" s="79"/>
      <c r="H281" s="79"/>
      <c r="I281" s="79"/>
      <c r="J281" s="127"/>
      <c r="K281" s="136"/>
    </row>
    <row r="282" spans="1:11" x14ac:dyDescent="0.25">
      <c r="A282" s="10"/>
      <c r="B282" s="64"/>
      <c r="C282" s="416">
        <v>23</v>
      </c>
      <c r="D282" s="417" t="s">
        <v>540</v>
      </c>
      <c r="E282" s="416"/>
      <c r="F282" s="418">
        <v>9.4499999999999993</v>
      </c>
      <c r="G282" s="79"/>
      <c r="H282" s="79"/>
      <c r="I282" s="79"/>
      <c r="J282" s="127"/>
      <c r="K282" s="136"/>
    </row>
    <row r="283" spans="1:11" x14ac:dyDescent="0.25">
      <c r="A283" s="10"/>
      <c r="B283" s="64"/>
      <c r="C283" s="65"/>
      <c r="D283" s="124"/>
      <c r="E283" s="125"/>
      <c r="F283" s="126"/>
      <c r="G283" s="79"/>
      <c r="H283" s="79"/>
      <c r="I283" s="79"/>
      <c r="J283" s="127">
        <f>F274+F275+F276+F277+F278+F279+F280+F281+F282</f>
        <v>70.7</v>
      </c>
      <c r="K283" s="136"/>
    </row>
    <row r="284" spans="1:11" x14ac:dyDescent="0.25">
      <c r="A284" s="10"/>
      <c r="B284" s="64"/>
      <c r="C284" s="65"/>
      <c r="D284" s="124"/>
      <c r="E284" s="125"/>
      <c r="F284" s="126"/>
      <c r="G284" s="79"/>
      <c r="H284" s="79"/>
      <c r="I284" s="79"/>
      <c r="J284" s="127"/>
      <c r="K284" s="136"/>
    </row>
    <row r="285" spans="1:11" x14ac:dyDescent="0.25">
      <c r="A285" s="2" t="s">
        <v>1</v>
      </c>
      <c r="B285" s="21" t="s">
        <v>2</v>
      </c>
      <c r="C285" s="28" t="s">
        <v>3</v>
      </c>
      <c r="D285" s="2" t="s">
        <v>4</v>
      </c>
      <c r="E285" s="4" t="s">
        <v>5</v>
      </c>
      <c r="F285" s="3" t="s">
        <v>6</v>
      </c>
      <c r="G285" s="38" t="s">
        <v>61</v>
      </c>
      <c r="H285" s="39" t="s">
        <v>62</v>
      </c>
      <c r="I285" s="39" t="s">
        <v>63</v>
      </c>
      <c r="J285" s="69" t="s">
        <v>9</v>
      </c>
      <c r="K285" s="136"/>
    </row>
    <row r="286" spans="1:11" ht="44.25" customHeight="1" x14ac:dyDescent="0.25">
      <c r="A286" s="7" t="s">
        <v>883</v>
      </c>
      <c r="B286" s="54">
        <v>87263</v>
      </c>
      <c r="C286" s="29" t="s">
        <v>13</v>
      </c>
      <c r="D286" s="7" t="s">
        <v>548</v>
      </c>
      <c r="E286" s="140" t="s">
        <v>21</v>
      </c>
      <c r="F286" s="8"/>
      <c r="G286" s="53"/>
      <c r="H286" s="50"/>
      <c r="I286" s="53"/>
      <c r="J286" s="46"/>
      <c r="K286" s="136"/>
    </row>
    <row r="287" spans="1:11" x14ac:dyDescent="0.25">
      <c r="A287" s="10"/>
      <c r="B287" s="64"/>
      <c r="C287" s="65"/>
      <c r="D287" s="36" t="s">
        <v>381</v>
      </c>
      <c r="G287" s="79"/>
      <c r="H287" s="79"/>
      <c r="I287" s="79"/>
      <c r="J287" s="127"/>
      <c r="K287" s="136"/>
    </row>
    <row r="288" spans="1:11" x14ac:dyDescent="0.25">
      <c r="A288" s="10"/>
      <c r="B288" s="64"/>
      <c r="C288" s="416">
        <v>6</v>
      </c>
      <c r="D288" s="417" t="s">
        <v>524</v>
      </c>
      <c r="E288" s="416"/>
      <c r="F288" s="418">
        <v>37.4</v>
      </c>
      <c r="G288" s="79"/>
      <c r="H288" s="79"/>
      <c r="I288" s="79"/>
      <c r="J288" s="127"/>
      <c r="K288" s="136"/>
    </row>
    <row r="289" spans="1:11" x14ac:dyDescent="0.25">
      <c r="A289" s="10"/>
      <c r="B289" s="64"/>
      <c r="C289" s="416">
        <v>7</v>
      </c>
      <c r="D289" s="417" t="s">
        <v>525</v>
      </c>
      <c r="E289" s="416"/>
      <c r="F289" s="418">
        <v>11.4</v>
      </c>
      <c r="G289" s="79"/>
      <c r="H289" s="79"/>
      <c r="I289" s="79"/>
      <c r="J289" s="127"/>
      <c r="K289" s="136"/>
    </row>
    <row r="290" spans="1:11" x14ac:dyDescent="0.25">
      <c r="A290" s="10"/>
      <c r="B290" s="64"/>
      <c r="C290" s="416">
        <v>9</v>
      </c>
      <c r="D290" s="417" t="s">
        <v>527</v>
      </c>
      <c r="E290" s="416"/>
      <c r="F290" s="418">
        <v>13.39</v>
      </c>
      <c r="G290" s="79"/>
      <c r="H290" s="79"/>
      <c r="I290" s="79"/>
      <c r="J290" s="127"/>
      <c r="K290" s="136"/>
    </row>
    <row r="291" spans="1:11" x14ac:dyDescent="0.25">
      <c r="A291" s="10"/>
      <c r="B291" s="64"/>
      <c r="C291" s="416">
        <v>10</v>
      </c>
      <c r="D291" s="417" t="s">
        <v>528</v>
      </c>
      <c r="E291" s="416"/>
      <c r="F291" s="418">
        <v>19.78</v>
      </c>
      <c r="G291" s="79"/>
      <c r="H291" s="79"/>
      <c r="I291" s="79"/>
      <c r="J291" s="127"/>
      <c r="K291" s="136"/>
    </row>
    <row r="292" spans="1:11" x14ac:dyDescent="0.25">
      <c r="A292" s="10"/>
      <c r="B292" s="64"/>
      <c r="C292" s="416">
        <v>15</v>
      </c>
      <c r="D292" s="417" t="s">
        <v>532</v>
      </c>
      <c r="E292" s="416"/>
      <c r="F292" s="418">
        <v>14.87</v>
      </c>
      <c r="G292" s="79"/>
      <c r="H292" s="79"/>
      <c r="I292" s="79"/>
      <c r="J292" s="127"/>
      <c r="K292" s="136"/>
    </row>
    <row r="293" spans="1:11" x14ac:dyDescent="0.25">
      <c r="A293" s="10"/>
      <c r="B293" s="64"/>
      <c r="C293" s="416">
        <v>17</v>
      </c>
      <c r="D293" s="417" t="s">
        <v>534</v>
      </c>
      <c r="E293" s="416"/>
      <c r="F293" s="418">
        <v>23.39</v>
      </c>
      <c r="G293" s="79"/>
      <c r="H293" s="79"/>
      <c r="I293" s="79"/>
      <c r="J293" s="127"/>
      <c r="K293" s="136"/>
    </row>
    <row r="294" spans="1:11" x14ac:dyDescent="0.25">
      <c r="A294" s="10"/>
      <c r="B294" s="64"/>
      <c r="C294" s="416">
        <v>18</v>
      </c>
      <c r="D294" s="417" t="s">
        <v>535</v>
      </c>
      <c r="E294" s="416"/>
      <c r="F294" s="418">
        <v>14.94</v>
      </c>
      <c r="G294" s="79"/>
      <c r="H294" s="79"/>
      <c r="I294" s="79"/>
      <c r="J294" s="127"/>
      <c r="K294" s="136"/>
    </row>
    <row r="295" spans="1:11" x14ac:dyDescent="0.25">
      <c r="A295" s="10"/>
      <c r="B295" s="64"/>
      <c r="C295" s="416">
        <v>19</v>
      </c>
      <c r="D295" s="417" t="s">
        <v>536</v>
      </c>
      <c r="E295" s="416"/>
      <c r="F295" s="418">
        <v>11.38</v>
      </c>
      <c r="G295" s="79"/>
      <c r="H295" s="79"/>
      <c r="I295" s="79"/>
      <c r="J295" s="127"/>
      <c r="K295" s="136"/>
    </row>
    <row r="296" spans="1:11" x14ac:dyDescent="0.25">
      <c r="A296" s="10"/>
      <c r="B296" s="64"/>
      <c r="C296" s="416">
        <v>21</v>
      </c>
      <c r="D296" s="417" t="s">
        <v>538</v>
      </c>
      <c r="E296" s="416"/>
      <c r="F296" s="418">
        <v>10.5</v>
      </c>
      <c r="G296" s="79"/>
      <c r="H296" s="79"/>
      <c r="I296" s="79"/>
      <c r="J296" s="127"/>
      <c r="K296" s="136"/>
    </row>
    <row r="297" spans="1:11" x14ac:dyDescent="0.25">
      <c r="A297" s="10"/>
      <c r="B297" s="64"/>
      <c r="C297" s="416">
        <v>22</v>
      </c>
      <c r="D297" s="417" t="s">
        <v>539</v>
      </c>
      <c r="E297" s="416"/>
      <c r="F297" s="418">
        <v>15.45</v>
      </c>
      <c r="G297" s="79"/>
      <c r="H297" s="79"/>
      <c r="I297" s="79"/>
      <c r="J297" s="127"/>
      <c r="K297" s="136"/>
    </row>
    <row r="298" spans="1:11" x14ac:dyDescent="0.25">
      <c r="A298" s="10"/>
      <c r="B298" s="64"/>
      <c r="C298" s="416">
        <v>28</v>
      </c>
      <c r="D298" s="417" t="s">
        <v>545</v>
      </c>
      <c r="E298" s="416"/>
      <c r="F298" s="418">
        <v>10.15</v>
      </c>
      <c r="G298" s="79"/>
      <c r="H298" s="79"/>
      <c r="I298" s="79"/>
      <c r="J298" s="127"/>
      <c r="K298" s="136"/>
    </row>
    <row r="299" spans="1:11" x14ac:dyDescent="0.25">
      <c r="A299" s="10"/>
      <c r="B299" s="64"/>
      <c r="C299" s="65"/>
      <c r="D299" s="124"/>
      <c r="E299" s="125"/>
      <c r="F299" s="126"/>
      <c r="G299" s="79"/>
      <c r="H299" s="79"/>
      <c r="I299" s="79"/>
      <c r="J299" s="127">
        <f>F288+F289+F290+F291+F292+F293+F294+F295+F296+F297+F298</f>
        <v>182.65</v>
      </c>
      <c r="K299" s="136"/>
    </row>
    <row r="300" spans="1:11" x14ac:dyDescent="0.25">
      <c r="A300" s="10"/>
      <c r="B300" s="64"/>
      <c r="C300" s="65"/>
      <c r="D300" s="124"/>
      <c r="E300" s="125"/>
      <c r="F300" s="126"/>
      <c r="G300" s="79"/>
      <c r="H300" s="79"/>
      <c r="I300" s="79"/>
      <c r="J300" s="127"/>
      <c r="K300" s="136"/>
    </row>
    <row r="301" spans="1:11" x14ac:dyDescent="0.25">
      <c r="A301" s="2" t="s">
        <v>1</v>
      </c>
      <c r="B301" s="21" t="s">
        <v>2</v>
      </c>
      <c r="C301" s="28" t="s">
        <v>3</v>
      </c>
      <c r="D301" s="2" t="s">
        <v>4</v>
      </c>
      <c r="E301" s="4" t="s">
        <v>5</v>
      </c>
      <c r="F301" s="3" t="s">
        <v>6</v>
      </c>
      <c r="G301" s="38" t="s">
        <v>61</v>
      </c>
      <c r="H301" s="39" t="s">
        <v>62</v>
      </c>
      <c r="I301" s="39" t="s">
        <v>63</v>
      </c>
      <c r="J301" s="69" t="s">
        <v>9</v>
      </c>
      <c r="K301" s="136"/>
    </row>
    <row r="302" spans="1:11" ht="22.5" customHeight="1" x14ac:dyDescent="0.25">
      <c r="A302" s="7" t="s">
        <v>884</v>
      </c>
      <c r="B302" s="54">
        <f>ORÇAMENTO!B65</f>
        <v>98689</v>
      </c>
      <c r="C302" s="29" t="s">
        <v>13</v>
      </c>
      <c r="D302" s="7" t="str">
        <f>ORÇAMENTO!D65</f>
        <v>SOLEIRA EM GRANITO, LARGURA 15 CM, ESPESSURA 2,0 CM. AF_09/2020</v>
      </c>
      <c r="E302" s="140" t="s">
        <v>16</v>
      </c>
      <c r="F302" s="8"/>
      <c r="G302" s="53"/>
      <c r="H302" s="50"/>
      <c r="I302" s="53"/>
      <c r="J302" s="46"/>
      <c r="K302" s="136"/>
    </row>
    <row r="303" spans="1:11" x14ac:dyDescent="0.25">
      <c r="A303" s="10"/>
      <c r="B303" s="24"/>
      <c r="C303" s="30"/>
      <c r="D303" s="36" t="s">
        <v>381</v>
      </c>
      <c r="E303" s="12"/>
      <c r="F303" s="122">
        <v>28</v>
      </c>
      <c r="G303" s="44"/>
      <c r="H303" s="44"/>
      <c r="I303" s="44"/>
      <c r="J303" s="52">
        <f>F303</f>
        <v>28</v>
      </c>
      <c r="K303" s="136"/>
    </row>
    <row r="304" spans="1:11" x14ac:dyDescent="0.25">
      <c r="A304" s="10"/>
      <c r="B304" s="148"/>
      <c r="C304" s="65"/>
      <c r="D304" s="124"/>
      <c r="E304" s="125"/>
      <c r="F304" s="146"/>
      <c r="G304" s="79"/>
      <c r="H304" s="79"/>
      <c r="I304" s="79"/>
      <c r="J304" s="127"/>
      <c r="K304" s="136"/>
    </row>
    <row r="305" spans="1:11" x14ac:dyDescent="0.25">
      <c r="A305" s="2" t="s">
        <v>1</v>
      </c>
      <c r="B305" s="21" t="s">
        <v>2</v>
      </c>
      <c r="C305" s="28" t="s">
        <v>3</v>
      </c>
      <c r="D305" s="2" t="s">
        <v>4</v>
      </c>
      <c r="E305" s="4" t="s">
        <v>5</v>
      </c>
      <c r="F305" s="3" t="s">
        <v>6</v>
      </c>
      <c r="G305" s="38" t="s">
        <v>61</v>
      </c>
      <c r="H305" s="39" t="s">
        <v>62</v>
      </c>
      <c r="I305" s="39" t="s">
        <v>63</v>
      </c>
      <c r="J305" s="69" t="s">
        <v>9</v>
      </c>
      <c r="K305" s="136"/>
    </row>
    <row r="306" spans="1:11" ht="30.75" customHeight="1" x14ac:dyDescent="0.25">
      <c r="A306" s="7" t="s">
        <v>885</v>
      </c>
      <c r="B306" s="54">
        <f>ORÇAMENTO!B66</f>
        <v>101094</v>
      </c>
      <c r="C306" s="29" t="s">
        <v>13</v>
      </c>
      <c r="D306" s="7" t="str">
        <f>ORÇAMENTO!D66</f>
        <v xml:space="preserve">PISO PODOTÁTIL DE ALERTA OU DIRECIONAL, DE BORRACHA, ASSENTADO SOBRE ARGAMASSA. AF_05/2020 </v>
      </c>
      <c r="E306" s="140" t="s">
        <v>16</v>
      </c>
      <c r="F306" s="8"/>
      <c r="G306" s="53"/>
      <c r="H306" s="50"/>
      <c r="I306" s="53"/>
      <c r="J306" s="46"/>
      <c r="K306" s="136"/>
    </row>
    <row r="307" spans="1:11" x14ac:dyDescent="0.25">
      <c r="A307" s="10"/>
      <c r="B307" s="24"/>
      <c r="C307" s="30"/>
      <c r="D307" s="36" t="s">
        <v>381</v>
      </c>
      <c r="E307" s="12"/>
      <c r="F307" s="122"/>
      <c r="G307" s="44"/>
      <c r="H307" s="44"/>
      <c r="I307" s="44"/>
      <c r="J307" s="52"/>
      <c r="K307" s="136"/>
    </row>
    <row r="308" spans="1:11" x14ac:dyDescent="0.25">
      <c r="A308" s="10"/>
      <c r="B308" s="148"/>
      <c r="C308" s="65"/>
      <c r="D308" s="76" t="s">
        <v>191</v>
      </c>
      <c r="E308" s="125"/>
      <c r="F308" s="146">
        <v>2</v>
      </c>
      <c r="G308" s="79"/>
      <c r="H308" s="79"/>
      <c r="I308" s="79"/>
      <c r="J308" s="127"/>
      <c r="K308" s="136"/>
    </row>
    <row r="309" spans="1:11" x14ac:dyDescent="0.25">
      <c r="A309" s="10"/>
      <c r="B309" s="148"/>
      <c r="C309" s="65"/>
      <c r="D309" s="76" t="s">
        <v>192</v>
      </c>
      <c r="E309" s="125"/>
      <c r="F309" s="146">
        <v>18</v>
      </c>
      <c r="G309" s="79"/>
      <c r="H309" s="79"/>
      <c r="I309" s="79"/>
      <c r="J309" s="127"/>
      <c r="K309" s="136"/>
    </row>
    <row r="310" spans="1:11" x14ac:dyDescent="0.25">
      <c r="A310" s="10"/>
      <c r="B310" s="148"/>
      <c r="C310" s="65"/>
      <c r="D310" s="124"/>
      <c r="E310" s="125"/>
      <c r="F310" s="146"/>
      <c r="G310" s="79"/>
      <c r="H310" s="79"/>
      <c r="I310" s="79"/>
      <c r="J310" s="127">
        <f>F308+F309</f>
        <v>20</v>
      </c>
      <c r="K310" s="136"/>
    </row>
    <row r="311" spans="1:11" x14ac:dyDescent="0.25">
      <c r="A311" s="10"/>
      <c r="B311" s="148"/>
      <c r="C311" s="65"/>
      <c r="D311" s="124"/>
      <c r="E311" s="125"/>
      <c r="F311" s="146"/>
      <c r="G311" s="79"/>
      <c r="H311" s="79"/>
      <c r="I311" s="79"/>
      <c r="J311" s="127"/>
      <c r="K311" s="136"/>
    </row>
    <row r="312" spans="1:11" x14ac:dyDescent="0.25">
      <c r="A312" s="2" t="s">
        <v>1</v>
      </c>
      <c r="B312" s="21" t="s">
        <v>2</v>
      </c>
      <c r="C312" s="28" t="s">
        <v>3</v>
      </c>
      <c r="D312" s="2" t="s">
        <v>4</v>
      </c>
      <c r="E312" s="4" t="s">
        <v>5</v>
      </c>
      <c r="F312" s="3" t="s">
        <v>6</v>
      </c>
      <c r="G312" s="38" t="s">
        <v>61</v>
      </c>
      <c r="H312" s="39" t="s">
        <v>62</v>
      </c>
      <c r="I312" s="39" t="s">
        <v>63</v>
      </c>
      <c r="J312" s="69" t="s">
        <v>9</v>
      </c>
      <c r="K312" s="136"/>
    </row>
    <row r="313" spans="1:11" ht="30" customHeight="1" x14ac:dyDescent="0.25">
      <c r="A313" s="7" t="s">
        <v>886</v>
      </c>
      <c r="B313" s="54">
        <f>ORÇAMENTO!B67</f>
        <v>103946</v>
      </c>
      <c r="C313" s="29" t="s">
        <v>13</v>
      </c>
      <c r="D313" s="7" t="str">
        <f>ORÇAMENTO!D67</f>
        <v>PLANTIO DE GRAMA ESMERALDA OU SÃO CARLOS OU CURITIBANA, EM PLACAS. AF_07/2024</v>
      </c>
      <c r="E313" s="140" t="s">
        <v>21</v>
      </c>
      <c r="F313" s="8"/>
      <c r="G313" s="53"/>
      <c r="H313" s="50"/>
      <c r="I313" s="53"/>
      <c r="J313" s="46"/>
      <c r="K313" s="136"/>
    </row>
    <row r="314" spans="1:11" x14ac:dyDescent="0.25">
      <c r="A314" s="10"/>
      <c r="B314" s="24"/>
      <c r="C314" s="30"/>
      <c r="D314" s="36" t="s">
        <v>381</v>
      </c>
      <c r="E314" s="12"/>
      <c r="F314" s="122">
        <v>210</v>
      </c>
      <c r="G314" s="44"/>
      <c r="H314" s="44"/>
      <c r="I314" s="44"/>
      <c r="J314" s="52">
        <f>F314</f>
        <v>210</v>
      </c>
      <c r="K314" s="136"/>
    </row>
    <row r="315" spans="1:11" x14ac:dyDescent="0.25">
      <c r="A315" s="10"/>
      <c r="B315" s="148"/>
      <c r="C315" s="65"/>
      <c r="D315" s="124"/>
      <c r="E315" s="125"/>
      <c r="F315" s="146"/>
      <c r="G315" s="79"/>
      <c r="H315" s="79"/>
      <c r="I315" s="79"/>
      <c r="J315" s="127"/>
      <c r="K315" s="136"/>
    </row>
    <row r="316" spans="1:11" x14ac:dyDescent="0.25">
      <c r="A316" s="55" t="s">
        <v>362</v>
      </c>
      <c r="B316" s="56"/>
      <c r="C316" s="56"/>
      <c r="D316" s="55" t="s">
        <v>107</v>
      </c>
      <c r="E316" s="55"/>
      <c r="F316" s="57"/>
      <c r="G316" s="58"/>
      <c r="H316" s="59"/>
      <c r="I316" s="60"/>
      <c r="J316" s="62"/>
      <c r="K316" s="136"/>
    </row>
    <row r="317" spans="1:11" x14ac:dyDescent="0.25">
      <c r="A317" s="2" t="s">
        <v>1</v>
      </c>
      <c r="B317" s="21" t="s">
        <v>2</v>
      </c>
      <c r="C317" s="28" t="s">
        <v>3</v>
      </c>
      <c r="D317" s="2" t="s">
        <v>4</v>
      </c>
      <c r="E317" s="4" t="s">
        <v>5</v>
      </c>
      <c r="F317" s="3" t="s">
        <v>6</v>
      </c>
      <c r="G317" s="38" t="s">
        <v>61</v>
      </c>
      <c r="H317" s="39" t="s">
        <v>62</v>
      </c>
      <c r="I317" s="39" t="s">
        <v>63</v>
      </c>
      <c r="J317" s="69" t="s">
        <v>9</v>
      </c>
      <c r="K317" s="136"/>
    </row>
    <row r="318" spans="1:11" ht="42.75" customHeight="1" x14ac:dyDescent="0.25">
      <c r="A318" s="7" t="s">
        <v>887</v>
      </c>
      <c r="B318" s="54">
        <f>ORÇAMENTO!B69</f>
        <v>87894</v>
      </c>
      <c r="C318" s="29" t="s">
        <v>13</v>
      </c>
      <c r="D318" s="7" t="str">
        <f>ORÇAMENTO!D69</f>
        <v>CHAPISCO APLICADO EM ALVENARIA (SEM PRESENÇA DE VÃOS) E ESTRUTURAS DE CONCRETO DE FACHADA, COM COLHER DE PEDREIRO. ARGAMASSA TRAÇO 1:3 COM PREPARO EM BETONEIRA 400L. AF_10/2022</v>
      </c>
      <c r="E318" s="140" t="s">
        <v>21</v>
      </c>
      <c r="F318" s="8"/>
      <c r="G318" s="53"/>
      <c r="H318" s="50"/>
      <c r="I318" s="53"/>
      <c r="J318" s="46"/>
      <c r="K318" s="136"/>
    </row>
    <row r="319" spans="1:11" x14ac:dyDescent="0.25">
      <c r="A319" s="10"/>
      <c r="B319" s="24"/>
      <c r="C319" s="30"/>
      <c r="D319" s="36" t="s">
        <v>381</v>
      </c>
      <c r="E319" s="12"/>
      <c r="F319" s="11"/>
      <c r="G319" s="44"/>
      <c r="H319" s="44"/>
      <c r="I319" s="44"/>
      <c r="J319" s="52"/>
      <c r="K319" s="136"/>
    </row>
    <row r="320" spans="1:11" x14ac:dyDescent="0.25">
      <c r="A320" s="10"/>
      <c r="B320" s="148"/>
      <c r="C320" s="65"/>
      <c r="D320" s="76" t="s">
        <v>549</v>
      </c>
      <c r="E320" s="65" t="s">
        <v>555</v>
      </c>
      <c r="F320" s="126">
        <v>19.3</v>
      </c>
      <c r="G320" s="79"/>
      <c r="H320" s="79"/>
      <c r="I320" s="79">
        <v>2.2000000000000002</v>
      </c>
      <c r="J320" s="127">
        <f>F320*I320</f>
        <v>42.460000000000008</v>
      </c>
      <c r="K320" s="136"/>
    </row>
    <row r="321" spans="1:11" x14ac:dyDescent="0.25">
      <c r="A321" s="10"/>
      <c r="B321" s="148"/>
      <c r="C321" s="65"/>
      <c r="D321" s="76" t="s">
        <v>550</v>
      </c>
      <c r="E321" s="65" t="s">
        <v>555</v>
      </c>
      <c r="F321" s="126">
        <v>27.82</v>
      </c>
      <c r="G321" s="79"/>
      <c r="H321" s="79"/>
      <c r="I321" s="79">
        <v>2.2000000000000002</v>
      </c>
      <c r="J321" s="127">
        <f>F321*I321</f>
        <v>61.204000000000008</v>
      </c>
      <c r="K321" s="136"/>
    </row>
    <row r="322" spans="1:11" x14ac:dyDescent="0.25">
      <c r="A322" s="10"/>
      <c r="B322" s="148"/>
      <c r="C322" s="65"/>
      <c r="D322" s="76" t="s">
        <v>552</v>
      </c>
      <c r="E322" s="65" t="s">
        <v>554</v>
      </c>
      <c r="F322" s="146">
        <f>J114</f>
        <v>59.64</v>
      </c>
      <c r="G322" s="78" t="s">
        <v>551</v>
      </c>
      <c r="H322" s="79">
        <v>2</v>
      </c>
      <c r="I322" s="78"/>
      <c r="J322" s="127">
        <f>H322*F322</f>
        <v>119.28</v>
      </c>
      <c r="K322" s="136"/>
    </row>
    <row r="323" spans="1:11" x14ac:dyDescent="0.25">
      <c r="A323" s="10"/>
      <c r="B323" s="148"/>
      <c r="C323" s="65"/>
      <c r="D323" s="124" t="s">
        <v>553</v>
      </c>
      <c r="E323" s="65" t="s">
        <v>554</v>
      </c>
      <c r="F323" s="126">
        <v>40</v>
      </c>
      <c r="G323" s="79"/>
      <c r="H323" s="79"/>
      <c r="I323" s="79"/>
      <c r="J323" s="67">
        <v>40</v>
      </c>
      <c r="K323" s="136"/>
    </row>
    <row r="324" spans="1:11" x14ac:dyDescent="0.25">
      <c r="A324" s="10"/>
      <c r="B324" s="64"/>
      <c r="C324" s="65"/>
      <c r="D324" s="76"/>
      <c r="E324" s="125"/>
      <c r="F324" s="126"/>
      <c r="G324" s="79"/>
      <c r="H324" s="79"/>
      <c r="I324" s="79"/>
      <c r="K324" s="136"/>
    </row>
    <row r="325" spans="1:11" x14ac:dyDescent="0.25">
      <c r="A325" s="10"/>
      <c r="B325" s="64"/>
      <c r="C325" s="65"/>
      <c r="D325" s="76"/>
      <c r="E325" s="125"/>
      <c r="F325" s="126"/>
      <c r="G325" s="79"/>
      <c r="H325" s="79"/>
      <c r="I325" s="79"/>
      <c r="J325" s="127">
        <f>J320+J321+J322+J323</f>
        <v>262.94400000000002</v>
      </c>
      <c r="K325" s="136"/>
    </row>
    <row r="326" spans="1:11" x14ac:dyDescent="0.25">
      <c r="A326" s="10"/>
      <c r="B326" s="64"/>
      <c r="C326" s="65"/>
      <c r="D326" s="76"/>
      <c r="E326" s="125"/>
      <c r="F326" s="126"/>
      <c r="G326" s="79"/>
      <c r="H326" s="79"/>
      <c r="I326" s="79"/>
      <c r="J326" s="127"/>
      <c r="K326" s="136"/>
    </row>
    <row r="327" spans="1:11" x14ac:dyDescent="0.25">
      <c r="A327" s="2" t="s">
        <v>1</v>
      </c>
      <c r="B327" s="21" t="s">
        <v>2</v>
      </c>
      <c r="C327" s="28" t="s">
        <v>3</v>
      </c>
      <c r="D327" s="2" t="s">
        <v>4</v>
      </c>
      <c r="E327" s="4" t="s">
        <v>5</v>
      </c>
      <c r="F327" s="3" t="s">
        <v>6</v>
      </c>
      <c r="G327" s="38" t="s">
        <v>61</v>
      </c>
      <c r="H327" s="39" t="s">
        <v>62</v>
      </c>
      <c r="I327" s="39" t="s">
        <v>63</v>
      </c>
      <c r="J327" s="69" t="s">
        <v>9</v>
      </c>
      <c r="K327" s="136"/>
    </row>
    <row r="328" spans="1:11" ht="39.6" x14ac:dyDescent="0.25">
      <c r="A328" s="7" t="s">
        <v>888</v>
      </c>
      <c r="B328" s="54">
        <f>ORÇAMENTO!B70</f>
        <v>87794</v>
      </c>
      <c r="C328" s="29" t="s">
        <v>13</v>
      </c>
      <c r="D328" s="7" t="str">
        <f>ORÇAMENTO!D70</f>
        <v>EMBOÇO OU MASSA ÚNICA EM ARGAMASSA TRAÇO 1:2:8, PREPARO MANUAL, APLICADA MANUALMENTE EM PANOS CEGOS DE FACHADA (SEM PRESENÇA DE VÃOS), ESPESSURA DE 25 MM. AF_09/2022</v>
      </c>
      <c r="E328" s="140" t="s">
        <v>21</v>
      </c>
      <c r="F328" s="8"/>
      <c r="G328" s="53"/>
      <c r="H328" s="50"/>
      <c r="I328" s="53"/>
      <c r="J328" s="46"/>
      <c r="K328" s="136"/>
    </row>
    <row r="329" spans="1:11" x14ac:dyDescent="0.25">
      <c r="A329" s="10"/>
      <c r="B329" s="24"/>
      <c r="C329" s="30"/>
      <c r="D329" s="36" t="s">
        <v>381</v>
      </c>
      <c r="E329" s="12"/>
      <c r="F329" s="36"/>
      <c r="G329" s="44"/>
      <c r="H329" s="44"/>
      <c r="I329" s="44"/>
      <c r="K329" s="136"/>
    </row>
    <row r="330" spans="1:11" x14ac:dyDescent="0.25">
      <c r="A330" s="10"/>
      <c r="B330" s="148"/>
      <c r="C330" s="65"/>
      <c r="D330" s="76" t="s">
        <v>549</v>
      </c>
      <c r="E330" s="65" t="s">
        <v>555</v>
      </c>
      <c r="F330" s="126">
        <v>19.3</v>
      </c>
      <c r="G330" s="79"/>
      <c r="H330" s="79"/>
      <c r="I330" s="79">
        <v>2.2000000000000002</v>
      </c>
      <c r="J330" s="127">
        <f>I330*F330</f>
        <v>42.460000000000008</v>
      </c>
      <c r="K330" s="136"/>
    </row>
    <row r="331" spans="1:11" x14ac:dyDescent="0.25">
      <c r="A331" s="10"/>
      <c r="B331" s="148"/>
      <c r="C331" s="65"/>
      <c r="D331" s="76" t="s">
        <v>550</v>
      </c>
      <c r="E331" s="65" t="s">
        <v>555</v>
      </c>
      <c r="F331" s="126">
        <v>27.82</v>
      </c>
      <c r="G331" s="79"/>
      <c r="H331" s="79"/>
      <c r="I331" s="79">
        <v>2.2000000000000002</v>
      </c>
      <c r="J331" s="127">
        <f>I331*F331</f>
        <v>61.204000000000008</v>
      </c>
      <c r="K331" s="136"/>
    </row>
    <row r="332" spans="1:11" x14ac:dyDescent="0.25">
      <c r="A332" s="10"/>
      <c r="B332" s="148"/>
      <c r="C332" s="65"/>
      <c r="D332" s="76" t="s">
        <v>552</v>
      </c>
      <c r="E332" s="65" t="s">
        <v>554</v>
      </c>
      <c r="F332" s="146">
        <f>F322</f>
        <v>59.64</v>
      </c>
      <c r="G332" s="78" t="s">
        <v>551</v>
      </c>
      <c r="H332" s="79">
        <v>2</v>
      </c>
      <c r="I332" s="78"/>
      <c r="J332" s="127">
        <f>F332*H332</f>
        <v>119.28</v>
      </c>
      <c r="K332" s="136"/>
    </row>
    <row r="333" spans="1:11" x14ac:dyDescent="0.25">
      <c r="A333" s="10"/>
      <c r="B333" s="64"/>
      <c r="C333" s="65"/>
      <c r="D333" s="124" t="s">
        <v>553</v>
      </c>
      <c r="E333" s="65" t="s">
        <v>554</v>
      </c>
      <c r="F333" s="126">
        <v>40</v>
      </c>
      <c r="G333" s="79"/>
      <c r="H333" s="79"/>
      <c r="I333" s="79"/>
      <c r="J333" s="127">
        <v>40</v>
      </c>
      <c r="K333" s="136"/>
    </row>
    <row r="334" spans="1:11" x14ac:dyDescent="0.25">
      <c r="A334" s="10"/>
      <c r="B334" s="64"/>
      <c r="C334" s="65"/>
      <c r="D334" s="124"/>
      <c r="E334" s="125"/>
      <c r="F334" s="126"/>
      <c r="G334" s="79"/>
      <c r="H334" s="79"/>
      <c r="I334" s="79"/>
      <c r="J334" s="127"/>
      <c r="K334" s="136"/>
    </row>
    <row r="335" spans="1:11" x14ac:dyDescent="0.25">
      <c r="A335" s="10"/>
      <c r="B335" s="64"/>
      <c r="C335" s="65"/>
      <c r="D335" s="124"/>
      <c r="E335" s="125"/>
      <c r="F335" s="126"/>
      <c r="G335" s="79"/>
      <c r="H335" s="79"/>
      <c r="I335" s="79"/>
      <c r="J335" s="52">
        <f>J330+J331+J332+J333</f>
        <v>262.94400000000002</v>
      </c>
      <c r="K335" s="136"/>
    </row>
    <row r="336" spans="1:11" x14ac:dyDescent="0.25">
      <c r="A336" s="10"/>
      <c r="B336" s="64"/>
      <c r="C336" s="65"/>
      <c r="D336" s="124"/>
      <c r="E336" s="125"/>
      <c r="F336" s="126"/>
      <c r="G336" s="79"/>
      <c r="H336" s="79"/>
      <c r="I336" s="79"/>
      <c r="J336" s="52"/>
      <c r="K336" s="136"/>
    </row>
    <row r="337" spans="1:11" x14ac:dyDescent="0.25">
      <c r="A337" s="2" t="s">
        <v>1</v>
      </c>
      <c r="B337" s="21" t="s">
        <v>2</v>
      </c>
      <c r="C337" s="28" t="s">
        <v>3</v>
      </c>
      <c r="D337" s="2" t="s">
        <v>4</v>
      </c>
      <c r="E337" s="4" t="s">
        <v>5</v>
      </c>
      <c r="F337" s="3" t="s">
        <v>6</v>
      </c>
      <c r="G337" s="38" t="s">
        <v>61</v>
      </c>
      <c r="H337" s="39" t="s">
        <v>62</v>
      </c>
      <c r="I337" s="39" t="s">
        <v>63</v>
      </c>
      <c r="J337" s="69" t="s">
        <v>9</v>
      </c>
      <c r="K337" s="136"/>
    </row>
    <row r="338" spans="1:11" ht="43.5" customHeight="1" x14ac:dyDescent="0.25">
      <c r="A338" s="7" t="s">
        <v>889</v>
      </c>
      <c r="B338" s="54" t="str">
        <f>ORÇAMENTO!B71</f>
        <v>C3002</v>
      </c>
      <c r="C338" s="29" t="s">
        <v>15</v>
      </c>
      <c r="D338" s="7" t="str">
        <f>ORÇAMENTO!D71</f>
        <v>PORCELANATO RETIFICADO POLIDO C/ ARG. PRÉ-FABRICADA - P/ PISO</v>
      </c>
      <c r="E338" s="140" t="s">
        <v>21</v>
      </c>
      <c r="F338" s="8"/>
      <c r="G338" s="53"/>
      <c r="H338" s="50"/>
      <c r="I338" s="53"/>
      <c r="J338" s="46"/>
      <c r="K338" s="136"/>
    </row>
    <row r="339" spans="1:11" x14ac:dyDescent="0.25">
      <c r="A339" s="10"/>
      <c r="B339" s="148"/>
      <c r="C339" s="65"/>
      <c r="D339" s="36" t="s">
        <v>381</v>
      </c>
      <c r="G339" s="79"/>
      <c r="H339" s="79"/>
      <c r="I339" s="79"/>
      <c r="J339" s="127"/>
      <c r="K339" s="136"/>
    </row>
    <row r="340" spans="1:11" x14ac:dyDescent="0.25">
      <c r="A340" s="10"/>
      <c r="B340" s="148"/>
      <c r="C340" s="65"/>
      <c r="D340" s="76" t="s">
        <v>197</v>
      </c>
      <c r="E340" s="125"/>
      <c r="F340" s="146">
        <v>27.9</v>
      </c>
      <c r="G340" s="79"/>
      <c r="H340" s="79"/>
      <c r="I340" s="79"/>
      <c r="J340" s="127"/>
      <c r="K340" s="136"/>
    </row>
    <row r="341" spans="1:11" x14ac:dyDescent="0.25">
      <c r="A341" s="10"/>
      <c r="B341" s="148"/>
      <c r="C341" s="65"/>
      <c r="D341" s="76" t="s">
        <v>156</v>
      </c>
      <c r="E341" s="125"/>
      <c r="F341" s="146">
        <v>27.8</v>
      </c>
      <c r="G341" s="79"/>
      <c r="H341" s="79"/>
      <c r="I341" s="79"/>
      <c r="J341" s="127"/>
      <c r="K341" s="136"/>
    </row>
    <row r="342" spans="1:11" x14ac:dyDescent="0.25">
      <c r="A342" s="10"/>
      <c r="B342" s="148"/>
      <c r="C342" s="65"/>
      <c r="D342" s="76" t="s">
        <v>157</v>
      </c>
      <c r="E342" s="125"/>
      <c r="F342" s="126">
        <v>30.05</v>
      </c>
      <c r="G342" s="79"/>
      <c r="H342" s="79"/>
      <c r="I342" s="79"/>
      <c r="J342" s="127"/>
      <c r="K342" s="136"/>
    </row>
    <row r="343" spans="1:11" ht="26.4" x14ac:dyDescent="0.25">
      <c r="A343" s="10"/>
      <c r="B343" s="148"/>
      <c r="C343" s="65" t="s">
        <v>557</v>
      </c>
      <c r="D343" s="76" t="s">
        <v>198</v>
      </c>
      <c r="E343" s="125"/>
      <c r="F343" s="126">
        <v>19.73</v>
      </c>
      <c r="G343" s="79"/>
      <c r="H343" s="79"/>
      <c r="I343" s="79"/>
      <c r="J343" s="127"/>
      <c r="K343" s="136"/>
    </row>
    <row r="344" spans="1:11" x14ac:dyDescent="0.25">
      <c r="A344" s="10"/>
      <c r="B344" s="148"/>
      <c r="C344" s="65"/>
      <c r="D344" s="76" t="s">
        <v>151</v>
      </c>
      <c r="E344" s="125"/>
      <c r="F344" s="126">
        <v>15.05</v>
      </c>
      <c r="G344" s="79"/>
      <c r="H344" s="79"/>
      <c r="I344" s="79"/>
      <c r="J344" s="127"/>
      <c r="K344" s="136"/>
    </row>
    <row r="345" spans="1:11" x14ac:dyDescent="0.25">
      <c r="A345" s="10"/>
      <c r="B345" s="148"/>
      <c r="C345" s="65"/>
      <c r="D345" s="76" t="s">
        <v>152</v>
      </c>
      <c r="E345" s="125"/>
      <c r="F345" s="126">
        <v>15.05</v>
      </c>
      <c r="G345" s="79"/>
      <c r="H345" s="79"/>
      <c r="I345" s="79"/>
      <c r="J345" s="127"/>
      <c r="K345" s="136"/>
    </row>
    <row r="346" spans="1:11" x14ac:dyDescent="0.25">
      <c r="A346" s="10"/>
      <c r="B346" s="148"/>
      <c r="C346" s="65"/>
      <c r="D346" s="76" t="s">
        <v>199</v>
      </c>
      <c r="E346" s="125"/>
      <c r="F346" s="126">
        <v>22.52</v>
      </c>
      <c r="G346" s="79"/>
      <c r="H346" s="79"/>
      <c r="I346" s="79"/>
      <c r="J346" s="127"/>
      <c r="K346" s="136"/>
    </row>
    <row r="347" spans="1:11" x14ac:dyDescent="0.25">
      <c r="A347" s="10"/>
      <c r="B347" s="148"/>
      <c r="C347" s="65"/>
      <c r="D347" s="76" t="s">
        <v>200</v>
      </c>
      <c r="E347" s="125"/>
      <c r="F347" s="126">
        <v>22.44</v>
      </c>
      <c r="G347" s="79"/>
      <c r="H347" s="79"/>
      <c r="I347" s="79"/>
      <c r="J347" s="127"/>
      <c r="K347" s="136"/>
    </row>
    <row r="348" spans="1:11" x14ac:dyDescent="0.25">
      <c r="A348" s="10"/>
      <c r="B348" s="148"/>
      <c r="C348" s="65"/>
      <c r="D348" s="76" t="s">
        <v>153</v>
      </c>
      <c r="E348" s="125"/>
      <c r="F348" s="126">
        <v>15.95</v>
      </c>
      <c r="G348" s="79"/>
      <c r="H348" s="79"/>
      <c r="I348" s="79"/>
      <c r="J348" s="127"/>
      <c r="K348" s="136"/>
    </row>
    <row r="349" spans="1:11" x14ac:dyDescent="0.25">
      <c r="A349" s="10"/>
      <c r="B349" s="148"/>
      <c r="C349" s="65"/>
      <c r="D349" s="76" t="s">
        <v>201</v>
      </c>
      <c r="E349" s="125"/>
      <c r="F349" s="126">
        <v>16.920000000000002</v>
      </c>
      <c r="G349" s="79"/>
      <c r="H349" s="79"/>
      <c r="I349" s="79"/>
      <c r="J349" s="127"/>
      <c r="K349" s="136"/>
    </row>
    <row r="350" spans="1:11" x14ac:dyDescent="0.25">
      <c r="A350" s="10"/>
      <c r="B350" s="148"/>
      <c r="C350" s="65"/>
      <c r="D350" s="124"/>
      <c r="E350" s="125"/>
      <c r="F350" s="126"/>
      <c r="G350" s="79"/>
      <c r="H350" s="79"/>
      <c r="I350" s="79"/>
      <c r="J350" s="127">
        <f>SUM(F340:F349)</f>
        <v>213.41000000000003</v>
      </c>
      <c r="K350" s="136"/>
    </row>
    <row r="351" spans="1:11" x14ac:dyDescent="0.25">
      <c r="A351" s="10"/>
      <c r="B351" s="148"/>
      <c r="C351" s="65"/>
      <c r="D351" s="124"/>
      <c r="E351" s="125"/>
      <c r="F351" s="126"/>
      <c r="G351" s="79"/>
      <c r="H351" s="79"/>
      <c r="I351" s="79"/>
      <c r="J351" s="127"/>
      <c r="K351" s="136"/>
    </row>
    <row r="352" spans="1:11" x14ac:dyDescent="0.25">
      <c r="A352" s="10"/>
      <c r="B352" s="148"/>
      <c r="C352" s="65"/>
      <c r="D352" s="36" t="s">
        <v>381</v>
      </c>
      <c r="G352" s="79"/>
      <c r="H352" s="79"/>
      <c r="I352" s="79"/>
      <c r="J352" s="127"/>
      <c r="K352" s="136"/>
    </row>
    <row r="353" spans="1:11" x14ac:dyDescent="0.25">
      <c r="A353" s="10"/>
      <c r="B353" s="148"/>
      <c r="C353" s="65"/>
      <c r="D353" s="76" t="s">
        <v>162</v>
      </c>
      <c r="E353" s="125"/>
      <c r="F353" s="126">
        <v>11.91</v>
      </c>
      <c r="G353" s="79"/>
      <c r="H353" s="79"/>
      <c r="I353" s="79"/>
      <c r="J353" s="127"/>
      <c r="K353" s="136"/>
    </row>
    <row r="354" spans="1:11" x14ac:dyDescent="0.25">
      <c r="A354" s="10"/>
      <c r="B354" s="148"/>
      <c r="C354" s="65"/>
      <c r="D354" s="76" t="s">
        <v>202</v>
      </c>
      <c r="E354" s="125"/>
      <c r="F354" s="126">
        <v>15.17</v>
      </c>
      <c r="G354" s="79"/>
      <c r="H354" s="79"/>
      <c r="I354" s="79"/>
      <c r="J354" s="127"/>
      <c r="K354" s="136"/>
    </row>
    <row r="355" spans="1:11" x14ac:dyDescent="0.25">
      <c r="A355" s="10"/>
      <c r="B355" s="148"/>
      <c r="C355" s="65"/>
      <c r="D355" s="76" t="s">
        <v>154</v>
      </c>
      <c r="E355" s="125"/>
      <c r="F355" s="146">
        <v>11.7</v>
      </c>
      <c r="G355" s="79"/>
      <c r="H355" s="79"/>
      <c r="I355" s="79"/>
      <c r="J355" s="127"/>
      <c r="K355" s="136"/>
    </row>
    <row r="356" spans="1:11" x14ac:dyDescent="0.25">
      <c r="A356" s="10"/>
      <c r="B356" s="148"/>
      <c r="C356" s="65"/>
      <c r="D356" s="76" t="s">
        <v>203</v>
      </c>
      <c r="E356" s="125"/>
      <c r="F356" s="126">
        <v>19.350000000000001</v>
      </c>
      <c r="G356" s="79"/>
      <c r="H356" s="79"/>
      <c r="I356" s="79"/>
      <c r="J356" s="127"/>
      <c r="K356" s="136"/>
    </row>
    <row r="357" spans="1:11" x14ac:dyDescent="0.25">
      <c r="A357" s="10"/>
      <c r="B357" s="148"/>
      <c r="C357" s="65"/>
      <c r="D357" s="76" t="s">
        <v>204</v>
      </c>
      <c r="E357" s="125"/>
      <c r="F357" s="126">
        <v>13.06</v>
      </c>
      <c r="G357" s="79"/>
      <c r="H357" s="79"/>
      <c r="I357" s="79"/>
      <c r="J357" s="127"/>
      <c r="K357" s="136"/>
    </row>
    <row r="358" spans="1:11" x14ac:dyDescent="0.25">
      <c r="A358" s="10"/>
      <c r="B358" s="148"/>
      <c r="C358" s="65"/>
      <c r="D358" s="76" t="s">
        <v>205</v>
      </c>
      <c r="E358" s="125"/>
      <c r="F358" s="126">
        <v>15.04</v>
      </c>
      <c r="G358" s="79"/>
      <c r="H358" s="79"/>
      <c r="I358" s="79"/>
      <c r="J358" s="127"/>
      <c r="K358" s="136"/>
    </row>
    <row r="359" spans="1:11" ht="26.4" x14ac:dyDescent="0.25">
      <c r="A359" s="10"/>
      <c r="B359" s="148"/>
      <c r="C359" s="65" t="s">
        <v>556</v>
      </c>
      <c r="D359" s="76" t="s">
        <v>158</v>
      </c>
      <c r="E359" s="125"/>
      <c r="F359" s="146">
        <v>20.2</v>
      </c>
      <c r="G359" s="79"/>
      <c r="H359" s="79"/>
      <c r="I359" s="79"/>
      <c r="J359" s="127"/>
      <c r="K359" s="136"/>
    </row>
    <row r="360" spans="1:11" x14ac:dyDescent="0.25">
      <c r="A360" s="10"/>
      <c r="B360" s="148"/>
      <c r="C360" s="65"/>
      <c r="D360" s="76" t="s">
        <v>159</v>
      </c>
      <c r="E360" s="125"/>
      <c r="F360" s="126">
        <v>19.940000000000001</v>
      </c>
      <c r="G360" s="79"/>
      <c r="H360" s="79"/>
      <c r="I360" s="79"/>
      <c r="J360" s="127"/>
      <c r="K360" s="136"/>
    </row>
    <row r="361" spans="1:11" x14ac:dyDescent="0.25">
      <c r="A361" s="10"/>
      <c r="B361" s="148"/>
      <c r="C361" s="65"/>
      <c r="D361" s="76" t="s">
        <v>160</v>
      </c>
      <c r="E361" s="125"/>
      <c r="F361" s="126">
        <v>14.39</v>
      </c>
      <c r="G361" s="79"/>
      <c r="H361" s="79"/>
      <c r="I361" s="79"/>
      <c r="J361" s="127"/>
      <c r="K361" s="136"/>
    </row>
    <row r="362" spans="1:11" x14ac:dyDescent="0.25">
      <c r="A362" s="10"/>
      <c r="B362" s="148"/>
      <c r="C362" s="65"/>
      <c r="D362" s="76" t="s">
        <v>206</v>
      </c>
      <c r="E362" s="125"/>
      <c r="F362" s="146">
        <v>16.5</v>
      </c>
      <c r="G362" s="79"/>
      <c r="H362" s="79"/>
      <c r="I362" s="79"/>
      <c r="J362" s="127"/>
      <c r="K362" s="136"/>
    </row>
    <row r="363" spans="1:11" x14ac:dyDescent="0.25">
      <c r="A363" s="10"/>
      <c r="B363" s="148"/>
      <c r="C363" s="65"/>
      <c r="D363" s="76" t="s">
        <v>161</v>
      </c>
      <c r="E363" s="125"/>
      <c r="F363" s="126">
        <v>19.34</v>
      </c>
      <c r="G363" s="79"/>
      <c r="H363" s="79"/>
      <c r="I363" s="79"/>
      <c r="J363" s="127"/>
      <c r="K363" s="136"/>
    </row>
    <row r="364" spans="1:11" x14ac:dyDescent="0.25">
      <c r="A364" s="10"/>
      <c r="B364" s="148"/>
      <c r="C364" s="65"/>
      <c r="D364" s="76" t="s">
        <v>163</v>
      </c>
      <c r="E364" s="125"/>
      <c r="F364" s="126">
        <v>14.26</v>
      </c>
      <c r="G364" s="79"/>
      <c r="H364" s="79"/>
      <c r="I364" s="79"/>
      <c r="J364" s="127"/>
      <c r="K364" s="136"/>
    </row>
    <row r="365" spans="1:11" x14ac:dyDescent="0.25">
      <c r="A365" s="10"/>
      <c r="B365" s="148"/>
      <c r="C365" s="65"/>
      <c r="D365" s="76" t="s">
        <v>155</v>
      </c>
      <c r="E365" s="125"/>
      <c r="F365" s="126">
        <v>12.87</v>
      </c>
      <c r="G365" s="79"/>
      <c r="H365" s="79"/>
      <c r="I365" s="79"/>
      <c r="J365" s="127"/>
      <c r="K365" s="136"/>
    </row>
    <row r="366" spans="1:11" x14ac:dyDescent="0.25">
      <c r="A366" s="10"/>
      <c r="B366" s="148"/>
      <c r="C366" s="65"/>
      <c r="D366" s="76" t="s">
        <v>207</v>
      </c>
      <c r="E366" s="125"/>
      <c r="F366" s="126">
        <v>22.82</v>
      </c>
      <c r="G366" s="79"/>
      <c r="H366" s="79"/>
      <c r="I366" s="79"/>
      <c r="J366" s="127"/>
      <c r="K366" s="136"/>
    </row>
    <row r="367" spans="1:11" x14ac:dyDescent="0.25">
      <c r="A367" s="10"/>
      <c r="B367" s="148"/>
      <c r="C367" s="65"/>
      <c r="D367" s="124"/>
      <c r="E367" s="125"/>
      <c r="F367" s="126"/>
      <c r="G367" s="79"/>
      <c r="H367" s="79"/>
      <c r="I367" s="79"/>
      <c r="J367" s="127">
        <f>SUM(F353:F366)</f>
        <v>226.54999999999998</v>
      </c>
      <c r="K367" s="136"/>
    </row>
    <row r="368" spans="1:11" x14ac:dyDescent="0.25">
      <c r="A368" s="10"/>
      <c r="B368" s="64"/>
      <c r="C368" s="65"/>
      <c r="D368" s="124"/>
      <c r="E368" s="125"/>
      <c r="F368" s="126"/>
      <c r="G368" s="79"/>
      <c r="H368" s="79"/>
      <c r="I368" s="78" t="s">
        <v>38</v>
      </c>
      <c r="J368" s="127">
        <f>J350+J367</f>
        <v>439.96000000000004</v>
      </c>
      <c r="K368" s="136"/>
    </row>
    <row r="369" spans="1:11" x14ac:dyDescent="0.25">
      <c r="A369" s="10"/>
      <c r="B369" s="64"/>
      <c r="C369" s="65"/>
      <c r="D369" s="124"/>
      <c r="E369" s="125"/>
      <c r="F369" s="126"/>
      <c r="G369" s="79"/>
      <c r="H369" s="78"/>
      <c r="I369" s="79"/>
      <c r="J369" s="127"/>
      <c r="K369" s="136"/>
    </row>
    <row r="370" spans="1:11" x14ac:dyDescent="0.25">
      <c r="A370" s="2" t="s">
        <v>1</v>
      </c>
      <c r="B370" s="21" t="s">
        <v>2</v>
      </c>
      <c r="C370" s="28" t="s">
        <v>3</v>
      </c>
      <c r="D370" s="2" t="s">
        <v>4</v>
      </c>
      <c r="E370" s="4" t="s">
        <v>5</v>
      </c>
      <c r="F370" s="3" t="s">
        <v>6</v>
      </c>
      <c r="G370" s="38" t="s">
        <v>61</v>
      </c>
      <c r="H370" s="39" t="s">
        <v>62</v>
      </c>
      <c r="I370" s="39" t="s">
        <v>63</v>
      </c>
      <c r="J370" s="69" t="s">
        <v>9</v>
      </c>
      <c r="K370" s="136"/>
    </row>
    <row r="371" spans="1:11" ht="20.25" customHeight="1" x14ac:dyDescent="0.25">
      <c r="A371" s="7" t="s">
        <v>890</v>
      </c>
      <c r="B371" s="23" t="str">
        <f>ORÇAMENTO!B72</f>
        <v>COMPOSIÇÃO 03</v>
      </c>
      <c r="C371" s="29" t="s">
        <v>171</v>
      </c>
      <c r="D371" s="7" t="str">
        <f>ORÇAMENTO!D72</f>
        <v>EMASSAMENTO C/MASSA ACRÍLICA PARA AMBIENTES INTERNOS, DUAS DEMÃOS</v>
      </c>
      <c r="E371" s="140" t="s">
        <v>21</v>
      </c>
      <c r="F371" s="8"/>
      <c r="G371" s="53"/>
      <c r="H371" s="50"/>
      <c r="I371" s="53"/>
      <c r="J371" s="46"/>
      <c r="K371" s="136"/>
    </row>
    <row r="372" spans="1:11" x14ac:dyDescent="0.25">
      <c r="A372" s="10"/>
      <c r="B372" s="24"/>
      <c r="C372" s="30"/>
      <c r="D372" s="36" t="s">
        <v>381</v>
      </c>
      <c r="E372" s="12"/>
      <c r="F372" s="11">
        <v>875</v>
      </c>
      <c r="G372" s="44"/>
      <c r="H372" s="44"/>
      <c r="I372" s="44"/>
      <c r="J372" s="52">
        <f>F372</f>
        <v>875</v>
      </c>
      <c r="K372" s="136"/>
    </row>
    <row r="373" spans="1:11" x14ac:dyDescent="0.25">
      <c r="A373" s="10"/>
      <c r="B373" s="64"/>
      <c r="C373" s="65"/>
      <c r="D373" s="124"/>
      <c r="E373" s="125"/>
      <c r="F373" s="126"/>
      <c r="G373" s="79"/>
      <c r="H373" s="79"/>
      <c r="I373" s="79"/>
      <c r="J373" s="127"/>
      <c r="K373" s="136"/>
    </row>
    <row r="374" spans="1:11" x14ac:dyDescent="0.25">
      <c r="A374" s="2" t="s">
        <v>1</v>
      </c>
      <c r="B374" s="21" t="s">
        <v>2</v>
      </c>
      <c r="C374" s="28" t="s">
        <v>3</v>
      </c>
      <c r="D374" s="2" t="s">
        <v>4</v>
      </c>
      <c r="E374" s="4" t="s">
        <v>5</v>
      </c>
      <c r="F374" s="3" t="s">
        <v>6</v>
      </c>
      <c r="G374" s="38" t="s">
        <v>61</v>
      </c>
      <c r="H374" s="39" t="s">
        <v>62</v>
      </c>
      <c r="I374" s="39" t="s">
        <v>63</v>
      </c>
      <c r="J374" s="69" t="s">
        <v>9</v>
      </c>
      <c r="K374" s="136"/>
    </row>
    <row r="375" spans="1:11" ht="26.25" customHeight="1" x14ac:dyDescent="0.25">
      <c r="A375" s="7" t="s">
        <v>891</v>
      </c>
      <c r="B375" s="54">
        <f>ORÇAMENTO!B73</f>
        <v>88489</v>
      </c>
      <c r="C375" s="29" t="s">
        <v>13</v>
      </c>
      <c r="D375" s="7" t="str">
        <f>ORÇAMENTO!D73</f>
        <v>PINTURA LÁTEX ACRÍLICA PREMIUM, APLICAÇÃO MANUAL EM PAREDES, DUAS DEMÃOS. AF_04/2023</v>
      </c>
      <c r="E375" s="140" t="s">
        <v>21</v>
      </c>
      <c r="F375" s="8"/>
      <c r="G375" s="53"/>
      <c r="H375" s="50"/>
      <c r="I375" s="53"/>
      <c r="J375" s="46"/>
      <c r="K375" s="136"/>
    </row>
    <row r="376" spans="1:11" x14ac:dyDescent="0.25">
      <c r="A376" s="10"/>
      <c r="B376" s="24"/>
      <c r="C376" s="30"/>
      <c r="D376" s="36" t="s">
        <v>381</v>
      </c>
      <c r="E376" s="12"/>
      <c r="F376" s="11">
        <v>1627.96</v>
      </c>
      <c r="G376" s="44"/>
      <c r="H376" s="44"/>
      <c r="I376" s="44"/>
      <c r="J376" s="52">
        <f>F376</f>
        <v>1627.96</v>
      </c>
      <c r="K376" s="136"/>
    </row>
    <row r="377" spans="1:11" x14ac:dyDescent="0.25">
      <c r="A377" s="10"/>
      <c r="B377" s="64"/>
      <c r="C377" s="65"/>
      <c r="D377" s="76" t="s">
        <v>549</v>
      </c>
      <c r="E377" s="65" t="s">
        <v>555</v>
      </c>
      <c r="F377" s="126">
        <v>19.3</v>
      </c>
      <c r="G377" s="79"/>
      <c r="H377" s="79"/>
      <c r="I377" s="79">
        <v>2.2000000000000002</v>
      </c>
      <c r="J377" s="127">
        <f>I377*F377</f>
        <v>42.460000000000008</v>
      </c>
      <c r="K377" s="136"/>
    </row>
    <row r="378" spans="1:11" x14ac:dyDescent="0.25">
      <c r="A378" s="10"/>
      <c r="B378" s="64"/>
      <c r="C378" s="65"/>
      <c r="D378" s="76" t="s">
        <v>550</v>
      </c>
      <c r="E378" s="65" t="s">
        <v>555</v>
      </c>
      <c r="F378" s="126">
        <v>27.82</v>
      </c>
      <c r="G378" s="79"/>
      <c r="H378" s="79"/>
      <c r="I378" s="79">
        <v>2.2000000000000002</v>
      </c>
      <c r="J378" s="127">
        <f>I378*F378</f>
        <v>61.204000000000008</v>
      </c>
      <c r="K378" s="136"/>
    </row>
    <row r="379" spans="1:11" x14ac:dyDescent="0.25">
      <c r="A379" s="10"/>
      <c r="B379" s="64"/>
      <c r="C379" s="65"/>
      <c r="D379" s="76" t="s">
        <v>552</v>
      </c>
      <c r="E379" s="65" t="s">
        <v>554</v>
      </c>
      <c r="F379" s="146">
        <f>F332</f>
        <v>59.64</v>
      </c>
      <c r="G379" s="78" t="s">
        <v>551</v>
      </c>
      <c r="H379" s="79">
        <v>2</v>
      </c>
      <c r="I379" s="78"/>
      <c r="J379" s="127">
        <f>F379*H379</f>
        <v>119.28</v>
      </c>
      <c r="K379" s="136"/>
    </row>
    <row r="380" spans="1:11" x14ac:dyDescent="0.25">
      <c r="A380" s="10"/>
      <c r="B380" s="64"/>
      <c r="C380" s="65"/>
      <c r="D380" s="124"/>
      <c r="E380" s="125"/>
      <c r="F380" s="126"/>
      <c r="G380" s="79"/>
      <c r="H380" s="79"/>
      <c r="I380" s="79"/>
      <c r="J380" s="127"/>
      <c r="K380" s="136"/>
    </row>
    <row r="381" spans="1:11" x14ac:dyDescent="0.25">
      <c r="A381" s="10"/>
      <c r="B381" s="64"/>
      <c r="C381" s="65"/>
      <c r="D381" s="124"/>
      <c r="E381" s="125"/>
      <c r="F381" s="126"/>
      <c r="G381" s="79"/>
      <c r="H381" s="79"/>
      <c r="I381" s="79"/>
      <c r="J381" s="127">
        <f>J376+J377+J378+J379</f>
        <v>1850.904</v>
      </c>
      <c r="K381" s="136"/>
    </row>
    <row r="382" spans="1:11" x14ac:dyDescent="0.25">
      <c r="A382" s="10"/>
      <c r="B382" s="64"/>
      <c r="C382" s="65"/>
      <c r="D382" s="124"/>
      <c r="E382" s="125"/>
      <c r="F382" s="126"/>
      <c r="G382" s="79"/>
      <c r="H382" s="79"/>
      <c r="I382" s="79"/>
      <c r="J382" s="127"/>
      <c r="K382" s="136"/>
    </row>
    <row r="383" spans="1:11" x14ac:dyDescent="0.25">
      <c r="A383" s="10"/>
      <c r="B383" s="64"/>
      <c r="C383" s="65"/>
      <c r="D383" s="124"/>
      <c r="E383" s="125"/>
      <c r="F383" s="126"/>
      <c r="G383" s="79"/>
      <c r="H383" s="79"/>
      <c r="I383" s="79"/>
      <c r="J383" s="127"/>
      <c r="K383" s="136"/>
    </row>
    <row r="384" spans="1:11" x14ac:dyDescent="0.25">
      <c r="A384" s="2" t="s">
        <v>1</v>
      </c>
      <c r="B384" s="21" t="s">
        <v>2</v>
      </c>
      <c r="C384" s="28" t="s">
        <v>3</v>
      </c>
      <c r="D384" s="2" t="s">
        <v>4</v>
      </c>
      <c r="E384" s="4" t="s">
        <v>5</v>
      </c>
      <c r="F384" s="3" t="s">
        <v>6</v>
      </c>
      <c r="G384" s="38" t="s">
        <v>61</v>
      </c>
      <c r="H384" s="39" t="s">
        <v>62</v>
      </c>
      <c r="I384" s="39" t="s">
        <v>63</v>
      </c>
      <c r="J384" s="69" t="s">
        <v>9</v>
      </c>
      <c r="K384" s="136"/>
    </row>
    <row r="385" spans="1:11" x14ac:dyDescent="0.25">
      <c r="A385" s="7" t="s">
        <v>892</v>
      </c>
      <c r="B385" s="23" t="str">
        <f>ORÇAMENTO!B74</f>
        <v>C1869</v>
      </c>
      <c r="C385" s="29" t="s">
        <v>15</v>
      </c>
      <c r="D385" s="7" t="str">
        <f>ORÇAMENTO!D74</f>
        <v>PEITORIL DE GRANITO L= 15 cm</v>
      </c>
      <c r="E385" s="140" t="s">
        <v>16</v>
      </c>
      <c r="F385" s="8"/>
      <c r="G385" s="53"/>
      <c r="H385" s="50"/>
      <c r="I385" s="53"/>
      <c r="J385" s="46"/>
      <c r="K385" s="136"/>
    </row>
    <row r="386" spans="1:11" x14ac:dyDescent="0.25">
      <c r="A386" s="10"/>
      <c r="B386" s="24"/>
      <c r="C386" s="30"/>
      <c r="D386" s="36" t="s">
        <v>381</v>
      </c>
      <c r="E386" s="12"/>
      <c r="F386" s="122">
        <v>36.700000000000003</v>
      </c>
      <c r="G386" s="44"/>
      <c r="H386" s="44"/>
      <c r="I386" s="44"/>
      <c r="J386" s="52">
        <f>F386</f>
        <v>36.700000000000003</v>
      </c>
      <c r="K386" s="136"/>
    </row>
    <row r="387" spans="1:11" x14ac:dyDescent="0.25">
      <c r="A387" s="10"/>
      <c r="B387" s="64"/>
      <c r="C387" s="65"/>
      <c r="D387" s="124"/>
      <c r="E387" s="125"/>
      <c r="F387" s="126"/>
      <c r="G387" s="79"/>
      <c r="H387" s="79"/>
      <c r="I387" s="79"/>
      <c r="J387" s="127"/>
      <c r="K387" s="136"/>
    </row>
    <row r="388" spans="1:11" x14ac:dyDescent="0.25">
      <c r="A388" s="2" t="s">
        <v>1</v>
      </c>
      <c r="B388" s="21" t="s">
        <v>2</v>
      </c>
      <c r="C388" s="28" t="s">
        <v>3</v>
      </c>
      <c r="D388" s="2" t="s">
        <v>4</v>
      </c>
      <c r="E388" s="4" t="s">
        <v>5</v>
      </c>
      <c r="F388" s="3" t="s">
        <v>6</v>
      </c>
      <c r="G388" s="38" t="s">
        <v>61</v>
      </c>
      <c r="H388" s="39" t="s">
        <v>62</v>
      </c>
      <c r="I388" s="39" t="s">
        <v>63</v>
      </c>
      <c r="J388" s="69" t="s">
        <v>9</v>
      </c>
      <c r="K388" s="136"/>
    </row>
    <row r="389" spans="1:11" ht="22.5" customHeight="1" x14ac:dyDescent="0.25">
      <c r="A389" s="7" t="s">
        <v>893</v>
      </c>
      <c r="B389" s="54">
        <f>ORÇAMENTO!B75</f>
        <v>95305</v>
      </c>
      <c r="C389" s="29" t="s">
        <v>13</v>
      </c>
      <c r="D389" s="7" t="str">
        <f>ORÇAMENTO!D75</f>
        <v xml:space="preserve">TEXTURA ACRÍLICA, APLICAÇÃO MANUAL EM PAREDE, UMA DEMÃO. AF_04/2023 </v>
      </c>
      <c r="E389" s="140" t="s">
        <v>21</v>
      </c>
      <c r="F389" s="8"/>
      <c r="G389" s="53"/>
      <c r="H389" s="50"/>
      <c r="I389" s="53"/>
      <c r="J389" s="46"/>
      <c r="K389" s="136"/>
    </row>
    <row r="390" spans="1:11" x14ac:dyDescent="0.25">
      <c r="A390" s="10"/>
      <c r="B390" s="24"/>
      <c r="C390" s="30"/>
      <c r="D390" s="36" t="s">
        <v>381</v>
      </c>
      <c r="E390" s="12"/>
      <c r="F390" s="11">
        <v>486.44</v>
      </c>
      <c r="G390" s="44"/>
      <c r="H390" s="44"/>
      <c r="I390" s="44"/>
      <c r="J390" s="52">
        <f>F390</f>
        <v>486.44</v>
      </c>
      <c r="K390" s="136"/>
    </row>
    <row r="392" spans="1:11" x14ac:dyDescent="0.25">
      <c r="A392" s="2" t="s">
        <v>1</v>
      </c>
      <c r="B392" s="21" t="s">
        <v>2</v>
      </c>
      <c r="C392" s="28" t="s">
        <v>3</v>
      </c>
      <c r="D392" s="2" t="s">
        <v>4</v>
      </c>
      <c r="E392" s="4" t="s">
        <v>5</v>
      </c>
      <c r="F392" s="3" t="s">
        <v>6</v>
      </c>
      <c r="G392" s="38" t="s">
        <v>61</v>
      </c>
      <c r="H392" s="39" t="s">
        <v>62</v>
      </c>
      <c r="I392" s="39" t="s">
        <v>63</v>
      </c>
      <c r="J392" s="69" t="s">
        <v>9</v>
      </c>
    </row>
    <row r="393" spans="1:11" ht="26.4" x14ac:dyDescent="0.25">
      <c r="A393" s="7" t="s">
        <v>894</v>
      </c>
      <c r="B393" s="54">
        <f>ORÇAMENTO!B76</f>
        <v>88485</v>
      </c>
      <c r="C393" s="29" t="s">
        <v>13</v>
      </c>
      <c r="D393" s="7" t="str">
        <f>ORÇAMENTO!D76</f>
        <v>FUNDO SELADOR ACRÍLICO, APLICAÇÃO MANUAL EM PAREDE, UMA DEMÃO. AF_04/2023</v>
      </c>
      <c r="E393" s="140" t="s">
        <v>21</v>
      </c>
      <c r="F393" s="8"/>
      <c r="G393" s="53"/>
      <c r="H393" s="50"/>
      <c r="I393" s="53"/>
      <c r="J393" s="46"/>
    </row>
    <row r="394" spans="1:11" ht="26.4" x14ac:dyDescent="0.25">
      <c r="A394" s="10"/>
      <c r="B394" s="24"/>
      <c r="C394" s="30"/>
      <c r="D394" s="36" t="s">
        <v>561</v>
      </c>
      <c r="E394" s="12"/>
      <c r="F394" s="11">
        <f>F376</f>
        <v>1627.96</v>
      </c>
      <c r="G394" s="44"/>
      <c r="H394" s="44"/>
      <c r="I394" s="44"/>
      <c r="J394" s="52">
        <f>F394</f>
        <v>1627.96</v>
      </c>
    </row>
    <row r="395" spans="1:11" x14ac:dyDescent="0.25">
      <c r="A395" s="420"/>
      <c r="B395" s="421"/>
      <c r="C395" s="410"/>
      <c r="D395" s="76" t="s">
        <v>549</v>
      </c>
      <c r="E395" s="65" t="s">
        <v>555</v>
      </c>
      <c r="F395" s="126">
        <v>19.3</v>
      </c>
      <c r="G395" s="79"/>
      <c r="H395" s="79"/>
      <c r="I395" s="79">
        <v>2.2000000000000002</v>
      </c>
      <c r="J395" s="127">
        <f>I395*F395</f>
        <v>42.460000000000008</v>
      </c>
    </row>
    <row r="396" spans="1:11" x14ac:dyDescent="0.25">
      <c r="A396" s="420"/>
      <c r="B396" s="421"/>
      <c r="C396" s="410"/>
      <c r="D396" s="76" t="s">
        <v>550</v>
      </c>
      <c r="E396" s="65" t="s">
        <v>555</v>
      </c>
      <c r="F396" s="126">
        <v>27.82</v>
      </c>
      <c r="G396" s="79"/>
      <c r="H396" s="79"/>
      <c r="I396" s="79">
        <v>2.2000000000000002</v>
      </c>
      <c r="J396" s="127">
        <f>I396*F396</f>
        <v>61.204000000000008</v>
      </c>
    </row>
    <row r="397" spans="1:11" x14ac:dyDescent="0.25">
      <c r="A397" s="420"/>
      <c r="B397" s="421"/>
      <c r="C397" s="410"/>
      <c r="D397" s="76" t="s">
        <v>552</v>
      </c>
      <c r="E397" s="65" t="s">
        <v>554</v>
      </c>
      <c r="F397" s="146">
        <f>F332</f>
        <v>59.64</v>
      </c>
      <c r="G397" s="78" t="s">
        <v>551</v>
      </c>
      <c r="H397" s="79">
        <v>2</v>
      </c>
      <c r="I397" s="78"/>
      <c r="J397" s="127">
        <f>F397*H397</f>
        <v>119.28</v>
      </c>
    </row>
    <row r="398" spans="1:11" x14ac:dyDescent="0.25">
      <c r="A398" s="420"/>
      <c r="B398" s="421"/>
      <c r="C398" s="410"/>
      <c r="D398" s="422"/>
      <c r="E398" s="423"/>
      <c r="F398" s="424"/>
      <c r="G398" s="425"/>
      <c r="H398" s="425"/>
      <c r="I398" s="425"/>
      <c r="J398" s="426"/>
    </row>
    <row r="399" spans="1:11" x14ac:dyDescent="0.25">
      <c r="J399" s="67">
        <f>J394+J395+J396+J397</f>
        <v>1850.904</v>
      </c>
    </row>
    <row r="400" spans="1:11" x14ac:dyDescent="0.25">
      <c r="A400" s="10"/>
      <c r="B400" s="148"/>
      <c r="C400" s="65"/>
      <c r="D400" s="76"/>
      <c r="E400" s="125"/>
      <c r="F400" s="126"/>
      <c r="G400" s="79"/>
      <c r="H400" s="79"/>
      <c r="I400" s="79"/>
      <c r="J400" s="127"/>
      <c r="K400" s="136"/>
    </row>
    <row r="401" spans="1:11" x14ac:dyDescent="0.25">
      <c r="A401" s="55" t="s">
        <v>363</v>
      </c>
      <c r="B401" s="56"/>
      <c r="C401" s="56"/>
      <c r="D401" s="55" t="s">
        <v>148</v>
      </c>
      <c r="E401" s="55"/>
      <c r="F401" s="57"/>
      <c r="G401" s="58"/>
      <c r="H401" s="59"/>
      <c r="I401" s="60"/>
      <c r="J401" s="62"/>
      <c r="K401" s="136"/>
    </row>
    <row r="402" spans="1:11" x14ac:dyDescent="0.25">
      <c r="A402" s="2" t="s">
        <v>1</v>
      </c>
      <c r="B402" s="21" t="s">
        <v>2</v>
      </c>
      <c r="C402" s="28" t="s">
        <v>3</v>
      </c>
      <c r="D402" s="2" t="s">
        <v>4</v>
      </c>
      <c r="E402" s="4" t="s">
        <v>5</v>
      </c>
      <c r="F402" s="3" t="s">
        <v>6</v>
      </c>
      <c r="G402" s="38" t="s">
        <v>61</v>
      </c>
      <c r="H402" s="39" t="s">
        <v>62</v>
      </c>
      <c r="I402" s="39" t="s">
        <v>63</v>
      </c>
      <c r="J402" s="69" t="s">
        <v>9</v>
      </c>
      <c r="K402" s="136"/>
    </row>
    <row r="403" spans="1:11" ht="18" customHeight="1" x14ac:dyDescent="0.25">
      <c r="A403" s="7" t="s">
        <v>895</v>
      </c>
      <c r="B403" s="54">
        <f>ORÇAMENTO!B78</f>
        <v>96109</v>
      </c>
      <c r="C403" s="29" t="s">
        <v>13</v>
      </c>
      <c r="D403" s="7" t="str">
        <f>ORÇAMENTO!D78</f>
        <v>FORRO EM PLACAS DE GESSO, PARA AMBIENTES RESIDENCIAIS. AF_08/2023_PS</v>
      </c>
      <c r="E403" s="140" t="s">
        <v>21</v>
      </c>
      <c r="F403" s="8"/>
      <c r="G403" s="53"/>
      <c r="H403" s="50"/>
      <c r="I403" s="53"/>
      <c r="J403" s="46"/>
      <c r="K403" s="136"/>
    </row>
    <row r="404" spans="1:11" x14ac:dyDescent="0.25">
      <c r="A404" s="10"/>
      <c r="B404" s="24"/>
      <c r="C404" s="30"/>
      <c r="D404" s="36" t="s">
        <v>381</v>
      </c>
      <c r="E404" s="12"/>
      <c r="F404" s="11">
        <v>272.89</v>
      </c>
      <c r="G404" s="44"/>
      <c r="H404" s="44"/>
      <c r="I404" s="44"/>
      <c r="J404" s="52">
        <f>F404</f>
        <v>272.89</v>
      </c>
      <c r="K404" s="136"/>
    </row>
    <row r="405" spans="1:11" x14ac:dyDescent="0.25">
      <c r="A405" s="10"/>
      <c r="B405" s="148"/>
      <c r="C405" s="65"/>
      <c r="D405" s="124"/>
      <c r="E405" s="125"/>
      <c r="F405" s="126"/>
      <c r="G405" s="79"/>
      <c r="H405" s="79"/>
      <c r="I405" s="79"/>
      <c r="J405" s="127"/>
      <c r="K405" s="136"/>
    </row>
    <row r="406" spans="1:11" x14ac:dyDescent="0.25">
      <c r="A406" s="2" t="s">
        <v>1</v>
      </c>
      <c r="B406" s="21" t="s">
        <v>2</v>
      </c>
      <c r="C406" s="28" t="s">
        <v>3</v>
      </c>
      <c r="D406" s="2" t="s">
        <v>4</v>
      </c>
      <c r="E406" s="4" t="s">
        <v>5</v>
      </c>
      <c r="F406" s="3" t="s">
        <v>6</v>
      </c>
      <c r="G406" s="38" t="s">
        <v>61</v>
      </c>
      <c r="H406" s="39" t="s">
        <v>62</v>
      </c>
      <c r="I406" s="39" t="s">
        <v>63</v>
      </c>
      <c r="J406" s="69" t="s">
        <v>9</v>
      </c>
      <c r="K406" s="136"/>
    </row>
    <row r="407" spans="1:11" ht="30" customHeight="1" x14ac:dyDescent="0.25">
      <c r="A407" s="7" t="s">
        <v>896</v>
      </c>
      <c r="B407" s="54">
        <f>ORÇAMENTO!B79</f>
        <v>88496</v>
      </c>
      <c r="C407" s="29" t="s">
        <v>13</v>
      </c>
      <c r="D407" s="7" t="str">
        <f>ORÇAMENTO!D79</f>
        <v>EMASSAMENTO COM MASSA LÁTEX, APLICAÇÃO EM TETO, DUAS DEMÃOS, LIXAMENTO MANUAL. AF_04/2023</v>
      </c>
      <c r="E407" s="140" t="s">
        <v>21</v>
      </c>
      <c r="F407" s="8"/>
      <c r="G407" s="53"/>
      <c r="H407" s="50"/>
      <c r="I407" s="53"/>
      <c r="J407" s="46"/>
      <c r="K407" s="136"/>
    </row>
    <row r="408" spans="1:11" x14ac:dyDescent="0.25">
      <c r="A408" s="10"/>
      <c r="B408" s="24"/>
      <c r="C408" s="30"/>
      <c r="D408" s="36" t="s">
        <v>381</v>
      </c>
      <c r="E408" s="12"/>
      <c r="F408" s="11">
        <v>272.89</v>
      </c>
      <c r="G408" s="44"/>
      <c r="H408" s="44"/>
      <c r="I408" s="44"/>
      <c r="J408" s="52">
        <f>F408</f>
        <v>272.89</v>
      </c>
      <c r="K408" s="136"/>
    </row>
    <row r="409" spans="1:11" x14ac:dyDescent="0.25">
      <c r="A409" s="10"/>
      <c r="B409" s="148"/>
      <c r="C409" s="65"/>
      <c r="D409" s="124"/>
      <c r="E409" s="125"/>
      <c r="F409" s="126"/>
      <c r="G409" s="79"/>
      <c r="H409" s="79"/>
      <c r="I409" s="79"/>
      <c r="J409" s="127"/>
      <c r="K409" s="136"/>
    </row>
    <row r="410" spans="1:11" x14ac:dyDescent="0.25">
      <c r="A410" s="2" t="s">
        <v>1</v>
      </c>
      <c r="B410" s="21" t="s">
        <v>2</v>
      </c>
      <c r="C410" s="28" t="s">
        <v>3</v>
      </c>
      <c r="D410" s="2" t="s">
        <v>4</v>
      </c>
      <c r="E410" s="4" t="s">
        <v>5</v>
      </c>
      <c r="F410" s="3" t="s">
        <v>6</v>
      </c>
      <c r="G410" s="38" t="s">
        <v>61</v>
      </c>
      <c r="H410" s="39" t="s">
        <v>62</v>
      </c>
      <c r="I410" s="39" t="s">
        <v>63</v>
      </c>
      <c r="J410" s="69" t="s">
        <v>9</v>
      </c>
      <c r="K410" s="136"/>
    </row>
    <row r="411" spans="1:11" ht="31.5" customHeight="1" x14ac:dyDescent="0.25">
      <c r="A411" s="7" t="s">
        <v>897</v>
      </c>
      <c r="B411" s="54">
        <f>ORÇAMENTO!B80</f>
        <v>88488</v>
      </c>
      <c r="C411" s="29" t="s">
        <v>13</v>
      </c>
      <c r="D411" s="7" t="str">
        <f>ORÇAMENTO!D80</f>
        <v>PINTURA LÁTEX ACRÍLICA PREMIUM, APLICAÇÃO MANUAL EM TETO, DUAS DEMÃOS. AF_04/2023</v>
      </c>
      <c r="E411" s="140" t="s">
        <v>21</v>
      </c>
      <c r="F411" s="8"/>
      <c r="G411" s="53"/>
      <c r="H411" s="50"/>
      <c r="I411" s="53"/>
      <c r="J411" s="46"/>
      <c r="K411" s="136"/>
    </row>
    <row r="412" spans="1:11" x14ac:dyDescent="0.25">
      <c r="A412" s="10"/>
      <c r="B412" s="24"/>
      <c r="C412" s="30"/>
      <c r="D412" s="36" t="s">
        <v>381</v>
      </c>
      <c r="E412" s="12"/>
      <c r="F412" s="11">
        <v>272.89</v>
      </c>
      <c r="G412" s="44"/>
      <c r="H412" s="44"/>
      <c r="I412" s="44"/>
      <c r="J412" s="52">
        <f>F412</f>
        <v>272.89</v>
      </c>
      <c r="K412" s="136"/>
    </row>
    <row r="413" spans="1:11" x14ac:dyDescent="0.25">
      <c r="A413" s="10"/>
      <c r="B413" s="148"/>
      <c r="C413" s="65"/>
      <c r="D413" s="124"/>
      <c r="E413" s="125"/>
      <c r="F413" s="126"/>
      <c r="G413" s="79"/>
      <c r="H413" s="79"/>
      <c r="I413" s="79"/>
      <c r="J413" s="127"/>
      <c r="K413" s="136"/>
    </row>
    <row r="414" spans="1:11" x14ac:dyDescent="0.25">
      <c r="A414" s="5">
        <v>7</v>
      </c>
      <c r="B414" s="22"/>
      <c r="C414" s="22"/>
      <c r="D414" s="5" t="s">
        <v>20</v>
      </c>
      <c r="E414" s="5"/>
      <c r="F414" s="6"/>
      <c r="G414" s="40"/>
      <c r="H414" s="41"/>
      <c r="I414" s="42"/>
      <c r="J414" s="68"/>
      <c r="K414" s="136"/>
    </row>
    <row r="415" spans="1:11" x14ac:dyDescent="0.25">
      <c r="A415" s="55" t="s">
        <v>55</v>
      </c>
      <c r="B415" s="56"/>
      <c r="C415" s="56"/>
      <c r="D415" s="55" t="s">
        <v>111</v>
      </c>
      <c r="E415" s="55"/>
      <c r="F415" s="57"/>
      <c r="G415" s="58"/>
      <c r="H415" s="59"/>
      <c r="I415" s="60"/>
      <c r="J415" s="62"/>
      <c r="K415" s="136"/>
    </row>
    <row r="416" spans="1:11" x14ac:dyDescent="0.25">
      <c r="A416" s="2" t="s">
        <v>1</v>
      </c>
      <c r="B416" s="21" t="s">
        <v>2</v>
      </c>
      <c r="C416" s="28" t="s">
        <v>3</v>
      </c>
      <c r="D416" s="2" t="s">
        <v>4</v>
      </c>
      <c r="E416" s="4" t="s">
        <v>5</v>
      </c>
      <c r="F416" s="3" t="s">
        <v>6</v>
      </c>
      <c r="G416" s="38" t="s">
        <v>61</v>
      </c>
      <c r="H416" s="39" t="s">
        <v>62</v>
      </c>
      <c r="I416" s="39" t="s">
        <v>63</v>
      </c>
      <c r="J416" s="69" t="s">
        <v>9</v>
      </c>
      <c r="K416" s="136"/>
    </row>
    <row r="417" spans="1:11" ht="18.75" customHeight="1" x14ac:dyDescent="0.25">
      <c r="A417" s="7" t="s">
        <v>164</v>
      </c>
      <c r="B417" s="23" t="str">
        <f>ORÇAMENTO!B83</f>
        <v>C1988</v>
      </c>
      <c r="C417" s="29" t="s">
        <v>15</v>
      </c>
      <c r="D417" s="7" t="str">
        <f>ORÇAMENTO!D83</f>
        <v>PORTA INTERNA DE CEDRO LISA COMPLETA UMA FOLHA (0.90X 2.10)M</v>
      </c>
      <c r="E417" s="140" t="s">
        <v>14</v>
      </c>
      <c r="F417" s="8"/>
      <c r="G417" s="53"/>
      <c r="H417" s="50"/>
      <c r="I417" s="53"/>
      <c r="J417" s="46"/>
      <c r="K417" s="136"/>
    </row>
    <row r="418" spans="1:11" x14ac:dyDescent="0.25">
      <c r="A418" s="10"/>
      <c r="B418" s="24"/>
      <c r="C418" s="30"/>
      <c r="D418" s="36" t="s">
        <v>381</v>
      </c>
      <c r="E418" s="12"/>
      <c r="F418" s="122">
        <v>9</v>
      </c>
      <c r="G418" s="44"/>
      <c r="H418" s="44"/>
      <c r="I418" s="44"/>
      <c r="J418" s="52">
        <f>F418</f>
        <v>9</v>
      </c>
      <c r="K418" s="136"/>
    </row>
    <row r="419" spans="1:11" x14ac:dyDescent="0.25">
      <c r="A419" s="75"/>
      <c r="B419" s="123"/>
      <c r="C419" s="65" t="s">
        <v>176</v>
      </c>
      <c r="D419" s="124"/>
      <c r="E419" s="125"/>
      <c r="F419" s="126"/>
      <c r="G419" s="79"/>
      <c r="H419" s="79"/>
      <c r="I419" s="79"/>
      <c r="J419" s="127"/>
      <c r="K419" s="136"/>
    </row>
    <row r="420" spans="1:11" x14ac:dyDescent="0.25">
      <c r="A420" s="2" t="s">
        <v>1</v>
      </c>
      <c r="B420" s="21" t="s">
        <v>2</v>
      </c>
      <c r="C420" s="28" t="s">
        <v>3</v>
      </c>
      <c r="D420" s="2" t="s">
        <v>4</v>
      </c>
      <c r="E420" s="4" t="s">
        <v>5</v>
      </c>
      <c r="F420" s="3" t="s">
        <v>6</v>
      </c>
      <c r="G420" s="38" t="s">
        <v>61</v>
      </c>
      <c r="H420" s="39" t="s">
        <v>62</v>
      </c>
      <c r="I420" s="39" t="s">
        <v>63</v>
      </c>
      <c r="J420" s="69" t="s">
        <v>9</v>
      </c>
      <c r="K420" s="136"/>
    </row>
    <row r="421" spans="1:11" ht="18" customHeight="1" x14ac:dyDescent="0.25">
      <c r="A421" s="7" t="s">
        <v>165</v>
      </c>
      <c r="B421" s="23" t="str">
        <f>ORÇAMENTO!B84</f>
        <v>C1989</v>
      </c>
      <c r="C421" s="29" t="s">
        <v>15</v>
      </c>
      <c r="D421" s="7" t="str">
        <f>ORÇAMENTO!D84</f>
        <v>PORTA INTERNA DE CEDRO LISA COMPLETA UMA FOLHA (1.00X 2.10)M</v>
      </c>
      <c r="E421" s="140" t="s">
        <v>14</v>
      </c>
      <c r="F421" s="8"/>
      <c r="G421" s="53"/>
      <c r="H421" s="50"/>
      <c r="I421" s="53"/>
      <c r="J421" s="46"/>
      <c r="K421" s="136"/>
    </row>
    <row r="422" spans="1:11" x14ac:dyDescent="0.25">
      <c r="A422" s="10"/>
      <c r="B422" s="24"/>
      <c r="C422" s="30"/>
      <c r="D422" s="36" t="s">
        <v>381</v>
      </c>
      <c r="E422" s="12"/>
      <c r="F422" s="122">
        <v>17</v>
      </c>
      <c r="G422" s="44"/>
      <c r="H422" s="44"/>
      <c r="I422" s="44"/>
      <c r="J422" s="52">
        <f>F422</f>
        <v>17</v>
      </c>
      <c r="K422" s="136"/>
    </row>
    <row r="423" spans="1:11" x14ac:dyDescent="0.25">
      <c r="A423" s="75"/>
      <c r="B423" s="123"/>
      <c r="C423" s="65"/>
      <c r="D423" s="124"/>
      <c r="E423" s="125"/>
      <c r="F423" s="146"/>
      <c r="G423" s="79"/>
      <c r="H423" s="79"/>
      <c r="I423" s="79"/>
      <c r="J423" s="127"/>
      <c r="K423" s="136"/>
    </row>
    <row r="424" spans="1:11" x14ac:dyDescent="0.25">
      <c r="A424" s="2" t="s">
        <v>1</v>
      </c>
      <c r="B424" s="21" t="s">
        <v>2</v>
      </c>
      <c r="C424" s="28" t="s">
        <v>3</v>
      </c>
      <c r="D424" s="2" t="s">
        <v>4</v>
      </c>
      <c r="E424" s="4" t="s">
        <v>5</v>
      </c>
      <c r="F424" s="3" t="s">
        <v>6</v>
      </c>
      <c r="G424" s="38" t="s">
        <v>61</v>
      </c>
      <c r="H424" s="39" t="s">
        <v>62</v>
      </c>
      <c r="I424" s="39" t="s">
        <v>63</v>
      </c>
      <c r="J424" s="69" t="s">
        <v>9</v>
      </c>
      <c r="K424" s="136"/>
    </row>
    <row r="425" spans="1:11" ht="21" customHeight="1" x14ac:dyDescent="0.25">
      <c r="A425" s="7" t="s">
        <v>56</v>
      </c>
      <c r="B425" s="23" t="str">
        <f>ORÇAMENTO!B85</f>
        <v>C1979</v>
      </c>
      <c r="C425" s="29" t="s">
        <v>15</v>
      </c>
      <c r="D425" s="7" t="str">
        <f>ORÇAMENTO!D85</f>
        <v>PORTA EXTERNA DE CEDRO LISA COMPLETA UMA FOLHA (1.00X2.10)M</v>
      </c>
      <c r="E425" s="140" t="s">
        <v>14</v>
      </c>
      <c r="F425" s="8"/>
      <c r="G425" s="53"/>
      <c r="H425" s="50"/>
      <c r="I425" s="53"/>
      <c r="J425" s="46"/>
      <c r="K425" s="136"/>
    </row>
    <row r="426" spans="1:11" x14ac:dyDescent="0.25">
      <c r="A426" s="10"/>
      <c r="B426" s="24"/>
      <c r="C426" s="30"/>
      <c r="D426" s="36" t="s">
        <v>381</v>
      </c>
      <c r="E426" s="12"/>
      <c r="F426" s="122">
        <v>1</v>
      </c>
      <c r="G426" s="44"/>
      <c r="H426" s="44"/>
      <c r="I426" s="44"/>
      <c r="J426" s="52">
        <f>F426</f>
        <v>1</v>
      </c>
      <c r="K426" s="136"/>
    </row>
    <row r="427" spans="1:11" x14ac:dyDescent="0.25">
      <c r="A427" s="75"/>
      <c r="B427" s="123"/>
      <c r="C427" s="65"/>
      <c r="D427" s="124"/>
      <c r="E427" s="125"/>
      <c r="F427" s="126"/>
      <c r="G427" s="79"/>
      <c r="H427" s="79"/>
      <c r="I427" s="79"/>
      <c r="J427" s="127"/>
      <c r="K427" s="136"/>
    </row>
    <row r="428" spans="1:11" x14ac:dyDescent="0.25">
      <c r="A428" s="2" t="s">
        <v>1</v>
      </c>
      <c r="B428" s="21" t="s">
        <v>2</v>
      </c>
      <c r="C428" s="28" t="s">
        <v>3</v>
      </c>
      <c r="D428" s="143" t="s">
        <v>4</v>
      </c>
      <c r="E428" s="4" t="s">
        <v>5</v>
      </c>
      <c r="F428" s="3" t="s">
        <v>6</v>
      </c>
      <c r="G428" s="38" t="s">
        <v>61</v>
      </c>
      <c r="H428" s="39" t="s">
        <v>385</v>
      </c>
      <c r="I428" s="39" t="s">
        <v>386</v>
      </c>
      <c r="J428" s="69" t="s">
        <v>9</v>
      </c>
      <c r="K428" s="136"/>
    </row>
    <row r="429" spans="1:11" ht="28.5" customHeight="1" x14ac:dyDescent="0.25">
      <c r="A429" s="7" t="s">
        <v>57</v>
      </c>
      <c r="B429" s="54">
        <f>ORÇAMENTO!B86</f>
        <v>102219</v>
      </c>
      <c r="C429" s="29" t="s">
        <v>13</v>
      </c>
      <c r="D429" s="7" t="str">
        <f>ORÇAMENTO!D86</f>
        <v>PINTURA TINTA DE ACABAMENTO (PIGMENTADA) ESMALTE SINTÉTICO ACETINADO EM MADEIRA, 2 DEMÃOS. AF_01/2021</v>
      </c>
      <c r="E429" s="140" t="s">
        <v>21</v>
      </c>
      <c r="F429" s="8"/>
      <c r="G429" s="53"/>
      <c r="H429" s="50"/>
      <c r="I429" s="53"/>
      <c r="J429" s="46"/>
      <c r="K429" s="136"/>
    </row>
    <row r="430" spans="1:11" x14ac:dyDescent="0.25">
      <c r="A430" s="10"/>
      <c r="B430" s="24"/>
      <c r="C430" s="30"/>
      <c r="D430" s="36" t="s">
        <v>381</v>
      </c>
      <c r="E430" s="12"/>
      <c r="F430" s="11"/>
      <c r="G430" s="44"/>
      <c r="H430" s="44"/>
      <c r="I430" s="44"/>
      <c r="K430" s="136"/>
    </row>
    <row r="431" spans="1:11" x14ac:dyDescent="0.25">
      <c r="A431" s="75"/>
      <c r="B431" s="123"/>
      <c r="C431" s="65"/>
      <c r="D431" s="76" t="s">
        <v>382</v>
      </c>
      <c r="E431" s="125"/>
      <c r="F431" s="401">
        <v>9</v>
      </c>
      <c r="G431" s="79"/>
      <c r="H431" s="79">
        <f>0.9*2.1</f>
        <v>1.8900000000000001</v>
      </c>
      <c r="I431" s="79">
        <v>2</v>
      </c>
      <c r="J431" s="149">
        <f>F431*H431*I431</f>
        <v>34.020000000000003</v>
      </c>
      <c r="K431" s="136"/>
    </row>
    <row r="432" spans="1:11" x14ac:dyDescent="0.25">
      <c r="A432" s="75"/>
      <c r="B432" s="123"/>
      <c r="C432" s="65"/>
      <c r="D432" s="76" t="s">
        <v>383</v>
      </c>
      <c r="E432" s="125"/>
      <c r="F432" s="401">
        <v>17</v>
      </c>
      <c r="G432" s="79"/>
      <c r="H432" s="79">
        <f>1*2.1</f>
        <v>2.1</v>
      </c>
      <c r="I432" s="79">
        <v>2</v>
      </c>
      <c r="J432" s="149">
        <f>F432*H432*I432</f>
        <v>71.400000000000006</v>
      </c>
      <c r="K432" s="136"/>
    </row>
    <row r="433" spans="1:11" x14ac:dyDescent="0.25">
      <c r="A433" s="75"/>
      <c r="B433" s="123"/>
      <c r="C433" s="65"/>
      <c r="D433" s="76" t="s">
        <v>384</v>
      </c>
      <c r="E433" s="125"/>
      <c r="F433" s="401">
        <v>1</v>
      </c>
      <c r="G433" s="79"/>
      <c r="H433" s="79">
        <f>1*2.1</f>
        <v>2.1</v>
      </c>
      <c r="I433" s="79">
        <v>2</v>
      </c>
      <c r="J433" s="149">
        <f>F433*H433*I433</f>
        <v>4.2</v>
      </c>
      <c r="K433" s="136"/>
    </row>
    <row r="434" spans="1:11" x14ac:dyDescent="0.25">
      <c r="A434" s="75"/>
      <c r="B434" s="123"/>
      <c r="C434" s="65"/>
      <c r="D434" s="124"/>
      <c r="E434" s="125"/>
      <c r="F434" s="126"/>
      <c r="G434" s="79"/>
      <c r="H434" s="79"/>
      <c r="I434" s="79"/>
      <c r="J434" s="52">
        <f>J431+J432+J433</f>
        <v>109.62000000000002</v>
      </c>
      <c r="K434" s="136"/>
    </row>
    <row r="435" spans="1:11" x14ac:dyDescent="0.25">
      <c r="A435" s="75"/>
      <c r="B435" s="123"/>
      <c r="C435" s="65"/>
      <c r="D435" s="124"/>
      <c r="E435" s="125"/>
      <c r="F435" s="126"/>
      <c r="G435" s="79"/>
      <c r="H435" s="79"/>
      <c r="I435" s="79"/>
      <c r="J435" s="52"/>
      <c r="K435" s="136"/>
    </row>
    <row r="436" spans="1:11" x14ac:dyDescent="0.25">
      <c r="A436" s="55" t="s">
        <v>58</v>
      </c>
      <c r="B436" s="56"/>
      <c r="C436" s="56"/>
      <c r="D436" s="55" t="s">
        <v>113</v>
      </c>
      <c r="E436" s="55"/>
      <c r="F436" s="57"/>
      <c r="G436" s="58"/>
      <c r="H436" s="59"/>
      <c r="I436" s="60"/>
      <c r="J436" s="62"/>
    </row>
    <row r="437" spans="1:11" x14ac:dyDescent="0.25">
      <c r="A437" s="2" t="s">
        <v>1</v>
      </c>
      <c r="B437" s="21" t="s">
        <v>2</v>
      </c>
      <c r="C437" s="28" t="s">
        <v>3</v>
      </c>
      <c r="D437" s="2" t="s">
        <v>4</v>
      </c>
      <c r="E437" s="4" t="s">
        <v>5</v>
      </c>
      <c r="F437" s="3" t="s">
        <v>6</v>
      </c>
      <c r="G437" s="38" t="s">
        <v>61</v>
      </c>
      <c r="H437" s="39" t="s">
        <v>62</v>
      </c>
      <c r="I437" s="39" t="s">
        <v>63</v>
      </c>
      <c r="J437" s="69" t="s">
        <v>9</v>
      </c>
    </row>
    <row r="438" spans="1:11" ht="56.4" customHeight="1" x14ac:dyDescent="0.25">
      <c r="A438" s="7" t="s">
        <v>166</v>
      </c>
      <c r="B438" s="54">
        <f>ORÇAMENTO!B88</f>
        <v>94569</v>
      </c>
      <c r="C438" s="29" t="s">
        <v>13</v>
      </c>
      <c r="D438" s="7" t="str">
        <f>ORÇAMENTO!D88</f>
        <v>JANELA DE ALUMÍNIO TIPO MAXIM-AR, BATENTE/ REQUADRO 3 A 14 CM, VIDRO INCLUSO, FIXAÇÃO COM PARAFUSO, SEM GUARNIÇÃO/ ALIZAR, DIMENSÕES 60X80 (A X L) CM, SEM ACABAMENTO, VEDAÇÃO COM SILICONE, EXCLUSIVE CONTRAMARCO - FORNECIMENTO E INSTALAÇÃO. AF_11/2024</v>
      </c>
      <c r="E438" s="140" t="s">
        <v>21</v>
      </c>
      <c r="F438" s="8"/>
      <c r="G438" s="53"/>
      <c r="H438" s="50"/>
      <c r="I438" s="53"/>
      <c r="J438" s="46"/>
    </row>
    <row r="439" spans="1:11" x14ac:dyDescent="0.25">
      <c r="A439" s="10"/>
      <c r="B439" s="24"/>
      <c r="C439" s="30"/>
      <c r="D439" s="36" t="s">
        <v>393</v>
      </c>
      <c r="E439" s="12"/>
      <c r="F439" s="122">
        <v>7</v>
      </c>
      <c r="G439" s="209" t="s">
        <v>278</v>
      </c>
      <c r="H439" s="44">
        <v>1</v>
      </c>
      <c r="I439" s="44">
        <v>0.6</v>
      </c>
      <c r="J439" s="52">
        <f>F439*H439*I439</f>
        <v>4.2</v>
      </c>
    </row>
    <row r="440" spans="1:11" x14ac:dyDescent="0.25">
      <c r="A440" s="75"/>
      <c r="B440" s="123"/>
      <c r="C440" s="65"/>
      <c r="D440" s="124"/>
      <c r="E440" s="125"/>
      <c r="F440" s="126"/>
      <c r="G440" s="79"/>
      <c r="H440" s="79"/>
      <c r="I440" s="79"/>
      <c r="J440" s="127"/>
    </row>
    <row r="441" spans="1:11" x14ac:dyDescent="0.25">
      <c r="A441" s="2" t="s">
        <v>1</v>
      </c>
      <c r="B441" s="21" t="s">
        <v>2</v>
      </c>
      <c r="C441" s="28" t="s">
        <v>3</v>
      </c>
      <c r="D441" s="2" t="s">
        <v>4</v>
      </c>
      <c r="E441" s="4" t="s">
        <v>5</v>
      </c>
      <c r="F441" s="3" t="s">
        <v>6</v>
      </c>
      <c r="G441" s="38" t="s">
        <v>61</v>
      </c>
      <c r="H441" s="39" t="s">
        <v>62</v>
      </c>
      <c r="I441" s="39" t="s">
        <v>63</v>
      </c>
      <c r="J441" s="69" t="s">
        <v>9</v>
      </c>
      <c r="K441" s="136"/>
    </row>
    <row r="442" spans="1:11" s="9" customFormat="1" ht="73.2" customHeight="1" x14ac:dyDescent="0.25">
      <c r="A442" s="7" t="s">
        <v>167</v>
      </c>
      <c r="B442" s="54">
        <f>ORÇAMENTO!B89</f>
        <v>94570</v>
      </c>
      <c r="C442" s="29" t="s">
        <v>13</v>
      </c>
      <c r="D442" s="7" t="str">
        <f>ORÇAMENTO!D89</f>
        <v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v>
      </c>
      <c r="E442" s="140" t="s">
        <v>21</v>
      </c>
      <c r="F442" s="8"/>
      <c r="G442" s="53"/>
      <c r="H442" s="50"/>
      <c r="I442" s="53"/>
      <c r="J442" s="46"/>
      <c r="K442" s="136"/>
    </row>
    <row r="443" spans="1:11" x14ac:dyDescent="0.25">
      <c r="A443" s="10"/>
      <c r="B443" s="24"/>
      <c r="C443" s="30"/>
      <c r="D443" s="36" t="s">
        <v>392</v>
      </c>
      <c r="E443" s="12"/>
      <c r="F443" s="386">
        <v>2</v>
      </c>
      <c r="G443" s="44"/>
      <c r="H443" s="44">
        <v>1</v>
      </c>
      <c r="I443" s="44">
        <v>0.8</v>
      </c>
      <c r="J443" s="236">
        <f>F443*H443*I443</f>
        <v>1.6</v>
      </c>
      <c r="K443" s="136"/>
    </row>
    <row r="444" spans="1:11" x14ac:dyDescent="0.25">
      <c r="A444" s="75"/>
      <c r="B444" s="123"/>
      <c r="C444" s="65"/>
      <c r="D444" s="76" t="s">
        <v>394</v>
      </c>
      <c r="E444" s="125"/>
      <c r="F444" s="401">
        <v>1</v>
      </c>
      <c r="G444" s="79"/>
      <c r="H444" s="79">
        <v>1.2</v>
      </c>
      <c r="I444" s="79">
        <v>0.8</v>
      </c>
      <c r="J444" s="236">
        <f t="shared" ref="J444:J446" si="1">F444*H444*I444</f>
        <v>0.96</v>
      </c>
      <c r="K444" s="136"/>
    </row>
    <row r="445" spans="1:11" x14ac:dyDescent="0.25">
      <c r="A445" s="75"/>
      <c r="B445" s="123"/>
      <c r="C445" s="65"/>
      <c r="D445" s="76" t="s">
        <v>395</v>
      </c>
      <c r="E445" s="125"/>
      <c r="F445" s="401">
        <v>2</v>
      </c>
      <c r="G445" s="79"/>
      <c r="H445" s="79">
        <v>1.5</v>
      </c>
      <c r="I445" s="79">
        <v>0.8</v>
      </c>
      <c r="J445" s="236">
        <f t="shared" si="1"/>
        <v>2.4000000000000004</v>
      </c>
      <c r="K445" s="136"/>
    </row>
    <row r="446" spans="1:11" x14ac:dyDescent="0.25">
      <c r="A446" s="75"/>
      <c r="B446" s="123"/>
      <c r="C446" s="65"/>
      <c r="D446" s="76" t="s">
        <v>396</v>
      </c>
      <c r="E446" s="125"/>
      <c r="F446" s="401">
        <v>11</v>
      </c>
      <c r="G446" s="79"/>
      <c r="H446" s="79">
        <v>2</v>
      </c>
      <c r="I446" s="79">
        <v>0.8</v>
      </c>
      <c r="J446" s="236">
        <f t="shared" si="1"/>
        <v>17.600000000000001</v>
      </c>
      <c r="K446" s="136"/>
    </row>
    <row r="447" spans="1:11" x14ac:dyDescent="0.25">
      <c r="A447" s="64"/>
      <c r="B447" s="65"/>
      <c r="C447" s="65"/>
      <c r="D447" s="76"/>
      <c r="E447" s="65"/>
      <c r="F447" s="76"/>
      <c r="G447" s="65"/>
      <c r="H447" s="142"/>
      <c r="I447" s="142"/>
      <c r="J447" s="52">
        <f>SUM(J443:J446)</f>
        <v>22.560000000000002</v>
      </c>
      <c r="K447" s="136"/>
    </row>
    <row r="448" spans="1:11" x14ac:dyDescent="0.25">
      <c r="A448" s="64"/>
      <c r="B448" s="65"/>
      <c r="C448" s="65"/>
      <c r="D448" s="65"/>
      <c r="E448" s="65"/>
      <c r="F448" s="65"/>
      <c r="G448" s="65"/>
      <c r="H448" s="65"/>
      <c r="I448" s="65"/>
      <c r="J448" s="52"/>
      <c r="K448" s="136"/>
    </row>
    <row r="449" spans="1:11" x14ac:dyDescent="0.25">
      <c r="A449" s="2" t="s">
        <v>1</v>
      </c>
      <c r="B449" s="21" t="s">
        <v>2</v>
      </c>
      <c r="C449" s="28" t="s">
        <v>3</v>
      </c>
      <c r="D449" s="2" t="s">
        <v>4</v>
      </c>
      <c r="E449" s="4" t="s">
        <v>5</v>
      </c>
      <c r="F449" s="3" t="s">
        <v>6</v>
      </c>
      <c r="G449" s="38" t="s">
        <v>61</v>
      </c>
      <c r="H449" s="39" t="s">
        <v>62</v>
      </c>
      <c r="I449" s="39" t="s">
        <v>63</v>
      </c>
      <c r="J449" s="69" t="s">
        <v>9</v>
      </c>
      <c r="K449" s="136"/>
    </row>
    <row r="450" spans="1:11" s="9" customFormat="1" ht="33.75" customHeight="1" x14ac:dyDescent="0.25">
      <c r="A450" s="7" t="s">
        <v>168</v>
      </c>
      <c r="B450" s="23">
        <f>ORÇAMENTO!B90</f>
        <v>91341</v>
      </c>
      <c r="C450" s="23" t="s">
        <v>13</v>
      </c>
      <c r="D450" s="139" t="str">
        <f>ORÇAMENTO!D90</f>
        <v>PORTA EM ALUMÍNIO DE ABRIR TIPO VENEZIANA COM GUARNIÇÃO, FIXAÇÃO COM PARAFUSOS - FORNECIMENTO E INSTALAÇÃO. AF_10/2025</v>
      </c>
      <c r="E450" s="23" t="s">
        <v>21</v>
      </c>
      <c r="F450" s="8"/>
      <c r="G450" s="53"/>
      <c r="H450" s="50"/>
      <c r="I450" s="53"/>
      <c r="J450" s="46"/>
      <c r="K450" s="136"/>
    </row>
    <row r="451" spans="1:11" x14ac:dyDescent="0.25">
      <c r="A451" s="10"/>
      <c r="B451" s="30"/>
      <c r="C451" s="30"/>
      <c r="D451" s="36" t="s">
        <v>381</v>
      </c>
      <c r="G451" s="44"/>
      <c r="H451" s="44"/>
      <c r="I451" s="44"/>
      <c r="J451" s="52"/>
      <c r="K451" s="136"/>
    </row>
    <row r="452" spans="1:11" x14ac:dyDescent="0.25">
      <c r="A452" s="75"/>
      <c r="B452" s="65"/>
      <c r="C452" s="65"/>
      <c r="D452" s="36" t="s">
        <v>416</v>
      </c>
      <c r="E452" s="12"/>
      <c r="F452" s="386">
        <v>1</v>
      </c>
      <c r="G452" s="79"/>
      <c r="H452" s="79">
        <v>1.6</v>
      </c>
      <c r="I452" s="79">
        <v>2.1</v>
      </c>
      <c r="J452" s="149">
        <f>H452*I452*F452</f>
        <v>3.3600000000000003</v>
      </c>
      <c r="K452" s="136"/>
    </row>
    <row r="453" spans="1:11" x14ac:dyDescent="0.25">
      <c r="A453" s="75"/>
      <c r="B453" s="65"/>
      <c r="C453" s="65"/>
      <c r="D453" s="76" t="s">
        <v>417</v>
      </c>
      <c r="E453" s="125"/>
      <c r="F453" s="401">
        <v>1</v>
      </c>
      <c r="G453" s="79"/>
      <c r="H453" s="79">
        <v>1.3</v>
      </c>
      <c r="I453" s="79">
        <v>2.1</v>
      </c>
      <c r="J453" s="149">
        <f t="shared" ref="J453:J454" si="2">H453*I453*F453</f>
        <v>2.7300000000000004</v>
      </c>
      <c r="K453" s="136"/>
    </row>
    <row r="454" spans="1:11" x14ac:dyDescent="0.25">
      <c r="A454" s="75"/>
      <c r="B454" s="65"/>
      <c r="C454" s="65"/>
      <c r="D454" s="76" t="s">
        <v>418</v>
      </c>
      <c r="E454" s="125"/>
      <c r="F454" s="401">
        <v>2</v>
      </c>
      <c r="G454" s="79"/>
      <c r="H454" s="79">
        <v>0.6</v>
      </c>
      <c r="I454" s="79">
        <v>2.1</v>
      </c>
      <c r="J454" s="149">
        <f t="shared" si="2"/>
        <v>2.52</v>
      </c>
      <c r="K454" s="136"/>
    </row>
    <row r="455" spans="1:11" x14ac:dyDescent="0.25">
      <c r="A455" s="75"/>
      <c r="B455" s="65"/>
      <c r="C455" s="65"/>
      <c r="D455" s="124" t="s">
        <v>562</v>
      </c>
      <c r="E455" s="125"/>
      <c r="F455" s="146">
        <v>1</v>
      </c>
      <c r="G455" s="79"/>
      <c r="H455" s="79">
        <v>0.9</v>
      </c>
      <c r="I455" s="79">
        <v>2</v>
      </c>
      <c r="J455" s="67">
        <f>F455*H455*I455</f>
        <v>1.8</v>
      </c>
      <c r="K455" s="136"/>
    </row>
    <row r="456" spans="1:11" x14ac:dyDescent="0.25">
      <c r="A456" s="64"/>
      <c r="B456" s="65"/>
      <c r="C456" s="65"/>
      <c r="D456" s="65"/>
      <c r="E456" s="65"/>
      <c r="F456" s="65"/>
      <c r="G456" s="65"/>
      <c r="H456" s="65"/>
      <c r="I456" s="65"/>
      <c r="J456" s="127">
        <f>J452+J453+J454+J455</f>
        <v>10.410000000000002</v>
      </c>
      <c r="K456" s="136"/>
    </row>
    <row r="457" spans="1:11" x14ac:dyDescent="0.25">
      <c r="A457" s="64"/>
      <c r="B457" s="65"/>
      <c r="C457" s="65"/>
      <c r="D457" s="65"/>
      <c r="E457" s="65"/>
      <c r="F457" s="65"/>
      <c r="G457" s="65"/>
      <c r="H457" s="65"/>
      <c r="I457" s="65"/>
      <c r="J457" s="127"/>
      <c r="K457" s="136"/>
    </row>
    <row r="458" spans="1:11" s="9" customFormat="1" ht="17.25" customHeight="1" x14ac:dyDescent="0.25">
      <c r="A458" s="55">
        <v>7.3</v>
      </c>
      <c r="B458" s="56"/>
      <c r="C458" s="56"/>
      <c r="D458" s="55" t="s">
        <v>115</v>
      </c>
      <c r="E458" s="55"/>
      <c r="F458" s="57"/>
      <c r="G458" s="58"/>
      <c r="H458" s="59"/>
      <c r="I458" s="60"/>
      <c r="J458" s="62"/>
      <c r="K458" s="136"/>
    </row>
    <row r="459" spans="1:11" x14ac:dyDescent="0.25">
      <c r="A459" s="2" t="s">
        <v>1</v>
      </c>
      <c r="B459" s="21" t="s">
        <v>2</v>
      </c>
      <c r="C459" s="28" t="s">
        <v>3</v>
      </c>
      <c r="D459" s="2" t="s">
        <v>4</v>
      </c>
      <c r="E459" s="4" t="s">
        <v>5</v>
      </c>
      <c r="F459" s="3" t="s">
        <v>6</v>
      </c>
      <c r="G459" s="38" t="s">
        <v>61</v>
      </c>
      <c r="H459" s="39" t="s">
        <v>62</v>
      </c>
      <c r="I459" s="39" t="s">
        <v>63</v>
      </c>
      <c r="J459" s="69" t="s">
        <v>9</v>
      </c>
      <c r="K459" s="136"/>
    </row>
    <row r="460" spans="1:11" s="9" customFormat="1" ht="30" customHeight="1" x14ac:dyDescent="0.25">
      <c r="A460" s="7" t="s">
        <v>60</v>
      </c>
      <c r="B460" s="23" t="str">
        <f>ORÇAMENTO!B92</f>
        <v>COMPOSIÇÃO 04</v>
      </c>
      <c r="C460" s="29" t="s">
        <v>179</v>
      </c>
      <c r="D460" s="7" t="str">
        <f>ORÇAMENTO!D92</f>
        <v>PORTA DE ABRIR COM MOLA HIDRÁULICA, EM VIDRO TEMPERADO COM BANDEIRA FIXA, 1,50X2,10 M, ESPESSURA 10MM, INCLUSIVE ACESSÓRIOS</v>
      </c>
      <c r="E460" s="140" t="s">
        <v>14</v>
      </c>
      <c r="F460" s="8"/>
      <c r="G460" s="53"/>
      <c r="H460" s="50"/>
      <c r="I460" s="53"/>
      <c r="J460" s="46"/>
      <c r="K460" s="136"/>
    </row>
    <row r="461" spans="1:11" x14ac:dyDescent="0.25">
      <c r="A461" s="10"/>
      <c r="B461" s="30"/>
      <c r="C461" s="30"/>
      <c r="D461" s="36" t="s">
        <v>261</v>
      </c>
      <c r="E461" s="12"/>
      <c r="F461" s="122">
        <v>1</v>
      </c>
      <c r="G461" s="44"/>
      <c r="H461" s="44"/>
      <c r="I461" s="44"/>
      <c r="J461" s="52">
        <f>F461</f>
        <v>1</v>
      </c>
      <c r="K461" s="136"/>
    </row>
    <row r="462" spans="1:11" x14ac:dyDescent="0.25">
      <c r="A462" s="75"/>
      <c r="B462" s="65"/>
      <c r="C462" s="65"/>
      <c r="D462" s="124"/>
      <c r="E462" s="125"/>
      <c r="F462" s="146"/>
      <c r="G462" s="79"/>
      <c r="H462" s="79"/>
      <c r="I462" s="79"/>
      <c r="J462" s="127"/>
      <c r="K462" s="136"/>
    </row>
    <row r="463" spans="1:11" x14ac:dyDescent="0.25">
      <c r="A463" s="2" t="s">
        <v>1</v>
      </c>
      <c r="B463" s="21" t="s">
        <v>2</v>
      </c>
      <c r="C463" s="28" t="s">
        <v>3</v>
      </c>
      <c r="D463" s="2" t="s">
        <v>4</v>
      </c>
      <c r="E463" s="4" t="s">
        <v>5</v>
      </c>
      <c r="F463" s="3" t="s">
        <v>6</v>
      </c>
      <c r="G463" s="38" t="s">
        <v>61</v>
      </c>
      <c r="H463" s="39" t="s">
        <v>62</v>
      </c>
      <c r="I463" s="39" t="s">
        <v>63</v>
      </c>
      <c r="J463" s="69" t="s">
        <v>9</v>
      </c>
      <c r="K463" s="136"/>
    </row>
    <row r="464" spans="1:11" ht="30.75" customHeight="1" x14ac:dyDescent="0.25">
      <c r="A464" s="7" t="s">
        <v>169</v>
      </c>
      <c r="B464" s="23" t="str">
        <f>ORÇAMENTO!B93</f>
        <v>COMPOSIÇÃO 05</v>
      </c>
      <c r="C464" s="29" t="s">
        <v>179</v>
      </c>
      <c r="D464" s="7" t="str">
        <f>ORÇAMENTO!D93</f>
        <v>PORTA DE ABRIR COM MOLA HIDRÁULICA, EM VIDRO TEMPERADO COM BANDEIRA FIXA, 1,60X2,10 M, ESPESSURA 10MM, INCLUSIVE ACESSÓRIOS</v>
      </c>
      <c r="E464" s="140" t="s">
        <v>14</v>
      </c>
      <c r="F464" s="8"/>
      <c r="G464" s="53"/>
      <c r="H464" s="50"/>
      <c r="I464" s="53"/>
      <c r="J464" s="46"/>
      <c r="K464" s="136"/>
    </row>
    <row r="465" spans="1:11" x14ac:dyDescent="0.25">
      <c r="A465" s="10"/>
      <c r="B465" s="30"/>
      <c r="C465" s="30"/>
      <c r="D465" s="36" t="s">
        <v>262</v>
      </c>
      <c r="E465" s="12"/>
      <c r="F465" s="122">
        <v>1</v>
      </c>
      <c r="G465" s="44"/>
      <c r="H465" s="44"/>
      <c r="I465" s="44"/>
      <c r="J465" s="52">
        <f>F465</f>
        <v>1</v>
      </c>
      <c r="K465" s="136"/>
    </row>
    <row r="466" spans="1:11" x14ac:dyDescent="0.25">
      <c r="A466" s="75"/>
      <c r="B466" s="65"/>
      <c r="C466" s="65"/>
      <c r="D466" s="428"/>
      <c r="E466" s="125"/>
      <c r="F466" s="126"/>
      <c r="G466" s="79"/>
      <c r="H466" s="79"/>
      <c r="I466" s="79"/>
      <c r="J466" s="127"/>
      <c r="K466" s="136"/>
    </row>
    <row r="467" spans="1:11" x14ac:dyDescent="0.25">
      <c r="A467" s="2" t="s">
        <v>1</v>
      </c>
      <c r="B467" s="21" t="s">
        <v>2</v>
      </c>
      <c r="C467" s="28" t="s">
        <v>3</v>
      </c>
      <c r="D467" s="2" t="s">
        <v>4</v>
      </c>
      <c r="E467" s="4" t="s">
        <v>5</v>
      </c>
      <c r="F467" s="3" t="s">
        <v>6</v>
      </c>
      <c r="G467" s="38" t="s">
        <v>61</v>
      </c>
      <c r="H467" s="39" t="s">
        <v>62</v>
      </c>
      <c r="I467" s="39" t="s">
        <v>63</v>
      </c>
      <c r="J467" s="69" t="s">
        <v>9</v>
      </c>
      <c r="K467" s="136"/>
    </row>
    <row r="468" spans="1:11" x14ac:dyDescent="0.25">
      <c r="A468" s="7" t="s">
        <v>170</v>
      </c>
      <c r="B468" s="23">
        <v>102235</v>
      </c>
      <c r="C468" s="29" t="s">
        <v>13</v>
      </c>
      <c r="D468" s="7" t="str">
        <f>ORÇAMENTO!D94</f>
        <v>DIVISÓRIA FIXA EM VIDRO TEMPERADO 10 MM, SEM ABERTURA. AF_10/2025_PS</v>
      </c>
      <c r="E468" s="140" t="s">
        <v>21</v>
      </c>
      <c r="F468" s="8"/>
      <c r="G468" s="53"/>
      <c r="H468" s="50"/>
      <c r="I468" s="53"/>
      <c r="J468" s="46"/>
      <c r="K468" s="136"/>
    </row>
    <row r="469" spans="1:11" x14ac:dyDescent="0.25">
      <c r="A469" s="10"/>
      <c r="B469" s="30"/>
      <c r="C469" s="30"/>
      <c r="D469" s="36"/>
      <c r="E469" s="12"/>
      <c r="F469" s="122"/>
      <c r="G469" s="44"/>
      <c r="H469" s="44"/>
      <c r="I469" s="44"/>
      <c r="J469" s="52">
        <f>I470+I471+I472+I473+I474</f>
        <v>15.261299999999999</v>
      </c>
      <c r="K469" s="136"/>
    </row>
    <row r="470" spans="1:11" x14ac:dyDescent="0.25">
      <c r="A470" s="75"/>
      <c r="B470" s="65"/>
      <c r="C470" s="65"/>
      <c r="D470" s="417" t="s">
        <v>570</v>
      </c>
      <c r="E470" s="418">
        <v>1</v>
      </c>
      <c r="F470" s="418">
        <v>4.3499999999999996</v>
      </c>
      <c r="G470" s="418">
        <v>3.3</v>
      </c>
      <c r="H470" s="418"/>
      <c r="I470" s="37">
        <f>E470*F470*G470</f>
        <v>14.354999999999999</v>
      </c>
      <c r="K470" s="136"/>
    </row>
    <row r="471" spans="1:11" x14ac:dyDescent="0.25">
      <c r="A471" s="75"/>
      <c r="B471" s="65"/>
      <c r="C471" s="65"/>
      <c r="D471" s="417" t="s">
        <v>571</v>
      </c>
      <c r="E471" s="418">
        <v>1</v>
      </c>
      <c r="F471" s="418">
        <v>2.65</v>
      </c>
      <c r="G471" s="418">
        <v>2.1</v>
      </c>
      <c r="H471" s="418"/>
      <c r="I471" s="37">
        <f>E471*F471*G471</f>
        <v>5.5650000000000004</v>
      </c>
      <c r="K471" s="136"/>
    </row>
    <row r="472" spans="1:11" x14ac:dyDescent="0.25">
      <c r="A472" s="75"/>
      <c r="B472" s="65"/>
      <c r="C472" s="65"/>
      <c r="D472" s="417" t="s">
        <v>572</v>
      </c>
      <c r="E472" s="418">
        <v>1</v>
      </c>
      <c r="F472" s="418">
        <v>1.21</v>
      </c>
      <c r="G472" s="418">
        <v>1.53</v>
      </c>
      <c r="H472" s="418"/>
      <c r="I472" s="37">
        <f>E472*F472*G472</f>
        <v>1.8512999999999999</v>
      </c>
      <c r="K472" s="136"/>
    </row>
    <row r="473" spans="1:11" x14ac:dyDescent="0.25">
      <c r="A473" s="75"/>
      <c r="B473" s="65"/>
      <c r="C473" s="65"/>
      <c r="D473" s="417" t="s">
        <v>573</v>
      </c>
      <c r="E473" s="418">
        <v>1</v>
      </c>
      <c r="F473" s="418">
        <v>1.5</v>
      </c>
      <c r="G473" s="418">
        <v>2.1</v>
      </c>
      <c r="H473" s="418">
        <v>-1</v>
      </c>
      <c r="I473" s="37">
        <f>E473*F473*G473*H473</f>
        <v>-3.1500000000000004</v>
      </c>
      <c r="K473" s="136"/>
    </row>
    <row r="474" spans="1:11" x14ac:dyDescent="0.25">
      <c r="A474" s="75"/>
      <c r="B474" s="65"/>
      <c r="C474" s="65"/>
      <c r="D474" s="417" t="s">
        <v>574</v>
      </c>
      <c r="E474" s="418">
        <v>1</v>
      </c>
      <c r="F474" s="418">
        <v>1.6</v>
      </c>
      <c r="G474" s="418">
        <v>2.1</v>
      </c>
      <c r="H474" s="418">
        <v>-1</v>
      </c>
      <c r="I474" s="37">
        <f>E474*F474*G474*H474</f>
        <v>-3.3600000000000003</v>
      </c>
      <c r="K474" s="136"/>
    </row>
    <row r="475" spans="1:11" x14ac:dyDescent="0.25">
      <c r="A475" s="75"/>
      <c r="B475" s="65"/>
      <c r="C475" s="65"/>
      <c r="D475" s="428"/>
      <c r="E475" s="125"/>
      <c r="F475" s="126"/>
      <c r="G475" s="79"/>
      <c r="H475" s="79"/>
      <c r="I475" s="79"/>
      <c r="J475" s="127"/>
      <c r="K475" s="136"/>
    </row>
    <row r="476" spans="1:11" x14ac:dyDescent="0.25">
      <c r="A476" s="5">
        <v>8</v>
      </c>
      <c r="B476" s="22"/>
      <c r="C476" s="22"/>
      <c r="D476" s="5" t="s">
        <v>566</v>
      </c>
      <c r="E476" s="5"/>
      <c r="F476" s="6"/>
      <c r="G476" s="40"/>
      <c r="H476" s="41"/>
      <c r="I476" s="42"/>
      <c r="J476" s="68"/>
      <c r="K476" s="136"/>
    </row>
    <row r="477" spans="1:11" x14ac:dyDescent="0.25">
      <c r="A477" s="2" t="s">
        <v>1</v>
      </c>
      <c r="B477" s="144" t="s">
        <v>2</v>
      </c>
      <c r="C477" s="28" t="s">
        <v>3</v>
      </c>
      <c r="D477" s="2" t="s">
        <v>4</v>
      </c>
      <c r="E477" s="4" t="s">
        <v>5</v>
      </c>
      <c r="F477" s="3" t="s">
        <v>6</v>
      </c>
      <c r="G477" s="38" t="s">
        <v>61</v>
      </c>
      <c r="H477" s="39" t="s">
        <v>62</v>
      </c>
      <c r="I477" s="39" t="s">
        <v>63</v>
      </c>
      <c r="J477" s="69" t="s">
        <v>9</v>
      </c>
      <c r="K477" s="136"/>
    </row>
    <row r="478" spans="1:11" ht="28.5" customHeight="1" x14ac:dyDescent="0.25">
      <c r="A478" s="7" t="s">
        <v>973</v>
      </c>
      <c r="B478" s="23">
        <f>ORÇAMENTO!B96</f>
        <v>103782</v>
      </c>
      <c r="C478" s="29" t="s">
        <v>13</v>
      </c>
      <c r="D478" s="7" t="str">
        <f>ORÇAMENTO!D96</f>
        <v>LUMINÁRIA TIPO PLAFON CIRCULAR, DE SOBREPOR, COM LED DE 12/13 W - FORNECIMENTO E INSTALAÇÃO. AF_09/2024</v>
      </c>
      <c r="E478" s="140" t="s">
        <v>14</v>
      </c>
      <c r="F478" s="8"/>
      <c r="G478" s="53"/>
      <c r="H478" s="50"/>
      <c r="I478" s="53"/>
      <c r="J478" s="46"/>
      <c r="K478" s="136" t="s">
        <v>106</v>
      </c>
    </row>
    <row r="479" spans="1:11" x14ac:dyDescent="0.25">
      <c r="A479" s="10"/>
      <c r="B479" s="30"/>
      <c r="C479" s="30"/>
      <c r="D479" s="36" t="s">
        <v>388</v>
      </c>
      <c r="E479" s="12"/>
      <c r="F479" s="122">
        <v>50</v>
      </c>
      <c r="G479" s="44"/>
      <c r="H479" s="44"/>
      <c r="I479" s="44"/>
      <c r="J479" s="52">
        <f>F479</f>
        <v>50</v>
      </c>
      <c r="K479" s="136"/>
    </row>
    <row r="480" spans="1:11" x14ac:dyDescent="0.25">
      <c r="A480" s="75"/>
      <c r="B480" s="65"/>
      <c r="C480" s="65"/>
      <c r="D480" s="124"/>
      <c r="E480" s="125"/>
      <c r="F480" s="126"/>
      <c r="G480" s="79"/>
      <c r="H480" s="79"/>
      <c r="I480" s="79"/>
      <c r="J480" s="127"/>
      <c r="K480" s="136"/>
    </row>
    <row r="481" spans="1:11" x14ac:dyDescent="0.25">
      <c r="A481" s="2" t="s">
        <v>1</v>
      </c>
      <c r="B481" s="144" t="s">
        <v>2</v>
      </c>
      <c r="C481" s="28" t="s">
        <v>3</v>
      </c>
      <c r="D481" s="2" t="s">
        <v>4</v>
      </c>
      <c r="E481" s="4" t="s">
        <v>5</v>
      </c>
      <c r="F481" s="3" t="s">
        <v>6</v>
      </c>
      <c r="G481" s="38" t="s">
        <v>61</v>
      </c>
      <c r="H481" s="39" t="s">
        <v>62</v>
      </c>
      <c r="I481" s="39" t="s">
        <v>63</v>
      </c>
      <c r="J481" s="69" t="s">
        <v>9</v>
      </c>
      <c r="K481" s="136"/>
    </row>
    <row r="482" spans="1:11" ht="44.25" customHeight="1" x14ac:dyDescent="0.25">
      <c r="A482" s="7" t="s">
        <v>974</v>
      </c>
      <c r="B482" s="23">
        <f>ORÇAMENTO!B97</f>
        <v>13148</v>
      </c>
      <c r="C482" s="29" t="s">
        <v>13</v>
      </c>
      <c r="D482" s="7" t="str">
        <f>ORÇAMENTO!D97</f>
        <v>REFLETOR SLIM LED 100W DE POTÊNCIA BRANCO FRIO, 6500K,  AUTOVOLT, MARCA G-LIGHT OU SIMILAR</v>
      </c>
      <c r="E482" s="140" t="s">
        <v>14</v>
      </c>
      <c r="F482" s="8"/>
      <c r="G482" s="53"/>
      <c r="H482" s="50"/>
      <c r="I482" s="53"/>
      <c r="J482" s="46"/>
      <c r="K482" s="136" t="s">
        <v>105</v>
      </c>
    </row>
    <row r="483" spans="1:11" x14ac:dyDescent="0.25">
      <c r="A483" s="10"/>
      <c r="B483" s="30"/>
      <c r="C483" s="30"/>
      <c r="D483" s="36" t="s">
        <v>388</v>
      </c>
      <c r="E483" s="12"/>
      <c r="F483" s="122">
        <v>11</v>
      </c>
      <c r="G483" s="44"/>
      <c r="H483" s="44"/>
      <c r="I483" s="44"/>
      <c r="J483" s="52">
        <f>F483</f>
        <v>11</v>
      </c>
      <c r="K483" s="136"/>
    </row>
    <row r="484" spans="1:11" x14ac:dyDescent="0.25">
      <c r="A484" s="75"/>
      <c r="B484" s="65"/>
      <c r="C484" s="65"/>
      <c r="D484" s="124"/>
      <c r="E484" s="125"/>
      <c r="F484" s="126"/>
      <c r="G484" s="79"/>
      <c r="H484" s="79"/>
      <c r="I484" s="79"/>
      <c r="J484" s="127"/>
      <c r="K484" s="136"/>
    </row>
    <row r="485" spans="1:11" x14ac:dyDescent="0.25">
      <c r="A485" s="2" t="s">
        <v>1</v>
      </c>
      <c r="B485" s="144" t="s">
        <v>2</v>
      </c>
      <c r="C485" s="28" t="s">
        <v>3</v>
      </c>
      <c r="D485" s="2" t="s">
        <v>4</v>
      </c>
      <c r="E485" s="4" t="s">
        <v>5</v>
      </c>
      <c r="F485" s="3" t="s">
        <v>6</v>
      </c>
      <c r="G485" s="38" t="s">
        <v>61</v>
      </c>
      <c r="H485" s="39" t="s">
        <v>62</v>
      </c>
      <c r="I485" s="39" t="s">
        <v>63</v>
      </c>
      <c r="J485" s="69" t="s">
        <v>9</v>
      </c>
      <c r="K485" s="136"/>
    </row>
    <row r="486" spans="1:11" ht="27.75" customHeight="1" x14ac:dyDescent="0.25">
      <c r="A486" s="7" t="s">
        <v>975</v>
      </c>
      <c r="B486" s="23">
        <f>ORÇAMENTO!B98</f>
        <v>97598</v>
      </c>
      <c r="C486" s="29" t="s">
        <v>13</v>
      </c>
      <c r="D486" s="7" t="str">
        <f>ORÇAMENTO!D98</f>
        <v>SENSOR DE PRESENÇA SEM FOTOCÉLULA, FIXAÇÃO EM TETO - FORNECIMENTO E INSTALAÇÃO. AF_09/2024</v>
      </c>
      <c r="E486" s="140" t="s">
        <v>14</v>
      </c>
      <c r="F486" s="8"/>
      <c r="G486" s="53"/>
      <c r="H486" s="50"/>
      <c r="I486" s="53"/>
      <c r="J486" s="46"/>
      <c r="K486" s="136" t="s">
        <v>109</v>
      </c>
    </row>
    <row r="487" spans="1:11" x14ac:dyDescent="0.25">
      <c r="A487" s="10"/>
      <c r="B487" s="30"/>
      <c r="C487" s="30"/>
      <c r="D487" s="36" t="s">
        <v>388</v>
      </c>
      <c r="E487" s="12"/>
      <c r="F487" s="122">
        <v>3</v>
      </c>
      <c r="G487" s="44"/>
      <c r="H487" s="44"/>
      <c r="I487" s="44"/>
      <c r="J487" s="52">
        <f>F487</f>
        <v>3</v>
      </c>
      <c r="K487" s="136" t="s">
        <v>898</v>
      </c>
    </row>
    <row r="488" spans="1:11" x14ac:dyDescent="0.25">
      <c r="A488" s="75"/>
      <c r="B488" s="65"/>
      <c r="C488" s="65"/>
      <c r="D488" s="124"/>
      <c r="E488" s="125"/>
      <c r="F488" s="126"/>
      <c r="G488" s="79"/>
      <c r="H488" s="79"/>
      <c r="I488" s="79"/>
      <c r="J488" s="127"/>
      <c r="K488" s="136"/>
    </row>
    <row r="489" spans="1:11" x14ac:dyDescent="0.25">
      <c r="A489" s="2" t="s">
        <v>1</v>
      </c>
      <c r="B489" s="144" t="s">
        <v>2</v>
      </c>
      <c r="C489" s="28" t="s">
        <v>3</v>
      </c>
      <c r="D489" s="2" t="s">
        <v>4</v>
      </c>
      <c r="E489" s="4" t="s">
        <v>5</v>
      </c>
      <c r="F489" s="3" t="s">
        <v>6</v>
      </c>
      <c r="G489" s="38" t="s">
        <v>61</v>
      </c>
      <c r="H489" s="39" t="s">
        <v>62</v>
      </c>
      <c r="I489" s="39" t="s">
        <v>63</v>
      </c>
      <c r="J489" s="69" t="s">
        <v>9</v>
      </c>
      <c r="K489" s="136"/>
    </row>
    <row r="490" spans="1:11" ht="32.25" customHeight="1" x14ac:dyDescent="0.25">
      <c r="A490" s="7" t="s">
        <v>976</v>
      </c>
      <c r="B490" s="23">
        <f>ORÇAMENTO!B99</f>
        <v>92000</v>
      </c>
      <c r="C490" s="29" t="s">
        <v>13</v>
      </c>
      <c r="D490" s="7" t="str">
        <f>ORÇAMENTO!D99</f>
        <v>TOMADA BAIXA DE EMBUTIR (1 MÓDULO), 2P+T 10 A, INCLUINDO SUPORTE E PLACA - FORNECIMENTO E INSTALAÇÃO. AF_03/2023</v>
      </c>
      <c r="E490" s="140" t="s">
        <v>14</v>
      </c>
      <c r="F490" s="8"/>
      <c r="G490" s="53"/>
      <c r="H490" s="50"/>
      <c r="I490" s="53"/>
      <c r="J490" s="46"/>
      <c r="K490" s="136"/>
    </row>
    <row r="491" spans="1:11" x14ac:dyDescent="0.25">
      <c r="A491" s="10"/>
      <c r="B491" s="30"/>
      <c r="C491" s="30"/>
      <c r="D491" s="36" t="s">
        <v>388</v>
      </c>
      <c r="E491" s="12"/>
      <c r="F491" s="122">
        <v>9</v>
      </c>
      <c r="G491" s="44"/>
      <c r="H491" s="44"/>
      <c r="I491" s="44"/>
      <c r="J491" s="52">
        <f>F491</f>
        <v>9</v>
      </c>
      <c r="K491" s="136" t="s">
        <v>899</v>
      </c>
    </row>
    <row r="492" spans="1:11" x14ac:dyDescent="0.25">
      <c r="A492" s="75"/>
      <c r="B492" s="65"/>
      <c r="C492" s="65"/>
      <c r="D492" s="124"/>
      <c r="E492" s="125"/>
      <c r="F492" s="126"/>
      <c r="G492" s="79"/>
      <c r="H492" s="79"/>
      <c r="I492" s="79"/>
      <c r="J492" s="127"/>
      <c r="K492" s="136"/>
    </row>
    <row r="493" spans="1:11" x14ac:dyDescent="0.25">
      <c r="A493" s="2" t="s">
        <v>1</v>
      </c>
      <c r="B493" s="144" t="s">
        <v>2</v>
      </c>
      <c r="C493" s="28" t="s">
        <v>3</v>
      </c>
      <c r="D493" s="2" t="s">
        <v>4</v>
      </c>
      <c r="E493" s="4" t="s">
        <v>5</v>
      </c>
      <c r="F493" s="3" t="s">
        <v>6</v>
      </c>
      <c r="G493" s="38" t="s">
        <v>61</v>
      </c>
      <c r="H493" s="39" t="s">
        <v>62</v>
      </c>
      <c r="I493" s="39" t="s">
        <v>63</v>
      </c>
      <c r="J493" s="69" t="s">
        <v>9</v>
      </c>
      <c r="K493" s="136"/>
    </row>
    <row r="494" spans="1:11" ht="27.75" customHeight="1" x14ac:dyDescent="0.25">
      <c r="A494" s="7" t="s">
        <v>977</v>
      </c>
      <c r="B494" s="23">
        <f>ORÇAMENTO!B100</f>
        <v>92009</v>
      </c>
      <c r="C494" s="29" t="s">
        <v>13</v>
      </c>
      <c r="D494" s="7" t="str">
        <f>ORÇAMENTO!D100</f>
        <v>TOMADA BAIXA DE EMBUTIR (2 MÓDULOS), 2P+T 20 A, INCLUINDO SUPORTE E PLACA - FORNECIMENTO E INSTALAÇÃO. AF_03/2023</v>
      </c>
      <c r="E494" s="140" t="s">
        <v>14</v>
      </c>
      <c r="F494" s="8"/>
      <c r="G494" s="53"/>
      <c r="H494" s="50"/>
      <c r="I494" s="53"/>
      <c r="J494" s="46"/>
      <c r="K494" s="136"/>
    </row>
    <row r="495" spans="1:11" x14ac:dyDescent="0.25">
      <c r="A495" s="10"/>
      <c r="B495" s="30"/>
      <c r="C495" s="30"/>
      <c r="D495" s="36" t="s">
        <v>388</v>
      </c>
      <c r="E495" s="12"/>
      <c r="F495" s="122">
        <v>2</v>
      </c>
      <c r="G495" s="44"/>
      <c r="H495" s="44"/>
      <c r="I495" s="44"/>
      <c r="J495" s="52">
        <f>F495</f>
        <v>2</v>
      </c>
      <c r="K495" s="136" t="s">
        <v>900</v>
      </c>
    </row>
    <row r="496" spans="1:11" x14ac:dyDescent="0.25">
      <c r="A496" s="64"/>
      <c r="B496" s="65"/>
      <c r="C496" s="65"/>
      <c r="D496" s="65"/>
      <c r="E496" s="65"/>
      <c r="F496" s="65"/>
      <c r="G496" s="65"/>
      <c r="H496" s="65"/>
      <c r="I496" s="65"/>
      <c r="J496" s="66"/>
      <c r="K496" s="136" t="s">
        <v>901</v>
      </c>
    </row>
    <row r="497" spans="1:11" s="9" customFormat="1" x14ac:dyDescent="0.25">
      <c r="A497" s="2" t="s">
        <v>1</v>
      </c>
      <c r="B497" s="21" t="s">
        <v>2</v>
      </c>
      <c r="C497" s="28" t="s">
        <v>3</v>
      </c>
      <c r="D497" s="2" t="s">
        <v>4</v>
      </c>
      <c r="E497" s="4" t="s">
        <v>5</v>
      </c>
      <c r="F497" s="3" t="s">
        <v>6</v>
      </c>
      <c r="G497" s="38" t="s">
        <v>61</v>
      </c>
      <c r="H497" s="39" t="s">
        <v>62</v>
      </c>
      <c r="I497" s="39" t="s">
        <v>63</v>
      </c>
      <c r="J497" s="69" t="s">
        <v>9</v>
      </c>
      <c r="K497" s="136"/>
    </row>
    <row r="498" spans="1:11" ht="26.25" customHeight="1" x14ac:dyDescent="0.25">
      <c r="A498" s="7" t="s">
        <v>900</v>
      </c>
      <c r="B498" s="23">
        <f>ORÇAMENTO!B101</f>
        <v>91996</v>
      </c>
      <c r="C498" s="23" t="s">
        <v>13</v>
      </c>
      <c r="D498" s="139" t="str">
        <f>ORÇAMENTO!D101</f>
        <v>TOMADA MÉDIA DE EMBUTIR (1 MÓDULO), 2P+T 10 A, INCLUINDO SUPORTE E PLACA - FORNECIMENTO E INSTALAÇÃO. AF_03/2023</v>
      </c>
      <c r="E498" s="140" t="s">
        <v>14</v>
      </c>
      <c r="F498" s="8"/>
      <c r="G498" s="53"/>
      <c r="H498" s="50"/>
      <c r="I498" s="53"/>
      <c r="J498" s="46"/>
      <c r="K498" s="136"/>
    </row>
    <row r="499" spans="1:11" x14ac:dyDescent="0.25">
      <c r="A499" s="10"/>
      <c r="B499" s="30"/>
      <c r="C499" s="30"/>
      <c r="D499" s="36" t="s">
        <v>388</v>
      </c>
      <c r="E499" s="12"/>
      <c r="F499" s="122">
        <v>34</v>
      </c>
      <c r="G499" s="44"/>
      <c r="H499" s="44"/>
      <c r="I499" s="44"/>
      <c r="J499" s="52">
        <f>F499</f>
        <v>34</v>
      </c>
      <c r="K499" s="136"/>
    </row>
    <row r="500" spans="1:11" x14ac:dyDescent="0.25">
      <c r="A500" s="64"/>
      <c r="B500" s="65"/>
      <c r="C500" s="65"/>
      <c r="D500" s="65"/>
      <c r="E500" s="65"/>
      <c r="F500" s="65"/>
      <c r="G500" s="65"/>
      <c r="H500" s="65"/>
      <c r="I500" s="65"/>
      <c r="J500" s="66"/>
      <c r="K500" s="136"/>
    </row>
    <row r="501" spans="1:11" x14ac:dyDescent="0.25">
      <c r="A501" s="2" t="s">
        <v>1</v>
      </c>
      <c r="B501" s="21" t="s">
        <v>2</v>
      </c>
      <c r="C501" s="28" t="s">
        <v>3</v>
      </c>
      <c r="D501" s="2" t="s">
        <v>4</v>
      </c>
      <c r="E501" s="4" t="s">
        <v>5</v>
      </c>
      <c r="F501" s="3" t="s">
        <v>6</v>
      </c>
      <c r="G501" s="38" t="s">
        <v>61</v>
      </c>
      <c r="H501" s="39" t="s">
        <v>62</v>
      </c>
      <c r="I501" s="39" t="s">
        <v>63</v>
      </c>
      <c r="J501" s="69" t="s">
        <v>9</v>
      </c>
      <c r="K501" s="136"/>
    </row>
    <row r="502" spans="1:11" s="9" customFormat="1" ht="28.5" customHeight="1" x14ac:dyDescent="0.25">
      <c r="A502" s="7" t="s">
        <v>901</v>
      </c>
      <c r="B502" s="23">
        <f>ORÇAMENTO!B102</f>
        <v>92004</v>
      </c>
      <c r="C502" s="23" t="s">
        <v>13</v>
      </c>
      <c r="D502" s="139" t="str">
        <f>ORÇAMENTO!D102</f>
        <v>TOMADA MÉDIA DE EMBUTIR (2 MÓDULOS), 2P+T 10 A, INCLUINDO SUPORTE E PLACA - FORNECIMENTO E INSTALAÇÃO. AF_03/2023</v>
      </c>
      <c r="E502" s="140" t="s">
        <v>14</v>
      </c>
      <c r="F502" s="8"/>
      <c r="G502" s="53"/>
      <c r="H502" s="50"/>
      <c r="I502" s="53"/>
      <c r="J502" s="46"/>
      <c r="K502" s="136"/>
    </row>
    <row r="503" spans="1:11" x14ac:dyDescent="0.25">
      <c r="A503" s="10"/>
      <c r="B503" s="30"/>
      <c r="C503" s="30"/>
      <c r="D503" s="36" t="s">
        <v>388</v>
      </c>
      <c r="E503" s="12"/>
      <c r="F503" s="122">
        <v>36</v>
      </c>
      <c r="G503" s="44"/>
      <c r="H503" s="44"/>
      <c r="I503" s="44"/>
      <c r="J503" s="52">
        <f>F503</f>
        <v>36</v>
      </c>
      <c r="K503" s="136"/>
    </row>
    <row r="504" spans="1:11" x14ac:dyDescent="0.25">
      <c r="A504" s="75"/>
      <c r="B504" s="65"/>
      <c r="C504" s="65"/>
      <c r="D504" s="124"/>
      <c r="E504" s="125"/>
      <c r="F504" s="126"/>
      <c r="G504" s="79"/>
      <c r="H504" s="79"/>
      <c r="I504" s="79"/>
      <c r="J504" s="127"/>
      <c r="K504" s="136"/>
    </row>
    <row r="505" spans="1:11" x14ac:dyDescent="0.25">
      <c r="A505" s="2" t="s">
        <v>1</v>
      </c>
      <c r="B505" s="21" t="s">
        <v>2</v>
      </c>
      <c r="C505" s="28" t="s">
        <v>3</v>
      </c>
      <c r="D505" s="2" t="s">
        <v>4</v>
      </c>
      <c r="E505" s="4" t="s">
        <v>5</v>
      </c>
      <c r="F505" s="3" t="s">
        <v>6</v>
      </c>
      <c r="G505" s="38" t="s">
        <v>61</v>
      </c>
      <c r="H505" s="39" t="s">
        <v>62</v>
      </c>
      <c r="I505" s="39" t="s">
        <v>63</v>
      </c>
      <c r="J505" s="69" t="s">
        <v>9</v>
      </c>
      <c r="K505" s="136"/>
    </row>
    <row r="506" spans="1:11" ht="28.5" customHeight="1" x14ac:dyDescent="0.25">
      <c r="A506" s="7" t="s">
        <v>902</v>
      </c>
      <c r="B506" s="23">
        <f>ORÇAMENTO!B103</f>
        <v>91953</v>
      </c>
      <c r="C506" s="23" t="s">
        <v>13</v>
      </c>
      <c r="D506" s="139" t="str">
        <f>ORÇAMENTO!D103</f>
        <v>INTERRUPTOR SIMPLES (1 MÓDULO), 10A/250V, INCLUINDO SUPORTE E PLACA - FORNECIMENTO E INSTALAÇÃO. AF_03/2023</v>
      </c>
      <c r="E506" s="140" t="s">
        <v>14</v>
      </c>
      <c r="F506" s="8"/>
      <c r="G506" s="53"/>
      <c r="H506" s="50"/>
      <c r="I506" s="53"/>
      <c r="J506" s="46"/>
      <c r="K506" s="136"/>
    </row>
    <row r="507" spans="1:11" x14ac:dyDescent="0.25">
      <c r="A507" s="10"/>
      <c r="B507" s="30"/>
      <c r="C507" s="30"/>
      <c r="D507" s="36" t="s">
        <v>388</v>
      </c>
      <c r="E507" s="12"/>
      <c r="F507" s="122">
        <v>24</v>
      </c>
      <c r="G507" s="44"/>
      <c r="H507" s="44"/>
      <c r="I507" s="44"/>
      <c r="J507" s="52">
        <f>F507</f>
        <v>24</v>
      </c>
      <c r="K507" s="136"/>
    </row>
    <row r="508" spans="1:11" x14ac:dyDescent="0.25">
      <c r="A508" s="75"/>
      <c r="B508" s="65"/>
      <c r="C508" s="65"/>
      <c r="D508" s="124"/>
      <c r="E508" s="125"/>
      <c r="F508" s="126"/>
      <c r="G508" s="79"/>
      <c r="H508" s="79"/>
      <c r="I508" s="79"/>
      <c r="J508" s="127"/>
      <c r="K508" s="136"/>
    </row>
    <row r="509" spans="1:11" x14ac:dyDescent="0.25">
      <c r="A509" s="2" t="s">
        <v>1</v>
      </c>
      <c r="B509" s="21" t="s">
        <v>2</v>
      </c>
      <c r="C509" s="28" t="s">
        <v>3</v>
      </c>
      <c r="D509" s="2" t="s">
        <v>4</v>
      </c>
      <c r="E509" s="4" t="s">
        <v>5</v>
      </c>
      <c r="F509" s="3" t="s">
        <v>6</v>
      </c>
      <c r="G509" s="38" t="s">
        <v>61</v>
      </c>
      <c r="H509" s="39" t="s">
        <v>62</v>
      </c>
      <c r="I509" s="39" t="s">
        <v>63</v>
      </c>
      <c r="J509" s="69" t="s">
        <v>9</v>
      </c>
      <c r="K509" s="136"/>
    </row>
    <row r="510" spans="1:11" ht="29.25" customHeight="1" x14ac:dyDescent="0.25">
      <c r="A510" s="7" t="s">
        <v>903</v>
      </c>
      <c r="B510" s="23">
        <f>ORÇAMENTO!B104</f>
        <v>92023</v>
      </c>
      <c r="C510" s="23" t="s">
        <v>13</v>
      </c>
      <c r="D510" s="139" t="str">
        <f>ORÇAMENTO!D104</f>
        <v>INTERRUPTOR SIMPLES (1 MÓDULO) COM 1 TOMADA DE EMBUTIR 2P+T 10 A, INCLUINDO SUPORTE E PLACA - FORNECIMENTO E INSTALAÇÃO. AF_03/2023</v>
      </c>
      <c r="E510" s="140" t="s">
        <v>14</v>
      </c>
      <c r="F510" s="8"/>
      <c r="G510" s="53"/>
      <c r="H510" s="50"/>
      <c r="I510" s="53"/>
      <c r="J510" s="46"/>
      <c r="K510" s="136"/>
    </row>
    <row r="511" spans="1:11" x14ac:dyDescent="0.25">
      <c r="A511" s="10"/>
      <c r="B511" s="30"/>
      <c r="C511" s="30"/>
      <c r="D511" s="36" t="s">
        <v>388</v>
      </c>
      <c r="E511" s="12"/>
      <c r="F511" s="122">
        <v>5</v>
      </c>
      <c r="G511" s="44"/>
      <c r="H511" s="44"/>
      <c r="I511" s="44"/>
      <c r="J511" s="52">
        <f>F511</f>
        <v>5</v>
      </c>
      <c r="K511" s="136"/>
    </row>
    <row r="512" spans="1:11" x14ac:dyDescent="0.25">
      <c r="A512" s="75"/>
      <c r="B512" s="65"/>
      <c r="C512" s="65"/>
      <c r="D512" s="124"/>
      <c r="E512" s="125"/>
      <c r="F512" s="126"/>
      <c r="G512" s="79"/>
      <c r="H512" s="79"/>
      <c r="I512" s="79"/>
      <c r="J512" s="127"/>
      <c r="K512" s="136"/>
    </row>
    <row r="513" spans="1:11" x14ac:dyDescent="0.25">
      <c r="A513" s="2" t="s">
        <v>1</v>
      </c>
      <c r="B513" s="21" t="s">
        <v>2</v>
      </c>
      <c r="C513" s="28" t="s">
        <v>3</v>
      </c>
      <c r="D513" s="2" t="s">
        <v>4</v>
      </c>
      <c r="E513" s="4" t="s">
        <v>5</v>
      </c>
      <c r="F513" s="3" t="s">
        <v>6</v>
      </c>
      <c r="G513" s="38" t="s">
        <v>61</v>
      </c>
      <c r="H513" s="39" t="s">
        <v>62</v>
      </c>
      <c r="I513" s="39" t="s">
        <v>63</v>
      </c>
      <c r="J513" s="69" t="s">
        <v>9</v>
      </c>
      <c r="K513" s="136"/>
    </row>
    <row r="514" spans="1:11" ht="33" customHeight="1" x14ac:dyDescent="0.25">
      <c r="A514" s="7" t="s">
        <v>904</v>
      </c>
      <c r="B514" s="23">
        <f>ORÇAMENTO!B105</f>
        <v>92025</v>
      </c>
      <c r="C514" s="23" t="s">
        <v>13</v>
      </c>
      <c r="D514" s="139" t="str">
        <f>ORÇAMENTO!D105</f>
        <v>INTERRUPTOR SIMPLES (1 MÓDULO) COM 2 TOMADAS DE EMBUTIR 2P+T 10 A, INCLUINDO SUPORTE E PLACA - FORNECIMENTO E INSTALAÇÃO. AF_03/2023</v>
      </c>
      <c r="E514" s="140" t="s">
        <v>14</v>
      </c>
      <c r="F514" s="8"/>
      <c r="G514" s="53"/>
      <c r="H514" s="50"/>
      <c r="I514" s="53"/>
      <c r="J514" s="46"/>
      <c r="K514" s="136"/>
    </row>
    <row r="515" spans="1:11" x14ac:dyDescent="0.25">
      <c r="A515" s="10"/>
      <c r="B515" s="30"/>
      <c r="C515" s="30"/>
      <c r="D515" s="36" t="s">
        <v>388</v>
      </c>
      <c r="E515" s="12"/>
      <c r="F515" s="122">
        <v>1</v>
      </c>
      <c r="G515" s="44"/>
      <c r="H515" s="44"/>
      <c r="I515" s="44"/>
      <c r="J515" s="52">
        <f>F515</f>
        <v>1</v>
      </c>
      <c r="K515" s="136"/>
    </row>
    <row r="516" spans="1:11" x14ac:dyDescent="0.25">
      <c r="A516" s="75"/>
      <c r="B516" s="65"/>
      <c r="C516" s="65"/>
      <c r="D516" s="124"/>
      <c r="E516" s="125"/>
      <c r="F516" s="126"/>
      <c r="G516" s="79"/>
      <c r="H516" s="79"/>
      <c r="I516" s="79"/>
      <c r="J516" s="127"/>
      <c r="K516" s="136"/>
    </row>
    <row r="517" spans="1:11" x14ac:dyDescent="0.25">
      <c r="A517" s="2" t="s">
        <v>1</v>
      </c>
      <c r="B517" s="21" t="s">
        <v>2</v>
      </c>
      <c r="C517" s="28" t="s">
        <v>3</v>
      </c>
      <c r="D517" s="2" t="s">
        <v>4</v>
      </c>
      <c r="E517" s="4" t="s">
        <v>5</v>
      </c>
      <c r="F517" s="3" t="s">
        <v>6</v>
      </c>
      <c r="G517" s="38" t="s">
        <v>61</v>
      </c>
      <c r="H517" s="39" t="s">
        <v>62</v>
      </c>
      <c r="I517" s="39" t="s">
        <v>63</v>
      </c>
      <c r="J517" s="69" t="s">
        <v>9</v>
      </c>
      <c r="K517" s="136"/>
    </row>
    <row r="518" spans="1:11" ht="26.4" x14ac:dyDescent="0.25">
      <c r="A518" s="7" t="s">
        <v>905</v>
      </c>
      <c r="B518" s="23">
        <f>ORÇAMENTO!B106</f>
        <v>91854</v>
      </c>
      <c r="C518" s="23" t="s">
        <v>13</v>
      </c>
      <c r="D518" s="145" t="str">
        <f>ORÇAMENTO!D106</f>
        <v>ELETRODUTO FLEXÍVEL CORRUGADO, PVC, DN 25 MM (3/4"), PARA CIRCUITOS TERMINAIS, INSTALADO EM PAREDE - FORNECIMENTO E INSTALAÇÃO. AF_03/2023</v>
      </c>
      <c r="E518" s="140" t="s">
        <v>16</v>
      </c>
      <c r="F518" s="8"/>
      <c r="G518" s="53"/>
      <c r="H518" s="50"/>
      <c r="I518" s="53"/>
      <c r="J518" s="46"/>
      <c r="K518" s="136"/>
    </row>
    <row r="519" spans="1:11" x14ac:dyDescent="0.25">
      <c r="A519" s="10"/>
      <c r="B519" s="30"/>
      <c r="C519" s="30"/>
      <c r="D519" s="36" t="s">
        <v>388</v>
      </c>
      <c r="E519" s="12"/>
      <c r="F519" s="122">
        <v>763.31</v>
      </c>
      <c r="G519" s="44"/>
      <c r="H519" s="44"/>
      <c r="I519" s="44"/>
      <c r="J519" s="52">
        <f>F519</f>
        <v>763.31</v>
      </c>
      <c r="K519" s="136"/>
    </row>
    <row r="520" spans="1:11" x14ac:dyDescent="0.25">
      <c r="A520" s="75"/>
      <c r="B520" s="65"/>
      <c r="C520" s="65"/>
      <c r="D520" s="124"/>
      <c r="E520" s="125"/>
      <c r="F520" s="126"/>
      <c r="G520" s="79"/>
      <c r="H520" s="79"/>
      <c r="I520" s="79"/>
      <c r="J520" s="127"/>
      <c r="K520" s="136"/>
    </row>
    <row r="521" spans="1:11" x14ac:dyDescent="0.25">
      <c r="A521" s="2" t="s">
        <v>1</v>
      </c>
      <c r="B521" s="21" t="s">
        <v>2</v>
      </c>
      <c r="C521" s="28" t="s">
        <v>3</v>
      </c>
      <c r="D521" s="2" t="s">
        <v>4</v>
      </c>
      <c r="E521" s="4" t="s">
        <v>5</v>
      </c>
      <c r="F521" s="3" t="s">
        <v>6</v>
      </c>
      <c r="G521" s="38" t="s">
        <v>61</v>
      </c>
      <c r="H521" s="39" t="s">
        <v>62</v>
      </c>
      <c r="I521" s="39" t="s">
        <v>63</v>
      </c>
      <c r="J521" s="69" t="s">
        <v>9</v>
      </c>
      <c r="K521" s="136"/>
    </row>
    <row r="522" spans="1:11" ht="27.75" customHeight="1" x14ac:dyDescent="0.25">
      <c r="A522" s="7" t="s">
        <v>906</v>
      </c>
      <c r="B522" s="23">
        <f>ORÇAMENTO!B107</f>
        <v>91856</v>
      </c>
      <c r="C522" s="23" t="s">
        <v>13</v>
      </c>
      <c r="D522" s="139" t="str">
        <f>ORÇAMENTO!D107</f>
        <v>ELETRODUTO FLEXÍVEL CORRUGADO, PVC, DN 32 MM (1"), PARA CIRCUITOS TERMINAIS, INSTALADO EM PAREDE - FORNECIMENTO E INSTALAÇÃO. AF_03/2023</v>
      </c>
      <c r="E522" s="140" t="s">
        <v>16</v>
      </c>
      <c r="F522" s="8"/>
      <c r="G522" s="53"/>
      <c r="H522" s="50"/>
      <c r="I522" s="53"/>
      <c r="J522" s="46"/>
      <c r="K522" s="136"/>
    </row>
    <row r="523" spans="1:11" x14ac:dyDescent="0.25">
      <c r="A523" s="10"/>
      <c r="B523" s="30"/>
      <c r="C523" s="30"/>
      <c r="D523" s="36" t="s">
        <v>388</v>
      </c>
      <c r="E523" s="12"/>
      <c r="F523" s="122">
        <v>15</v>
      </c>
      <c r="G523" s="44"/>
      <c r="H523" s="44"/>
      <c r="I523" s="44"/>
      <c r="J523" s="52">
        <f>F523</f>
        <v>15</v>
      </c>
      <c r="K523" s="136"/>
    </row>
    <row r="524" spans="1:11" x14ac:dyDescent="0.25">
      <c r="A524" s="75"/>
      <c r="B524" s="65"/>
      <c r="C524" s="65"/>
      <c r="D524" s="124"/>
      <c r="E524" s="125"/>
      <c r="F524" s="126"/>
      <c r="G524" s="79"/>
      <c r="H524" s="79"/>
      <c r="I524" s="79"/>
      <c r="J524" s="127"/>
      <c r="K524" s="136"/>
    </row>
    <row r="525" spans="1:11" x14ac:dyDescent="0.25">
      <c r="A525" s="2" t="s">
        <v>1</v>
      </c>
      <c r="B525" s="21" t="s">
        <v>2</v>
      </c>
      <c r="C525" s="28" t="s">
        <v>3</v>
      </c>
      <c r="D525" s="2" t="s">
        <v>4</v>
      </c>
      <c r="E525" s="4" t="s">
        <v>5</v>
      </c>
      <c r="F525" s="3" t="s">
        <v>6</v>
      </c>
      <c r="G525" s="38" t="s">
        <v>61</v>
      </c>
      <c r="H525" s="39" t="s">
        <v>62</v>
      </c>
      <c r="I525" s="39" t="s">
        <v>63</v>
      </c>
      <c r="J525" s="69" t="s">
        <v>9</v>
      </c>
      <c r="K525" s="136"/>
    </row>
    <row r="526" spans="1:11" ht="31.5" customHeight="1" x14ac:dyDescent="0.25">
      <c r="A526" s="7" t="s">
        <v>907</v>
      </c>
      <c r="B526" s="23">
        <f>ORÇAMENTO!B108</f>
        <v>97667</v>
      </c>
      <c r="C526" s="23" t="s">
        <v>13</v>
      </c>
      <c r="D526" s="139" t="str">
        <f>ORÇAMENTO!D108</f>
        <v>ELETRODUTO FLEXÍVEL CORRUGADO, PEAD, DN 50 (1 1/2"), PARA REDE ENTERRADA DE DISTRIBUIÇÃO DE ENERGIA ELÉTRICA - FORNECIMENTO E INSTALAÇÃO. AF_12/2021</v>
      </c>
      <c r="E526" s="140" t="s">
        <v>16</v>
      </c>
      <c r="F526" s="8"/>
      <c r="G526" s="53"/>
      <c r="H526" s="50"/>
      <c r="I526" s="53"/>
      <c r="J526" s="46"/>
      <c r="K526" s="136"/>
    </row>
    <row r="527" spans="1:11" x14ac:dyDescent="0.25">
      <c r="A527" s="10"/>
      <c r="B527" s="30"/>
      <c r="C527" s="30"/>
      <c r="D527" s="36" t="s">
        <v>388</v>
      </c>
      <c r="E527" s="12"/>
      <c r="F527" s="122">
        <v>90</v>
      </c>
      <c r="G527" s="44"/>
      <c r="H527" s="44"/>
      <c r="I527" s="44"/>
      <c r="J527" s="52">
        <f>F527</f>
        <v>90</v>
      </c>
      <c r="K527" s="136"/>
    </row>
    <row r="528" spans="1:11" x14ac:dyDescent="0.25">
      <c r="A528" s="75"/>
      <c r="B528" s="65"/>
      <c r="C528" s="65"/>
      <c r="D528" s="124"/>
      <c r="E528" s="125"/>
      <c r="F528" s="126"/>
      <c r="G528" s="79"/>
      <c r="H528" s="79"/>
      <c r="I528" s="79"/>
      <c r="J528" s="127"/>
      <c r="K528" s="136"/>
    </row>
    <row r="529" spans="1:11" x14ac:dyDescent="0.25">
      <c r="A529" s="2" t="s">
        <v>1</v>
      </c>
      <c r="B529" s="21" t="s">
        <v>2</v>
      </c>
      <c r="C529" s="28" t="s">
        <v>3</v>
      </c>
      <c r="D529" s="2" t="s">
        <v>4</v>
      </c>
      <c r="E529" s="4" t="s">
        <v>5</v>
      </c>
      <c r="F529" s="3" t="s">
        <v>6</v>
      </c>
      <c r="G529" s="38" t="s">
        <v>61</v>
      </c>
      <c r="H529" s="39" t="s">
        <v>62</v>
      </c>
      <c r="I529" s="39" t="s">
        <v>63</v>
      </c>
      <c r="J529" s="69" t="s">
        <v>9</v>
      </c>
      <c r="K529" s="136"/>
    </row>
    <row r="530" spans="1:11" ht="27" customHeight="1" x14ac:dyDescent="0.25">
      <c r="A530" s="7" t="s">
        <v>908</v>
      </c>
      <c r="B530" s="23">
        <f>ORÇAMENTO!B109</f>
        <v>91926</v>
      </c>
      <c r="C530" s="23" t="s">
        <v>13</v>
      </c>
      <c r="D530" s="139" t="str">
        <f>ORÇAMENTO!D109</f>
        <v>CABO DE COBRE FLEXÍVEL ISOLADO, 2,5 MM², ANTI-CHAMA 450/750 V, PARA CIRCUITOS TERMINAIS - FORNECIMENTO E INSTALAÇÃO. AF_03/2023</v>
      </c>
      <c r="E530" s="140" t="s">
        <v>16</v>
      </c>
      <c r="F530" s="8"/>
      <c r="G530" s="53"/>
      <c r="H530" s="50"/>
      <c r="I530" s="53"/>
      <c r="J530" s="46"/>
      <c r="K530" s="136"/>
    </row>
    <row r="531" spans="1:11" x14ac:dyDescent="0.25">
      <c r="A531" s="10"/>
      <c r="B531" s="30"/>
      <c r="C531" s="30"/>
      <c r="D531" s="235" t="s">
        <v>388</v>
      </c>
      <c r="E531" s="12"/>
      <c r="F531" s="122">
        <v>3256.14</v>
      </c>
      <c r="G531" s="44"/>
      <c r="H531" s="44"/>
      <c r="I531" s="44"/>
      <c r="J531" s="52"/>
      <c r="K531" s="136"/>
    </row>
    <row r="532" spans="1:11" x14ac:dyDescent="0.25">
      <c r="A532" s="75"/>
      <c r="B532" s="65"/>
      <c r="C532" s="65"/>
      <c r="D532" s="234"/>
      <c r="E532" s="125"/>
      <c r="F532" s="146"/>
      <c r="G532" s="79"/>
      <c r="H532" s="79"/>
      <c r="I532" s="79"/>
      <c r="J532" s="127"/>
      <c r="K532" s="136"/>
    </row>
    <row r="533" spans="1:11" x14ac:dyDescent="0.25">
      <c r="A533" s="75"/>
      <c r="B533" s="65"/>
      <c r="C533" s="65"/>
      <c r="D533" s="124"/>
      <c r="E533" s="125"/>
      <c r="F533" s="126"/>
      <c r="G533" s="79"/>
      <c r="H533" s="79"/>
      <c r="I533" s="79"/>
      <c r="J533" s="127">
        <f>SUM(F531:F532)</f>
        <v>3256.14</v>
      </c>
      <c r="K533" s="136"/>
    </row>
    <row r="534" spans="1:11" x14ac:dyDescent="0.25">
      <c r="A534" s="75"/>
      <c r="B534" s="65"/>
      <c r="C534" s="65"/>
      <c r="D534" s="124"/>
      <c r="E534" s="125"/>
      <c r="F534" s="126"/>
      <c r="G534" s="79"/>
      <c r="H534" s="79"/>
      <c r="I534" s="79"/>
      <c r="J534" s="127"/>
      <c r="K534" s="136"/>
    </row>
    <row r="535" spans="1:11" x14ac:dyDescent="0.25">
      <c r="A535" s="2" t="s">
        <v>1</v>
      </c>
      <c r="B535" s="21" t="s">
        <v>2</v>
      </c>
      <c r="C535" s="28" t="s">
        <v>3</v>
      </c>
      <c r="D535" s="2" t="s">
        <v>4</v>
      </c>
      <c r="E535" s="4" t="s">
        <v>5</v>
      </c>
      <c r="F535" s="3" t="s">
        <v>6</v>
      </c>
      <c r="G535" s="38" t="s">
        <v>61</v>
      </c>
      <c r="H535" s="39" t="s">
        <v>62</v>
      </c>
      <c r="I535" s="39" t="s">
        <v>63</v>
      </c>
      <c r="J535" s="69" t="s">
        <v>9</v>
      </c>
      <c r="K535" s="136"/>
    </row>
    <row r="536" spans="1:11" ht="28.5" customHeight="1" x14ac:dyDescent="0.25">
      <c r="A536" s="7" t="s">
        <v>909</v>
      </c>
      <c r="B536" s="23">
        <f>ORÇAMENTO!B110</f>
        <v>91935</v>
      </c>
      <c r="C536" s="23" t="s">
        <v>13</v>
      </c>
      <c r="D536" s="139" t="str">
        <f>ORÇAMENTO!D110</f>
        <v>CABO DE COBRE FLEXÍVEL ISOLADO, 16 MM², ANTI-CHAMA 0,6/1,0 KV, PARA CIRCUITOS TERMINAIS - FORNECIMENTO E INSTALAÇÃO. AF_03/2023</v>
      </c>
      <c r="E536" s="140" t="s">
        <v>16</v>
      </c>
      <c r="F536" s="8"/>
      <c r="G536" s="53"/>
      <c r="H536" s="50"/>
      <c r="I536" s="53"/>
      <c r="J536" s="46"/>
      <c r="K536" s="136"/>
    </row>
    <row r="537" spans="1:11" x14ac:dyDescent="0.25">
      <c r="A537" s="10"/>
      <c r="B537" s="30"/>
      <c r="C537" s="30"/>
      <c r="D537" s="235" t="s">
        <v>389</v>
      </c>
      <c r="E537" s="12"/>
      <c r="F537" s="122">
        <v>40</v>
      </c>
      <c r="G537" s="44"/>
      <c r="H537" s="44"/>
      <c r="I537" s="44"/>
      <c r="J537" s="52"/>
      <c r="K537" s="136"/>
    </row>
    <row r="538" spans="1:11" x14ac:dyDescent="0.25">
      <c r="A538" s="75"/>
      <c r="B538" s="65"/>
      <c r="C538" s="65"/>
      <c r="D538" s="234"/>
      <c r="E538" s="125"/>
      <c r="F538" s="146"/>
      <c r="G538" s="79"/>
      <c r="H538" s="79"/>
      <c r="I538" s="79"/>
      <c r="J538" s="127"/>
      <c r="K538" s="136"/>
    </row>
    <row r="539" spans="1:11" x14ac:dyDescent="0.25">
      <c r="A539" s="75"/>
      <c r="B539" s="65"/>
      <c r="C539" s="65"/>
      <c r="D539" s="234"/>
      <c r="E539" s="125"/>
      <c r="F539" s="146"/>
      <c r="G539" s="79"/>
      <c r="H539" s="79"/>
      <c r="I539" s="79"/>
      <c r="J539" s="127"/>
      <c r="K539" s="136"/>
    </row>
    <row r="540" spans="1:11" x14ac:dyDescent="0.25">
      <c r="A540" s="75"/>
      <c r="B540" s="65"/>
      <c r="C540" s="65"/>
      <c r="D540" s="124"/>
      <c r="E540" s="125"/>
      <c r="F540" s="146"/>
      <c r="G540" s="79"/>
      <c r="H540" s="79"/>
      <c r="I540" s="79"/>
      <c r="J540" s="127">
        <f>F537+F538+F539</f>
        <v>40</v>
      </c>
      <c r="K540" s="136"/>
    </row>
    <row r="541" spans="1:11" x14ac:dyDescent="0.25">
      <c r="A541" s="75"/>
      <c r="B541" s="65"/>
      <c r="C541" s="65"/>
      <c r="D541" s="124"/>
      <c r="E541" s="125"/>
      <c r="F541" s="126"/>
      <c r="G541" s="79"/>
      <c r="H541" s="79"/>
      <c r="I541" s="79"/>
      <c r="J541" s="127"/>
      <c r="K541" s="136"/>
    </row>
    <row r="542" spans="1:11" x14ac:dyDescent="0.25">
      <c r="A542" s="2" t="s">
        <v>1</v>
      </c>
      <c r="B542" s="21" t="s">
        <v>2</v>
      </c>
      <c r="C542" s="28" t="s">
        <v>3</v>
      </c>
      <c r="D542" s="2" t="s">
        <v>4</v>
      </c>
      <c r="E542" s="4" t="s">
        <v>5</v>
      </c>
      <c r="F542" s="3" t="s">
        <v>6</v>
      </c>
      <c r="G542" s="38" t="s">
        <v>61</v>
      </c>
      <c r="H542" s="39" t="s">
        <v>62</v>
      </c>
      <c r="I542" s="39" t="s">
        <v>63</v>
      </c>
      <c r="J542" s="69" t="s">
        <v>9</v>
      </c>
      <c r="K542" s="136"/>
    </row>
    <row r="543" spans="1:11" ht="31.5" customHeight="1" x14ac:dyDescent="0.25">
      <c r="A543" s="7" t="s">
        <v>910</v>
      </c>
      <c r="B543" s="23">
        <f>ORÇAMENTO!B111</f>
        <v>91936</v>
      </c>
      <c r="C543" s="23" t="s">
        <v>13</v>
      </c>
      <c r="D543" s="139" t="str">
        <f>ORÇAMENTO!D111</f>
        <v>CAIXA OCTOGONAL 4" X 4", PVC, INSTALADA EM LAJE - FORNECIMENTO E INSTALAÇÃO. AF_03/2023</v>
      </c>
      <c r="E543" s="140" t="s">
        <v>14</v>
      </c>
      <c r="F543" s="8"/>
      <c r="G543" s="53"/>
      <c r="H543" s="50"/>
      <c r="I543" s="53"/>
      <c r="J543" s="46"/>
      <c r="K543" s="136"/>
    </row>
    <row r="544" spans="1:11" x14ac:dyDescent="0.25">
      <c r="A544" s="10"/>
      <c r="B544" s="30"/>
      <c r="C544" s="30"/>
      <c r="D544" s="36" t="s">
        <v>388</v>
      </c>
      <c r="E544" s="12"/>
      <c r="F544" s="122">
        <v>54</v>
      </c>
      <c r="G544" s="44"/>
      <c r="H544" s="44"/>
      <c r="I544" s="44"/>
      <c r="J544" s="52">
        <f>F544</f>
        <v>54</v>
      </c>
      <c r="K544" s="136"/>
    </row>
    <row r="545" spans="1:11" x14ac:dyDescent="0.25">
      <c r="A545" s="75"/>
      <c r="B545" s="65"/>
      <c r="C545" s="65"/>
      <c r="D545" s="124"/>
      <c r="E545" s="125"/>
      <c r="F545" s="126"/>
      <c r="G545" s="79"/>
      <c r="H545" s="79"/>
      <c r="I545" s="79"/>
      <c r="J545" s="127"/>
      <c r="K545" s="136"/>
    </row>
    <row r="546" spans="1:11" x14ac:dyDescent="0.25">
      <c r="A546" s="2" t="s">
        <v>1</v>
      </c>
      <c r="B546" s="21" t="s">
        <v>2</v>
      </c>
      <c r="C546" s="28" t="s">
        <v>3</v>
      </c>
      <c r="D546" s="2" t="s">
        <v>4</v>
      </c>
      <c r="E546" s="4" t="s">
        <v>5</v>
      </c>
      <c r="F546" s="3" t="s">
        <v>6</v>
      </c>
      <c r="G546" s="38" t="s">
        <v>61</v>
      </c>
      <c r="H546" s="39" t="s">
        <v>62</v>
      </c>
      <c r="I546" s="39" t="s">
        <v>63</v>
      </c>
      <c r="J546" s="69" t="s">
        <v>9</v>
      </c>
      <c r="K546" s="136"/>
    </row>
    <row r="547" spans="1:11" ht="31.5" customHeight="1" x14ac:dyDescent="0.25">
      <c r="A547" s="7" t="s">
        <v>911</v>
      </c>
      <c r="B547" s="23">
        <f>ORÇAMENTO!B112</f>
        <v>91940</v>
      </c>
      <c r="C547" s="23" t="s">
        <v>13</v>
      </c>
      <c r="D547" s="139" t="str">
        <f>ORÇAMENTO!D112</f>
        <v>CAIXA RETANGULAR 4" X 2" MÉDIA (1,30 M DO PISO), PVC, INSTALADA EM PAREDE - FORNECIMENTO E INSTALAÇÃO. AF_03/2023</v>
      </c>
      <c r="E547" s="140" t="s">
        <v>14</v>
      </c>
      <c r="F547" s="8"/>
      <c r="G547" s="53"/>
      <c r="H547" s="50"/>
      <c r="I547" s="53"/>
      <c r="J547" s="46"/>
      <c r="K547" s="136"/>
    </row>
    <row r="548" spans="1:11" x14ac:dyDescent="0.25">
      <c r="A548" s="10"/>
      <c r="B548" s="30"/>
      <c r="C548" s="30"/>
      <c r="D548" s="36" t="s">
        <v>388</v>
      </c>
      <c r="E548" s="12"/>
      <c r="F548" s="122">
        <f>F549+F550+F551+F552+F553</f>
        <v>109</v>
      </c>
      <c r="G548" s="44"/>
      <c r="H548" s="44"/>
      <c r="I548" s="44"/>
      <c r="J548" s="52">
        <f>F548</f>
        <v>109</v>
      </c>
      <c r="K548" s="136"/>
    </row>
    <row r="549" spans="1:11" x14ac:dyDescent="0.25">
      <c r="A549" s="75"/>
      <c r="B549" s="65"/>
      <c r="C549" s="65"/>
      <c r="D549" s="417" t="s">
        <v>575</v>
      </c>
      <c r="E549" s="416"/>
      <c r="F549" s="418">
        <v>34</v>
      </c>
      <c r="G549" s="79"/>
      <c r="H549" s="79"/>
      <c r="I549" s="79"/>
      <c r="J549" s="127"/>
      <c r="K549" s="136"/>
    </row>
    <row r="550" spans="1:11" x14ac:dyDescent="0.25">
      <c r="A550" s="75"/>
      <c r="B550" s="65"/>
      <c r="C550" s="65"/>
      <c r="D550" s="417" t="s">
        <v>576</v>
      </c>
      <c r="E550" s="416"/>
      <c r="F550" s="418">
        <v>36</v>
      </c>
      <c r="G550" s="79"/>
      <c r="H550" s="79"/>
      <c r="I550" s="79"/>
      <c r="J550" s="127"/>
      <c r="K550" s="136"/>
    </row>
    <row r="551" spans="1:11" x14ac:dyDescent="0.25">
      <c r="A551" s="75"/>
      <c r="B551" s="65"/>
      <c r="C551" s="65"/>
      <c r="D551" s="417" t="s">
        <v>577</v>
      </c>
      <c r="E551" s="416"/>
      <c r="F551" s="418">
        <v>5</v>
      </c>
      <c r="G551" s="79"/>
      <c r="H551" s="79"/>
      <c r="I551" s="79"/>
      <c r="J551" s="127"/>
      <c r="K551" s="136"/>
    </row>
    <row r="552" spans="1:11" x14ac:dyDescent="0.25">
      <c r="A552" s="75"/>
      <c r="B552" s="65"/>
      <c r="C552" s="65"/>
      <c r="D552" s="417" t="s">
        <v>578</v>
      </c>
      <c r="E552" s="416"/>
      <c r="F552" s="418">
        <v>24</v>
      </c>
      <c r="G552" s="79"/>
      <c r="H552" s="79"/>
      <c r="I552" s="79"/>
      <c r="J552" s="127"/>
      <c r="K552" s="136"/>
    </row>
    <row r="553" spans="1:11" x14ac:dyDescent="0.25">
      <c r="A553" s="75"/>
      <c r="B553" s="65"/>
      <c r="C553" s="65"/>
      <c r="D553" s="417" t="s">
        <v>579</v>
      </c>
      <c r="E553" s="416"/>
      <c r="F553" s="418">
        <v>10</v>
      </c>
      <c r="G553" s="79"/>
      <c r="H553" s="79"/>
      <c r="I553" s="79"/>
      <c r="J553" s="127"/>
      <c r="K553" s="136"/>
    </row>
    <row r="554" spans="1:11" x14ac:dyDescent="0.25">
      <c r="A554" s="75"/>
      <c r="B554" s="65"/>
      <c r="C554" s="65"/>
      <c r="D554" s="124"/>
      <c r="E554" s="125"/>
      <c r="F554" s="126"/>
      <c r="G554" s="79"/>
      <c r="H554" s="79"/>
      <c r="I554" s="79"/>
      <c r="J554" s="127"/>
      <c r="K554" s="136"/>
    </row>
    <row r="555" spans="1:11" x14ac:dyDescent="0.25">
      <c r="A555" s="2" t="s">
        <v>1</v>
      </c>
      <c r="B555" s="21" t="s">
        <v>2</v>
      </c>
      <c r="C555" s="28" t="s">
        <v>3</v>
      </c>
      <c r="D555" s="2" t="s">
        <v>4</v>
      </c>
      <c r="E555" s="4" t="s">
        <v>5</v>
      </c>
      <c r="F555" s="3" t="s">
        <v>6</v>
      </c>
      <c r="G555" s="38" t="s">
        <v>61</v>
      </c>
      <c r="H555" s="39" t="s">
        <v>62</v>
      </c>
      <c r="I555" s="39" t="s">
        <v>63</v>
      </c>
      <c r="J555" s="69" t="s">
        <v>9</v>
      </c>
      <c r="K555" s="136"/>
    </row>
    <row r="556" spans="1:11" ht="29.25" customHeight="1" x14ac:dyDescent="0.25">
      <c r="A556" s="7" t="s">
        <v>912</v>
      </c>
      <c r="B556" s="23">
        <f>ORÇAMENTO!B113</f>
        <v>96973</v>
      </c>
      <c r="C556" s="23" t="s">
        <v>13</v>
      </c>
      <c r="D556" s="139" t="str">
        <f>ORÇAMENTO!D113</f>
        <v>CORDOALHA DE COBRE NU 35 MM², NÃO ENTERRADA, COM ISOLADOR - FORNECIMENTO E INSTALAÇÃO. AF_08/2023</v>
      </c>
      <c r="E556" s="140" t="s">
        <v>16</v>
      </c>
      <c r="F556" s="8"/>
      <c r="G556" s="53"/>
      <c r="H556" s="50"/>
      <c r="I556" s="53"/>
      <c r="J556" s="46"/>
      <c r="K556" s="136"/>
    </row>
    <row r="557" spans="1:11" x14ac:dyDescent="0.25">
      <c r="A557" s="10"/>
      <c r="B557" s="30"/>
      <c r="C557" s="30"/>
      <c r="D557" s="36" t="s">
        <v>388</v>
      </c>
      <c r="E557" s="12"/>
      <c r="F557" s="122">
        <v>15</v>
      </c>
      <c r="G557" s="44"/>
      <c r="H557" s="44"/>
      <c r="I557" s="44"/>
      <c r="J557" s="52">
        <f>F557</f>
        <v>15</v>
      </c>
      <c r="K557" s="136"/>
    </row>
    <row r="558" spans="1:11" x14ac:dyDescent="0.25">
      <c r="A558" s="75"/>
      <c r="B558" s="65"/>
      <c r="C558" s="65"/>
      <c r="D558" s="124"/>
      <c r="E558" s="125"/>
      <c r="F558" s="126"/>
      <c r="G558" s="79"/>
      <c r="H558" s="79"/>
      <c r="I558" s="79"/>
      <c r="J558" s="127"/>
      <c r="K558" s="136"/>
    </row>
    <row r="559" spans="1:11" x14ac:dyDescent="0.25">
      <c r="A559" s="2" t="s">
        <v>1</v>
      </c>
      <c r="B559" s="21" t="s">
        <v>2</v>
      </c>
      <c r="C559" s="28" t="s">
        <v>3</v>
      </c>
      <c r="D559" s="2" t="s">
        <v>4</v>
      </c>
      <c r="E559" s="4" t="s">
        <v>5</v>
      </c>
      <c r="F559" s="3" t="s">
        <v>6</v>
      </c>
      <c r="G559" s="38" t="s">
        <v>61</v>
      </c>
      <c r="H559" s="39" t="s">
        <v>62</v>
      </c>
      <c r="I559" s="39" t="s">
        <v>63</v>
      </c>
      <c r="J559" s="69" t="s">
        <v>9</v>
      </c>
      <c r="K559" s="136"/>
    </row>
    <row r="560" spans="1:11" ht="30.75" customHeight="1" x14ac:dyDescent="0.25">
      <c r="A560" s="7" t="s">
        <v>913</v>
      </c>
      <c r="B560" s="23">
        <f>ORÇAMENTO!B114</f>
        <v>96986</v>
      </c>
      <c r="C560" s="23" t="s">
        <v>13</v>
      </c>
      <c r="D560" s="139" t="str">
        <f>ORÇAMENTO!D114</f>
        <v>HASTE DE ATERRAMENTO, DIÂMETRO 3/4", COM 3 METROS - FORNECIMENTO E INSTALAÇÃO. AF_08/2023</v>
      </c>
      <c r="E560" s="140" t="s">
        <v>14</v>
      </c>
      <c r="F560" s="8"/>
      <c r="G560" s="53"/>
      <c r="H560" s="50"/>
      <c r="I560" s="53"/>
      <c r="J560" s="46"/>
      <c r="K560" s="136"/>
    </row>
    <row r="561" spans="1:11" x14ac:dyDescent="0.25">
      <c r="A561" s="10"/>
      <c r="B561" s="30"/>
      <c r="C561" s="30"/>
      <c r="D561" s="36" t="s">
        <v>388</v>
      </c>
      <c r="E561" s="12"/>
      <c r="F561" s="122">
        <v>3</v>
      </c>
      <c r="G561" s="44"/>
      <c r="H561" s="44"/>
      <c r="I561" s="44"/>
      <c r="J561" s="52">
        <f>F561</f>
        <v>3</v>
      </c>
      <c r="K561" s="136"/>
    </row>
    <row r="562" spans="1:11" x14ac:dyDescent="0.25">
      <c r="A562" s="75"/>
      <c r="B562" s="65"/>
      <c r="C562" s="65"/>
      <c r="D562" s="124"/>
      <c r="E562" s="125"/>
      <c r="F562" s="126"/>
      <c r="G562" s="79"/>
      <c r="H562" s="79"/>
      <c r="I562" s="79"/>
      <c r="J562" s="127"/>
      <c r="K562" s="136"/>
    </row>
    <row r="563" spans="1:11" x14ac:dyDescent="0.25">
      <c r="A563" s="2" t="s">
        <v>1</v>
      </c>
      <c r="B563" s="21" t="s">
        <v>2</v>
      </c>
      <c r="C563" s="28" t="s">
        <v>3</v>
      </c>
      <c r="D563" s="2" t="s">
        <v>4</v>
      </c>
      <c r="E563" s="4" t="s">
        <v>5</v>
      </c>
      <c r="F563" s="3" t="s">
        <v>6</v>
      </c>
      <c r="G563" s="38" t="s">
        <v>61</v>
      </c>
      <c r="H563" s="39" t="s">
        <v>62</v>
      </c>
      <c r="I563" s="39" t="s">
        <v>63</v>
      </c>
      <c r="J563" s="69" t="s">
        <v>9</v>
      </c>
      <c r="K563" s="136"/>
    </row>
    <row r="564" spans="1:11" ht="41.25" customHeight="1" x14ac:dyDescent="0.25">
      <c r="A564" s="7" t="s">
        <v>914</v>
      </c>
      <c r="B564" s="23">
        <f>ORÇAMENTO!B115</f>
        <v>101511</v>
      </c>
      <c r="C564" s="23" t="s">
        <v>13</v>
      </c>
      <c r="D564" s="139" t="str">
        <f>ORÇAMENTO!D115</f>
        <v>ENTRADA DE ENERGIA ELÉTRICA, AÉREA, TRIFÁSICA, COM CAIXA DE EMBUTIR, CABO DE 25 MM2 E DISJUNTOR DIN 50A (NÃO INCLUSO O POSTE DE CONCRETO). AF_12/2025</v>
      </c>
      <c r="E564" s="140" t="s">
        <v>14</v>
      </c>
      <c r="F564" s="8"/>
      <c r="G564" s="53"/>
      <c r="H564" s="50"/>
      <c r="I564" s="53"/>
      <c r="J564" s="46"/>
      <c r="K564" s="136"/>
    </row>
    <row r="565" spans="1:11" x14ac:dyDescent="0.25">
      <c r="A565" s="10"/>
      <c r="B565" s="30"/>
      <c r="C565" s="30"/>
      <c r="D565" s="36" t="s">
        <v>388</v>
      </c>
      <c r="E565" s="12"/>
      <c r="F565" s="122">
        <v>1</v>
      </c>
      <c r="G565" s="44"/>
      <c r="H565" s="44"/>
      <c r="I565" s="44"/>
      <c r="J565" s="52">
        <f>F565</f>
        <v>1</v>
      </c>
      <c r="K565" s="136"/>
    </row>
    <row r="566" spans="1:11" x14ac:dyDescent="0.25">
      <c r="A566" s="75"/>
      <c r="B566" s="65"/>
      <c r="C566" s="65"/>
      <c r="D566" s="124"/>
      <c r="E566" s="125"/>
      <c r="F566" s="126"/>
      <c r="G566" s="79"/>
      <c r="H566" s="79"/>
      <c r="I566" s="79"/>
      <c r="J566" s="127"/>
      <c r="K566" s="136"/>
    </row>
    <row r="567" spans="1:11" x14ac:dyDescent="0.25">
      <c r="A567" s="2" t="s">
        <v>1</v>
      </c>
      <c r="B567" s="21" t="s">
        <v>2</v>
      </c>
      <c r="C567" s="28" t="s">
        <v>3</v>
      </c>
      <c r="D567" s="2" t="s">
        <v>4</v>
      </c>
      <c r="E567" s="4" t="s">
        <v>5</v>
      </c>
      <c r="F567" s="3" t="s">
        <v>6</v>
      </c>
      <c r="G567" s="38" t="s">
        <v>61</v>
      </c>
      <c r="H567" s="39" t="s">
        <v>62</v>
      </c>
      <c r="I567" s="39" t="s">
        <v>63</v>
      </c>
      <c r="J567" s="69" t="s">
        <v>9</v>
      </c>
      <c r="K567" s="136"/>
    </row>
    <row r="568" spans="1:11" ht="32.25" customHeight="1" x14ac:dyDescent="0.25">
      <c r="A568" s="7" t="s">
        <v>915</v>
      </c>
      <c r="B568" s="23" t="str">
        <f>ORÇAMENTO!B116</f>
        <v>C4981</v>
      </c>
      <c r="C568" s="23" t="s">
        <v>15</v>
      </c>
      <c r="D568" s="139" t="str">
        <f>ORÇAMENTO!D116</f>
        <v>LUMINÁRIA 2 PÉTALAS EM POSTE DE CONCRETO CIRCULAR H=12M, ALTURA LIVRE 10,20M, LÂMPADA VAPOR METÁLICO DE 400W, INCLUSIVE O POSTE</v>
      </c>
      <c r="E568" s="140" t="s">
        <v>14</v>
      </c>
      <c r="F568" s="8"/>
      <c r="G568" s="53"/>
      <c r="H568" s="50"/>
      <c r="I568" s="53"/>
      <c r="J568" s="46"/>
      <c r="K568" s="136"/>
    </row>
    <row r="569" spans="1:11" x14ac:dyDescent="0.25">
      <c r="A569" s="10"/>
      <c r="B569" s="30"/>
      <c r="C569" s="30"/>
      <c r="D569" s="36" t="s">
        <v>388</v>
      </c>
      <c r="E569" s="12"/>
      <c r="F569" s="122">
        <v>2</v>
      </c>
      <c r="G569" s="44"/>
      <c r="H569" s="44"/>
      <c r="I569" s="44"/>
      <c r="J569" s="52">
        <f>F569</f>
        <v>2</v>
      </c>
      <c r="K569" s="136"/>
    </row>
    <row r="570" spans="1:11" x14ac:dyDescent="0.25">
      <c r="A570" s="75"/>
      <c r="B570" s="65"/>
      <c r="C570" s="65"/>
      <c r="D570" s="124"/>
      <c r="E570" s="125"/>
      <c r="F570" s="146"/>
      <c r="G570" s="79"/>
      <c r="H570" s="79"/>
      <c r="I570" s="79"/>
      <c r="J570" s="127"/>
      <c r="K570" s="136"/>
    </row>
    <row r="571" spans="1:11" x14ac:dyDescent="0.25">
      <c r="A571" s="75"/>
      <c r="B571" s="65"/>
      <c r="C571" s="65"/>
      <c r="D571" s="124"/>
      <c r="E571" s="125"/>
      <c r="F571" s="126"/>
      <c r="G571" s="79"/>
      <c r="H571" s="79"/>
      <c r="I571" s="79"/>
      <c r="J571" s="127"/>
      <c r="K571" s="136"/>
    </row>
    <row r="572" spans="1:11" x14ac:dyDescent="0.25">
      <c r="A572" s="2" t="s">
        <v>1</v>
      </c>
      <c r="B572" s="21" t="s">
        <v>2</v>
      </c>
      <c r="C572" s="28" t="s">
        <v>3</v>
      </c>
      <c r="D572" s="2" t="s">
        <v>4</v>
      </c>
      <c r="E572" s="4" t="s">
        <v>5</v>
      </c>
      <c r="F572" s="3" t="s">
        <v>6</v>
      </c>
      <c r="G572" s="38" t="s">
        <v>61</v>
      </c>
      <c r="H572" s="39" t="s">
        <v>62</v>
      </c>
      <c r="I572" s="39" t="s">
        <v>63</v>
      </c>
      <c r="J572" s="69" t="s">
        <v>9</v>
      </c>
      <c r="K572" s="136"/>
    </row>
    <row r="573" spans="1:11" ht="25.5" customHeight="1" x14ac:dyDescent="0.25">
      <c r="A573" s="7" t="s">
        <v>916</v>
      </c>
      <c r="B573" s="23" t="str">
        <f>ORÇAMENTO!B117</f>
        <v>C4562</v>
      </c>
      <c r="C573" s="23" t="s">
        <v>15</v>
      </c>
      <c r="D573" s="139" t="str">
        <f>ORÇAMENTO!D117</f>
        <v>DISPOSITIVO DE PROTEÇÃO CONTRA SURTOS DE TENSÃO - DPS's - 40 KA/440V</v>
      </c>
      <c r="E573" s="140" t="s">
        <v>14</v>
      </c>
      <c r="F573" s="8"/>
      <c r="G573" s="53"/>
      <c r="H573" s="50"/>
      <c r="I573" s="53"/>
      <c r="J573" s="46"/>
      <c r="K573" s="136"/>
    </row>
    <row r="574" spans="1:11" x14ac:dyDescent="0.25">
      <c r="A574" s="10"/>
      <c r="B574" s="30"/>
      <c r="C574" s="30"/>
      <c r="D574" s="36" t="s">
        <v>388</v>
      </c>
      <c r="E574" s="12"/>
      <c r="F574" s="122">
        <v>7</v>
      </c>
      <c r="G574" s="44"/>
      <c r="H574" s="44"/>
      <c r="I574" s="44"/>
      <c r="J574" s="52">
        <f>F574</f>
        <v>7</v>
      </c>
      <c r="K574" s="136"/>
    </row>
    <row r="575" spans="1:11" x14ac:dyDescent="0.25">
      <c r="A575" s="430"/>
      <c r="B575" s="431"/>
      <c r="C575" s="431"/>
      <c r="D575" s="432"/>
      <c r="E575" s="433"/>
      <c r="F575" s="434"/>
      <c r="G575" s="435"/>
      <c r="H575" s="435"/>
      <c r="I575" s="435"/>
      <c r="J575" s="436"/>
      <c r="K575" s="136"/>
    </row>
    <row r="576" spans="1:11" x14ac:dyDescent="0.25">
      <c r="A576" s="455" t="s">
        <v>1</v>
      </c>
      <c r="B576" s="456" t="s">
        <v>2</v>
      </c>
      <c r="C576" s="456" t="s">
        <v>3</v>
      </c>
      <c r="D576" s="457" t="s">
        <v>723</v>
      </c>
      <c r="E576" s="456" t="s">
        <v>5</v>
      </c>
      <c r="F576" s="459" t="s">
        <v>6</v>
      </c>
      <c r="G576" s="458"/>
      <c r="H576" s="458"/>
      <c r="I576" s="458"/>
      <c r="J576" s="459" t="s">
        <v>9</v>
      </c>
    </row>
    <row r="577" spans="1:10" ht="26.4" x14ac:dyDescent="0.25">
      <c r="A577" s="450" t="s">
        <v>917</v>
      </c>
      <c r="B577" s="451">
        <v>12231</v>
      </c>
      <c r="C577" s="451" t="s">
        <v>581</v>
      </c>
      <c r="D577" s="452" t="s">
        <v>582</v>
      </c>
      <c r="E577" s="451" t="s">
        <v>14</v>
      </c>
      <c r="F577" s="453"/>
      <c r="G577" s="454"/>
      <c r="H577" s="454"/>
      <c r="I577" s="454"/>
      <c r="J577" s="454"/>
    </row>
    <row r="578" spans="1:10" x14ac:dyDescent="0.25">
      <c r="A578" s="440" t="s">
        <v>278</v>
      </c>
      <c r="B578" s="441"/>
      <c r="C578" s="441"/>
      <c r="D578" s="442" t="s">
        <v>583</v>
      </c>
      <c r="E578" s="441"/>
      <c r="F578" s="443">
        <v>1</v>
      </c>
      <c r="G578" s="443"/>
      <c r="H578" s="443"/>
      <c r="I578" s="443"/>
      <c r="J578" s="443">
        <v>1</v>
      </c>
    </row>
    <row r="579" spans="1:10" x14ac:dyDescent="0.25">
      <c r="A579" s="440"/>
      <c r="B579" s="441"/>
      <c r="C579" s="441"/>
      <c r="D579" s="442"/>
      <c r="E579" s="441"/>
      <c r="F579" s="443"/>
      <c r="G579" s="443"/>
      <c r="H579" s="443"/>
      <c r="I579" s="443"/>
      <c r="J579" s="443"/>
    </row>
    <row r="580" spans="1:10" x14ac:dyDescent="0.25">
      <c r="A580" s="440"/>
      <c r="B580" s="441"/>
      <c r="C580" s="441"/>
      <c r="D580" s="442"/>
      <c r="E580" s="441"/>
      <c r="F580" s="443"/>
      <c r="G580" s="443"/>
      <c r="H580" s="443"/>
      <c r="I580" s="443"/>
      <c r="J580" s="443"/>
    </row>
    <row r="581" spans="1:10" ht="20.399999999999999" customHeight="1" x14ac:dyDescent="0.25">
      <c r="A581" s="455" t="s">
        <v>1</v>
      </c>
      <c r="B581" s="456" t="s">
        <v>2</v>
      </c>
      <c r="C581" s="456" t="s">
        <v>3</v>
      </c>
      <c r="D581" s="457" t="s">
        <v>4</v>
      </c>
      <c r="E581" s="456" t="s">
        <v>5</v>
      </c>
      <c r="F581" s="458" t="s">
        <v>6</v>
      </c>
      <c r="G581" s="458"/>
      <c r="H581" s="458"/>
      <c r="I581" s="458"/>
      <c r="J581" s="459" t="s">
        <v>9</v>
      </c>
    </row>
    <row r="582" spans="1:10" ht="39.6" x14ac:dyDescent="0.25">
      <c r="A582" s="450" t="s">
        <v>918</v>
      </c>
      <c r="B582" s="451" t="s">
        <v>584</v>
      </c>
      <c r="C582" s="451" t="s">
        <v>13</v>
      </c>
      <c r="D582" s="452" t="s">
        <v>585</v>
      </c>
      <c r="E582" s="451" t="s">
        <v>16</v>
      </c>
      <c r="F582" s="453"/>
      <c r="G582" s="454"/>
      <c r="H582" s="454"/>
      <c r="I582" s="454"/>
      <c r="J582" s="454"/>
    </row>
    <row r="583" spans="1:10" x14ac:dyDescent="0.25">
      <c r="A583" s="440" t="s">
        <v>278</v>
      </c>
      <c r="B583" s="441"/>
      <c r="C583" s="441"/>
      <c r="D583" s="442" t="s">
        <v>586</v>
      </c>
      <c r="E583" s="441"/>
      <c r="F583" s="443">
        <v>125.92000000000002</v>
      </c>
      <c r="G583" s="443"/>
      <c r="H583" s="443"/>
      <c r="I583" s="443"/>
      <c r="J583" s="443">
        <v>125.92</v>
      </c>
    </row>
    <row r="584" spans="1:10" x14ac:dyDescent="0.25">
      <c r="A584" s="440"/>
      <c r="B584" s="441"/>
      <c r="C584" s="441"/>
      <c r="D584" s="442"/>
      <c r="E584" s="441"/>
      <c r="F584" s="443"/>
      <c r="G584" s="443"/>
      <c r="H584" s="443"/>
      <c r="I584" s="443"/>
      <c r="J584" s="443"/>
    </row>
    <row r="585" spans="1:10" s="276" customFormat="1" x14ac:dyDescent="0.25">
      <c r="A585" s="455" t="s">
        <v>1</v>
      </c>
      <c r="B585" s="456" t="s">
        <v>2</v>
      </c>
      <c r="C585" s="456" t="s">
        <v>3</v>
      </c>
      <c r="D585" s="457" t="s">
        <v>4</v>
      </c>
      <c r="E585" s="456" t="s">
        <v>5</v>
      </c>
      <c r="F585" s="459" t="s">
        <v>6</v>
      </c>
      <c r="G585" s="458"/>
      <c r="H585" s="458"/>
      <c r="I585" s="458"/>
      <c r="J585" s="459" t="s">
        <v>9</v>
      </c>
    </row>
    <row r="586" spans="1:10" s="9" customFormat="1" ht="26.4" x14ac:dyDescent="0.25">
      <c r="A586" s="450" t="s">
        <v>919</v>
      </c>
      <c r="B586" s="451" t="s">
        <v>587</v>
      </c>
      <c r="C586" s="451" t="s">
        <v>13</v>
      </c>
      <c r="D586" s="452" t="s">
        <v>588</v>
      </c>
      <c r="E586" s="451" t="s">
        <v>14</v>
      </c>
      <c r="F586" s="460"/>
      <c r="G586" s="454"/>
      <c r="H586" s="454"/>
      <c r="I586" s="454"/>
      <c r="J586" s="454"/>
    </row>
    <row r="587" spans="1:10" x14ac:dyDescent="0.25">
      <c r="A587" s="440" t="s">
        <v>278</v>
      </c>
      <c r="B587" s="441"/>
      <c r="C587" s="441"/>
      <c r="D587" s="442" t="s">
        <v>589</v>
      </c>
      <c r="E587" s="441"/>
      <c r="F587" s="443">
        <v>12</v>
      </c>
      <c r="G587" s="443"/>
      <c r="H587" s="443"/>
      <c r="I587" s="443"/>
      <c r="J587" s="443">
        <v>12</v>
      </c>
    </row>
    <row r="588" spans="1:10" x14ac:dyDescent="0.25">
      <c r="A588" s="440"/>
      <c r="B588" s="441"/>
      <c r="C588" s="441"/>
      <c r="D588" s="442"/>
      <c r="E588" s="441"/>
      <c r="F588" s="443"/>
      <c r="G588" s="443"/>
      <c r="H588" s="443"/>
      <c r="I588" s="443"/>
      <c r="J588" s="443"/>
    </row>
    <row r="589" spans="1:10" s="462" customFormat="1" x14ac:dyDescent="0.25">
      <c r="A589" s="455" t="s">
        <v>1</v>
      </c>
      <c r="B589" s="456" t="s">
        <v>2</v>
      </c>
      <c r="C589" s="456" t="s">
        <v>3</v>
      </c>
      <c r="D589" s="457" t="s">
        <v>4</v>
      </c>
      <c r="E589" s="456" t="s">
        <v>5</v>
      </c>
      <c r="F589" s="459" t="s">
        <v>6</v>
      </c>
      <c r="G589" s="458"/>
      <c r="H589" s="458"/>
      <c r="I589" s="458"/>
      <c r="J589" s="459" t="s">
        <v>9</v>
      </c>
    </row>
    <row r="590" spans="1:10" s="463" customFormat="1" ht="26.4" x14ac:dyDescent="0.25">
      <c r="A590" s="450" t="s">
        <v>920</v>
      </c>
      <c r="B590" s="451" t="s">
        <v>590</v>
      </c>
      <c r="C590" s="451" t="s">
        <v>13</v>
      </c>
      <c r="D590" s="452" t="s">
        <v>591</v>
      </c>
      <c r="E590" s="451" t="s">
        <v>14</v>
      </c>
      <c r="F590" s="453"/>
      <c r="G590" s="453"/>
      <c r="H590" s="453"/>
      <c r="I590" s="453"/>
    </row>
    <row r="591" spans="1:10" x14ac:dyDescent="0.25">
      <c r="A591" s="440" t="s">
        <v>278</v>
      </c>
      <c r="B591" s="441"/>
      <c r="C591" s="441"/>
      <c r="D591" s="442" t="s">
        <v>592</v>
      </c>
      <c r="E591" s="441"/>
      <c r="F591" s="443">
        <v>5</v>
      </c>
      <c r="G591" s="443"/>
      <c r="H591" s="443"/>
      <c r="I591" s="443"/>
      <c r="J591" s="465">
        <f>SUM(F591:F594)</f>
        <v>27</v>
      </c>
    </row>
    <row r="592" spans="1:10" x14ac:dyDescent="0.25">
      <c r="A592" s="440" t="s">
        <v>278</v>
      </c>
      <c r="B592" s="441"/>
      <c r="C592" s="441"/>
      <c r="D592" s="442" t="s">
        <v>593</v>
      </c>
      <c r="E592" s="441"/>
      <c r="F592" s="443">
        <v>11</v>
      </c>
      <c r="G592" s="443"/>
      <c r="H592" s="443"/>
      <c r="I592" s="443"/>
      <c r="J592" s="443"/>
    </row>
    <row r="593" spans="1:10" x14ac:dyDescent="0.25">
      <c r="A593" s="440" t="s">
        <v>278</v>
      </c>
      <c r="B593" s="441"/>
      <c r="C593" s="441"/>
      <c r="D593" s="442" t="s">
        <v>594</v>
      </c>
      <c r="E593" s="441"/>
      <c r="F593" s="443">
        <v>3</v>
      </c>
      <c r="G593" s="443"/>
      <c r="H593" s="443"/>
      <c r="I593" s="443"/>
      <c r="J593" s="443"/>
    </row>
    <row r="594" spans="1:10" x14ac:dyDescent="0.25">
      <c r="A594" s="440" t="s">
        <v>278</v>
      </c>
      <c r="B594" s="441"/>
      <c r="C594" s="441"/>
      <c r="D594" s="442" t="s">
        <v>595</v>
      </c>
      <c r="E594" s="441"/>
      <c r="F594" s="443">
        <v>8</v>
      </c>
      <c r="G594" s="443"/>
      <c r="H594" s="443"/>
      <c r="I594" s="443"/>
      <c r="J594" s="443"/>
    </row>
    <row r="595" spans="1:10" x14ac:dyDescent="0.25">
      <c r="A595" s="440"/>
      <c r="B595" s="441"/>
      <c r="C595" s="441"/>
      <c r="D595" s="442"/>
      <c r="E595" s="441"/>
      <c r="F595" s="443"/>
      <c r="G595" s="443"/>
      <c r="H595" s="443"/>
      <c r="I595" s="443"/>
      <c r="J595" s="443"/>
    </row>
    <row r="596" spans="1:10" s="462" customFormat="1" x14ac:dyDescent="0.25">
      <c r="A596" s="455" t="s">
        <v>1</v>
      </c>
      <c r="B596" s="456" t="s">
        <v>2</v>
      </c>
      <c r="C596" s="456" t="s">
        <v>3</v>
      </c>
      <c r="D596" s="457" t="s">
        <v>4</v>
      </c>
      <c r="E596" s="456" t="s">
        <v>5</v>
      </c>
      <c r="F596" s="458"/>
      <c r="G596" s="458" t="s">
        <v>61</v>
      </c>
      <c r="H596" s="458"/>
      <c r="I596" s="458"/>
      <c r="J596" s="459" t="s">
        <v>9</v>
      </c>
    </row>
    <row r="597" spans="1:10" s="463" customFormat="1" ht="37.200000000000003" customHeight="1" x14ac:dyDescent="0.25">
      <c r="A597" s="450" t="s">
        <v>921</v>
      </c>
      <c r="B597" s="451" t="s">
        <v>596</v>
      </c>
      <c r="C597" s="451" t="s">
        <v>13</v>
      </c>
      <c r="D597" s="452" t="s">
        <v>1152</v>
      </c>
      <c r="E597" s="451" t="s">
        <v>16</v>
      </c>
      <c r="F597" s="453"/>
      <c r="G597" s="453"/>
      <c r="H597" s="453"/>
      <c r="I597" s="453"/>
      <c r="J597" s="453"/>
    </row>
    <row r="598" spans="1:10" x14ac:dyDescent="0.25">
      <c r="A598" s="440" t="s">
        <v>278</v>
      </c>
      <c r="B598" s="441"/>
      <c r="C598" s="441"/>
      <c r="D598" s="442" t="s">
        <v>597</v>
      </c>
      <c r="E598" s="441"/>
      <c r="F598" s="444"/>
      <c r="G598" s="443">
        <v>267.14999999999998</v>
      </c>
      <c r="H598" s="443"/>
      <c r="I598" s="443"/>
      <c r="J598" s="443">
        <v>267.14999999999998</v>
      </c>
    </row>
    <row r="599" spans="1:10" x14ac:dyDescent="0.25">
      <c r="A599" s="440"/>
      <c r="B599" s="441"/>
      <c r="C599" s="441"/>
      <c r="D599" s="442"/>
      <c r="E599" s="441"/>
      <c r="F599" s="444"/>
      <c r="G599" s="443"/>
      <c r="H599" s="443"/>
      <c r="I599" s="443"/>
      <c r="J599" s="443"/>
    </row>
    <row r="600" spans="1:10" s="462" customFormat="1" x14ac:dyDescent="0.25">
      <c r="A600" s="455" t="s">
        <v>1</v>
      </c>
      <c r="B600" s="456" t="s">
        <v>2</v>
      </c>
      <c r="C600" s="456" t="s">
        <v>3</v>
      </c>
      <c r="D600" s="457" t="s">
        <v>4</v>
      </c>
      <c r="E600" s="456" t="s">
        <v>5</v>
      </c>
      <c r="F600" s="458"/>
      <c r="G600" s="458" t="s">
        <v>61</v>
      </c>
      <c r="H600" s="458"/>
      <c r="I600" s="458"/>
      <c r="J600" s="459" t="s">
        <v>9</v>
      </c>
    </row>
    <row r="601" spans="1:10" s="463" customFormat="1" ht="26.4" x14ac:dyDescent="0.25">
      <c r="A601" s="450" t="s">
        <v>922</v>
      </c>
      <c r="B601" s="451" t="s">
        <v>598</v>
      </c>
      <c r="C601" s="451" t="s">
        <v>13</v>
      </c>
      <c r="D601" s="452" t="s">
        <v>599</v>
      </c>
      <c r="E601" s="451" t="s">
        <v>16</v>
      </c>
      <c r="F601" s="453"/>
      <c r="G601" s="453"/>
      <c r="H601" s="453"/>
      <c r="I601" s="453"/>
      <c r="J601" s="453"/>
    </row>
    <row r="602" spans="1:10" x14ac:dyDescent="0.25">
      <c r="A602" s="437" t="s">
        <v>278</v>
      </c>
      <c r="B602" s="438"/>
      <c r="C602" s="438"/>
      <c r="D602" s="442" t="s">
        <v>586</v>
      </c>
      <c r="E602" s="438"/>
      <c r="F602" s="445"/>
      <c r="G602" s="443">
        <v>23.3</v>
      </c>
      <c r="H602" s="439"/>
      <c r="I602" s="439"/>
      <c r="J602" s="443">
        <v>23.3</v>
      </c>
    </row>
    <row r="603" spans="1:10" x14ac:dyDescent="0.25">
      <c r="A603" s="437"/>
      <c r="B603" s="438"/>
      <c r="C603" s="438"/>
      <c r="D603" s="442"/>
      <c r="E603" s="438"/>
      <c r="F603" s="445"/>
      <c r="G603" s="443"/>
      <c r="H603" s="439"/>
      <c r="I603" s="439"/>
      <c r="J603" s="439"/>
    </row>
    <row r="604" spans="1:10" s="462" customFormat="1" x14ac:dyDescent="0.25">
      <c r="A604" s="455" t="s">
        <v>1</v>
      </c>
      <c r="B604" s="456" t="s">
        <v>2</v>
      </c>
      <c r="C604" s="456" t="s">
        <v>3</v>
      </c>
      <c r="D604" s="457" t="s">
        <v>4</v>
      </c>
      <c r="E604" s="456" t="s">
        <v>5</v>
      </c>
      <c r="F604" s="458" t="s">
        <v>6</v>
      </c>
      <c r="G604" s="458"/>
      <c r="H604" s="458"/>
      <c r="I604" s="458"/>
      <c r="J604" s="459" t="s">
        <v>9</v>
      </c>
    </row>
    <row r="605" spans="1:10" s="463" customFormat="1" ht="33.6" customHeight="1" x14ac:dyDescent="0.25">
      <c r="A605" s="450" t="s">
        <v>923</v>
      </c>
      <c r="B605" s="451" t="s">
        <v>600</v>
      </c>
      <c r="C605" s="451" t="s">
        <v>13</v>
      </c>
      <c r="D605" s="452" t="s">
        <v>1153</v>
      </c>
      <c r="E605" s="451" t="s">
        <v>14</v>
      </c>
      <c r="F605" s="453"/>
      <c r="G605" s="453"/>
      <c r="H605" s="453"/>
      <c r="I605" s="453"/>
      <c r="J605" s="453"/>
    </row>
    <row r="606" spans="1:10" x14ac:dyDescent="0.25">
      <c r="A606" s="440" t="s">
        <v>278</v>
      </c>
      <c r="B606" s="441"/>
      <c r="C606" s="441"/>
      <c r="D606" s="442" t="s">
        <v>601</v>
      </c>
      <c r="E606" s="441"/>
      <c r="F606" s="443">
        <v>11</v>
      </c>
      <c r="G606" s="443"/>
      <c r="H606" s="443"/>
      <c r="I606" s="443"/>
      <c r="J606" s="443">
        <v>11</v>
      </c>
    </row>
    <row r="607" spans="1:10" x14ac:dyDescent="0.25">
      <c r="A607" s="440"/>
      <c r="B607" s="441"/>
      <c r="C607" s="441"/>
      <c r="D607" s="442"/>
      <c r="E607" s="441"/>
      <c r="F607" s="443"/>
      <c r="G607" s="443"/>
      <c r="H607" s="443"/>
      <c r="I607" s="443"/>
      <c r="J607" s="443"/>
    </row>
    <row r="608" spans="1:10" s="461" customFormat="1" x14ac:dyDescent="0.25">
      <c r="A608" s="455" t="s">
        <v>1</v>
      </c>
      <c r="B608" s="456" t="s">
        <v>2</v>
      </c>
      <c r="C608" s="456" t="s">
        <v>3</v>
      </c>
      <c r="D608" s="457" t="s">
        <v>4</v>
      </c>
      <c r="E608" s="456" t="s">
        <v>5</v>
      </c>
      <c r="F608" s="458" t="s">
        <v>6</v>
      </c>
      <c r="G608" s="458"/>
      <c r="H608" s="458"/>
      <c r="I608" s="458"/>
      <c r="J608" s="459" t="s">
        <v>9</v>
      </c>
    </row>
    <row r="609" spans="1:10" s="463" customFormat="1" x14ac:dyDescent="0.25">
      <c r="A609" s="450" t="s">
        <v>924</v>
      </c>
      <c r="B609" s="451">
        <f>ORÇAMENTO!B125</f>
        <v>9005</v>
      </c>
      <c r="C609" s="451" t="str">
        <f>ORÇAMENTO!C125</f>
        <v>ORSE</v>
      </c>
      <c r="D609" s="452" t="str">
        <f>ORÇAMENTO!D125</f>
        <v>DISJUNTOR TRIPOLAR  80 A COM CAIXA MOLDADA 10 KA</v>
      </c>
      <c r="E609" s="451" t="s">
        <v>14</v>
      </c>
      <c r="F609" s="453"/>
      <c r="G609" s="453"/>
      <c r="H609" s="453"/>
      <c r="I609" s="453"/>
      <c r="J609" s="453"/>
    </row>
    <row r="610" spans="1:10" x14ac:dyDescent="0.25">
      <c r="A610" s="440" t="s">
        <v>278</v>
      </c>
      <c r="B610" s="441"/>
      <c r="C610" s="441"/>
      <c r="D610" s="442" t="s">
        <v>586</v>
      </c>
      <c r="E610" s="446"/>
      <c r="F610" s="443">
        <v>2</v>
      </c>
      <c r="G610" s="443"/>
      <c r="H610" s="443"/>
      <c r="I610" s="443"/>
      <c r="J610" s="443">
        <v>2</v>
      </c>
    </row>
    <row r="611" spans="1:10" x14ac:dyDescent="0.25">
      <c r="A611" s="440"/>
      <c r="B611" s="441"/>
      <c r="C611" s="441"/>
      <c r="D611" s="442"/>
      <c r="E611" s="446"/>
      <c r="F611" s="443"/>
      <c r="G611" s="443"/>
      <c r="H611" s="443"/>
      <c r="I611" s="443"/>
      <c r="J611" s="443"/>
    </row>
    <row r="612" spans="1:10" s="462" customFormat="1" x14ac:dyDescent="0.25">
      <c r="A612" s="455" t="s">
        <v>1</v>
      </c>
      <c r="B612" s="456" t="s">
        <v>2</v>
      </c>
      <c r="C612" s="456" t="s">
        <v>3</v>
      </c>
      <c r="D612" s="457" t="s">
        <v>4</v>
      </c>
      <c r="E612" s="456" t="s">
        <v>5</v>
      </c>
      <c r="F612" s="458" t="s">
        <v>6</v>
      </c>
      <c r="G612" s="458"/>
      <c r="H612" s="458"/>
      <c r="I612" s="458"/>
      <c r="J612" s="459" t="s">
        <v>9</v>
      </c>
    </row>
    <row r="613" spans="1:10" s="463" customFormat="1" ht="29.4" customHeight="1" x14ac:dyDescent="0.25">
      <c r="A613" s="450" t="s">
        <v>925</v>
      </c>
      <c r="B613" s="451" t="s">
        <v>602</v>
      </c>
      <c r="C613" s="451" t="s">
        <v>13</v>
      </c>
      <c r="D613" s="452" t="s">
        <v>1154</v>
      </c>
      <c r="E613" s="451" t="s">
        <v>14</v>
      </c>
      <c r="F613" s="453"/>
      <c r="G613" s="453"/>
      <c r="H613" s="453"/>
      <c r="I613" s="453"/>
      <c r="J613" s="453"/>
    </row>
    <row r="614" spans="1:10" x14ac:dyDescent="0.25">
      <c r="A614" s="440" t="s">
        <v>278</v>
      </c>
      <c r="B614" s="441"/>
      <c r="C614" s="441"/>
      <c r="D614" s="442" t="s">
        <v>586</v>
      </c>
      <c r="E614" s="446"/>
      <c r="F614" s="443">
        <v>31</v>
      </c>
      <c r="G614" s="443"/>
      <c r="H614" s="443"/>
      <c r="I614" s="443"/>
      <c r="J614" s="443">
        <v>31</v>
      </c>
    </row>
    <row r="615" spans="1:10" x14ac:dyDescent="0.25">
      <c r="A615" s="440"/>
      <c r="B615" s="441"/>
      <c r="C615" s="441"/>
      <c r="D615" s="442"/>
      <c r="E615" s="446"/>
      <c r="F615" s="443"/>
      <c r="G615" s="443"/>
      <c r="H615" s="443"/>
      <c r="I615" s="443"/>
      <c r="J615" s="443"/>
    </row>
    <row r="616" spans="1:10" s="462" customFormat="1" x14ac:dyDescent="0.25">
      <c r="A616" s="455" t="s">
        <v>1</v>
      </c>
      <c r="B616" s="456" t="s">
        <v>2</v>
      </c>
      <c r="C616" s="456" t="s">
        <v>3</v>
      </c>
      <c r="D616" s="457" t="s">
        <v>4</v>
      </c>
      <c r="E616" s="456" t="s">
        <v>5</v>
      </c>
      <c r="F616" s="458" t="s">
        <v>6</v>
      </c>
      <c r="G616" s="458"/>
      <c r="H616" s="458"/>
      <c r="I616" s="458"/>
      <c r="J616" s="459" t="s">
        <v>9</v>
      </c>
    </row>
    <row r="617" spans="1:10" s="463" customFormat="1" ht="28.2" customHeight="1" x14ac:dyDescent="0.25">
      <c r="A617" s="450" t="s">
        <v>926</v>
      </c>
      <c r="B617" s="451" t="s">
        <v>603</v>
      </c>
      <c r="C617" s="451" t="s">
        <v>13</v>
      </c>
      <c r="D617" s="452" t="s">
        <v>1155</v>
      </c>
      <c r="E617" s="451" t="s">
        <v>14</v>
      </c>
      <c r="F617" s="453"/>
      <c r="G617" s="453"/>
      <c r="H617" s="453"/>
      <c r="I617" s="453"/>
      <c r="J617" s="453"/>
    </row>
    <row r="618" spans="1:10" x14ac:dyDescent="0.25">
      <c r="A618" s="440" t="s">
        <v>278</v>
      </c>
      <c r="B618" s="441"/>
      <c r="C618" s="441"/>
      <c r="D618" s="442" t="s">
        <v>586</v>
      </c>
      <c r="E618" s="446"/>
      <c r="F618" s="443">
        <v>2</v>
      </c>
      <c r="G618" s="443"/>
      <c r="H618" s="443"/>
      <c r="I618" s="443"/>
      <c r="J618" s="443">
        <v>2</v>
      </c>
    </row>
    <row r="619" spans="1:10" x14ac:dyDescent="0.25">
      <c r="A619" s="440"/>
      <c r="B619" s="441"/>
      <c r="C619" s="441"/>
      <c r="D619" s="442"/>
      <c r="E619" s="446"/>
      <c r="F619" s="443"/>
      <c r="G619" s="443"/>
      <c r="H619" s="443"/>
      <c r="I619" s="443"/>
      <c r="J619" s="443"/>
    </row>
    <row r="620" spans="1:10" s="462" customFormat="1" x14ac:dyDescent="0.25">
      <c r="A620" s="455" t="s">
        <v>1</v>
      </c>
      <c r="B620" s="456" t="s">
        <v>2</v>
      </c>
      <c r="C620" s="456" t="s">
        <v>3</v>
      </c>
      <c r="D620" s="457" t="s">
        <v>4</v>
      </c>
      <c r="E620" s="456" t="s">
        <v>5</v>
      </c>
      <c r="F620" s="458"/>
      <c r="G620" s="458" t="s">
        <v>61</v>
      </c>
      <c r="H620" s="458"/>
      <c r="I620" s="458"/>
      <c r="J620" s="459" t="s">
        <v>9</v>
      </c>
    </row>
    <row r="621" spans="1:10" s="463" customFormat="1" ht="26.4" x14ac:dyDescent="0.25">
      <c r="A621" s="450" t="s">
        <v>927</v>
      </c>
      <c r="B621" s="451" t="s">
        <v>604</v>
      </c>
      <c r="C621" s="451" t="s">
        <v>13</v>
      </c>
      <c r="D621" s="452" t="s">
        <v>605</v>
      </c>
      <c r="E621" s="451" t="s">
        <v>16</v>
      </c>
      <c r="F621" s="453"/>
      <c r="G621" s="453"/>
      <c r="H621" s="453"/>
      <c r="I621" s="453"/>
      <c r="J621" s="453"/>
    </row>
    <row r="622" spans="1:10" x14ac:dyDescent="0.25">
      <c r="A622" s="440" t="s">
        <v>278</v>
      </c>
      <c r="B622" s="441"/>
      <c r="C622" s="441"/>
      <c r="D622" s="442" t="s">
        <v>586</v>
      </c>
      <c r="E622" s="446"/>
      <c r="F622" s="443"/>
      <c r="G622" s="443">
        <v>77.510000000000005</v>
      </c>
      <c r="H622" s="443"/>
      <c r="I622" s="443"/>
      <c r="J622" s="443">
        <v>77.510000000000005</v>
      </c>
    </row>
    <row r="623" spans="1:10" x14ac:dyDescent="0.25">
      <c r="A623" s="440"/>
      <c r="B623" s="441"/>
      <c r="C623" s="441"/>
      <c r="D623" s="442"/>
      <c r="E623" s="446"/>
      <c r="F623" s="443"/>
      <c r="G623" s="443"/>
      <c r="H623" s="443"/>
      <c r="I623" s="443"/>
      <c r="J623" s="443"/>
    </row>
    <row r="624" spans="1:10" s="462" customFormat="1" x14ac:dyDescent="0.25">
      <c r="A624" s="455" t="s">
        <v>1</v>
      </c>
      <c r="B624" s="456" t="s">
        <v>2</v>
      </c>
      <c r="C624" s="456" t="s">
        <v>3</v>
      </c>
      <c r="D624" s="457" t="s">
        <v>4</v>
      </c>
      <c r="E624" s="456" t="s">
        <v>5</v>
      </c>
      <c r="F624" s="458" t="s">
        <v>6</v>
      </c>
      <c r="G624" s="458"/>
      <c r="H624" s="458"/>
      <c r="I624" s="458"/>
      <c r="J624" s="459" t="s">
        <v>9</v>
      </c>
    </row>
    <row r="625" spans="1:10" s="463" customFormat="1" ht="37.200000000000003" customHeight="1" x14ac:dyDescent="0.25">
      <c r="A625" s="450" t="s">
        <v>928</v>
      </c>
      <c r="B625" s="451" t="s">
        <v>606</v>
      </c>
      <c r="C625" s="451" t="s">
        <v>13</v>
      </c>
      <c r="D625" s="452" t="s">
        <v>1156</v>
      </c>
      <c r="E625" s="451" t="s">
        <v>14</v>
      </c>
      <c r="F625" s="453"/>
      <c r="G625" s="453"/>
      <c r="H625" s="453"/>
      <c r="I625" s="453"/>
      <c r="J625" s="453"/>
    </row>
    <row r="626" spans="1:10" x14ac:dyDescent="0.25">
      <c r="A626" s="440" t="s">
        <v>278</v>
      </c>
      <c r="B626" s="441"/>
      <c r="C626" s="441"/>
      <c r="D626" s="442" t="s">
        <v>586</v>
      </c>
      <c r="E626" s="446"/>
      <c r="F626" s="443">
        <v>1</v>
      </c>
      <c r="G626" s="443"/>
      <c r="H626" s="443"/>
      <c r="I626" s="443"/>
      <c r="J626" s="443">
        <v>1</v>
      </c>
    </row>
    <row r="627" spans="1:10" x14ac:dyDescent="0.25">
      <c r="A627" s="440"/>
      <c r="B627" s="441"/>
      <c r="C627" s="441"/>
      <c r="D627" s="442"/>
      <c r="E627" s="446"/>
      <c r="F627" s="443"/>
      <c r="G627" s="443"/>
      <c r="H627" s="443"/>
      <c r="I627" s="443"/>
      <c r="J627" s="443"/>
    </row>
    <row r="628" spans="1:10" s="462" customFormat="1" x14ac:dyDescent="0.25">
      <c r="A628" s="455" t="s">
        <v>1</v>
      </c>
      <c r="B628" s="456" t="s">
        <v>2</v>
      </c>
      <c r="C628" s="456" t="s">
        <v>3</v>
      </c>
      <c r="D628" s="457" t="s">
        <v>4</v>
      </c>
      <c r="E628" s="456" t="s">
        <v>5</v>
      </c>
      <c r="F628" s="458" t="s">
        <v>6</v>
      </c>
      <c r="G628" s="458"/>
      <c r="H628" s="458"/>
      <c r="I628" s="458"/>
      <c r="J628" s="459" t="s">
        <v>9</v>
      </c>
    </row>
    <row r="629" spans="1:10" s="463" customFormat="1" ht="26.4" x14ac:dyDescent="0.25">
      <c r="A629" s="450" t="s">
        <v>929</v>
      </c>
      <c r="B629" s="451" t="s">
        <v>607</v>
      </c>
      <c r="C629" s="451" t="s">
        <v>13</v>
      </c>
      <c r="D629" s="452" t="s">
        <v>608</v>
      </c>
      <c r="E629" s="451" t="s">
        <v>14</v>
      </c>
      <c r="F629" s="453"/>
      <c r="G629" s="453"/>
      <c r="H629" s="453"/>
      <c r="I629" s="453"/>
      <c r="J629" s="453"/>
    </row>
    <row r="630" spans="1:10" x14ac:dyDescent="0.25">
      <c r="A630" s="440" t="s">
        <v>278</v>
      </c>
      <c r="B630" s="441"/>
      <c r="C630" s="441"/>
      <c r="D630" s="442" t="s">
        <v>609</v>
      </c>
      <c r="E630" s="446"/>
      <c r="F630" s="443">
        <v>1</v>
      </c>
      <c r="G630" s="443"/>
      <c r="H630" s="443"/>
      <c r="I630" s="443"/>
      <c r="J630" s="443">
        <v>3</v>
      </c>
    </row>
    <row r="631" spans="1:10" x14ac:dyDescent="0.25">
      <c r="A631" s="440" t="s">
        <v>278</v>
      </c>
      <c r="B631" s="441"/>
      <c r="C631" s="441"/>
      <c r="D631" s="442" t="s">
        <v>610</v>
      </c>
      <c r="E631" s="446"/>
      <c r="F631" s="443">
        <v>2</v>
      </c>
      <c r="G631" s="443"/>
      <c r="H631" s="443"/>
      <c r="I631" s="443"/>
      <c r="J631" s="443"/>
    </row>
    <row r="632" spans="1:10" x14ac:dyDescent="0.25">
      <c r="A632" s="440"/>
      <c r="B632" s="441"/>
      <c r="C632" s="441"/>
      <c r="D632" s="442"/>
      <c r="E632" s="446"/>
      <c r="F632" s="443"/>
      <c r="G632" s="443"/>
      <c r="H632" s="443"/>
      <c r="I632" s="443"/>
      <c r="J632" s="443"/>
    </row>
    <row r="633" spans="1:10" s="462" customFormat="1" x14ac:dyDescent="0.25">
      <c r="A633" s="455" t="s">
        <v>1</v>
      </c>
      <c r="B633" s="456" t="s">
        <v>2</v>
      </c>
      <c r="C633" s="456" t="s">
        <v>3</v>
      </c>
      <c r="D633" s="457" t="s">
        <v>4</v>
      </c>
      <c r="E633" s="456" t="s">
        <v>5</v>
      </c>
      <c r="F633" s="458" t="s">
        <v>6</v>
      </c>
      <c r="G633" s="458"/>
      <c r="H633" s="458"/>
      <c r="I633" s="458"/>
      <c r="J633" s="459" t="s">
        <v>9</v>
      </c>
    </row>
    <row r="634" spans="1:10" s="463" customFormat="1" ht="39.6" x14ac:dyDescent="0.25">
      <c r="A634" s="450" t="s">
        <v>930</v>
      </c>
      <c r="B634" s="451">
        <v>7826</v>
      </c>
      <c r="C634" s="451" t="s">
        <v>581</v>
      </c>
      <c r="D634" s="466" t="s">
        <v>611</v>
      </c>
      <c r="E634" s="467" t="s">
        <v>14</v>
      </c>
      <c r="F634" s="453"/>
      <c r="G634" s="453"/>
      <c r="H634" s="453"/>
      <c r="I634" s="453"/>
      <c r="J634" s="453"/>
    </row>
    <row r="635" spans="1:10" x14ac:dyDescent="0.25">
      <c r="A635" s="440" t="s">
        <v>278</v>
      </c>
      <c r="B635" s="441"/>
      <c r="C635" s="441"/>
      <c r="D635" s="447" t="s">
        <v>612</v>
      </c>
      <c r="E635" s="446"/>
      <c r="F635" s="443">
        <v>1</v>
      </c>
      <c r="G635" s="443"/>
      <c r="H635" s="443"/>
      <c r="I635" s="443"/>
      <c r="J635" s="443">
        <v>1</v>
      </c>
    </row>
    <row r="636" spans="1:10" x14ac:dyDescent="0.25">
      <c r="A636" s="440"/>
      <c r="B636" s="441"/>
      <c r="C636" s="441"/>
      <c r="D636" s="447"/>
      <c r="E636" s="446"/>
      <c r="F636" s="443"/>
      <c r="G636" s="443"/>
      <c r="H636" s="443"/>
      <c r="I636" s="443"/>
      <c r="J636" s="443"/>
    </row>
    <row r="637" spans="1:10" s="462" customFormat="1" x14ac:dyDescent="0.25">
      <c r="A637" s="455" t="s">
        <v>1</v>
      </c>
      <c r="B637" s="456" t="s">
        <v>2</v>
      </c>
      <c r="C637" s="456" t="s">
        <v>3</v>
      </c>
      <c r="D637" s="457" t="s">
        <v>4</v>
      </c>
      <c r="E637" s="456" t="s">
        <v>5</v>
      </c>
      <c r="F637" s="458"/>
      <c r="G637" s="458" t="s">
        <v>61</v>
      </c>
      <c r="H637" s="458"/>
      <c r="I637" s="458"/>
      <c r="J637" s="459" t="s">
        <v>9</v>
      </c>
    </row>
    <row r="638" spans="1:10" s="463" customFormat="1" ht="26.4" x14ac:dyDescent="0.25">
      <c r="A638" s="450" t="s">
        <v>931</v>
      </c>
      <c r="B638" s="451" t="s">
        <v>613</v>
      </c>
      <c r="C638" s="451" t="s">
        <v>581</v>
      </c>
      <c r="D638" s="452" t="s">
        <v>614</v>
      </c>
      <c r="E638" s="451" t="s">
        <v>16</v>
      </c>
      <c r="F638" s="453"/>
      <c r="G638" s="453"/>
      <c r="H638" s="453"/>
      <c r="I638" s="453"/>
      <c r="J638" s="453"/>
    </row>
    <row r="639" spans="1:10" x14ac:dyDescent="0.25">
      <c r="A639" s="437" t="s">
        <v>278</v>
      </c>
      <c r="B639" s="438"/>
      <c r="C639" s="438"/>
      <c r="D639" s="447" t="s">
        <v>612</v>
      </c>
      <c r="E639" s="441"/>
      <c r="F639" s="439"/>
      <c r="G639" s="443">
        <v>28.815000000000001</v>
      </c>
      <c r="H639" s="439"/>
      <c r="I639" s="439"/>
      <c r="J639" s="443">
        <v>62.74</v>
      </c>
    </row>
    <row r="640" spans="1:10" x14ac:dyDescent="0.25">
      <c r="A640" s="437" t="s">
        <v>278</v>
      </c>
      <c r="B640" s="438"/>
      <c r="C640" s="438"/>
      <c r="D640" s="447" t="s">
        <v>615</v>
      </c>
      <c r="E640" s="441"/>
      <c r="F640" s="439"/>
      <c r="G640" s="443">
        <v>33.92</v>
      </c>
      <c r="H640" s="439"/>
      <c r="I640" s="439"/>
      <c r="J640" s="439"/>
    </row>
    <row r="641" spans="1:10" x14ac:dyDescent="0.25">
      <c r="A641" s="437"/>
      <c r="B641" s="438"/>
      <c r="C641" s="438"/>
      <c r="D641" s="447"/>
      <c r="E641" s="441"/>
      <c r="F641" s="439"/>
      <c r="G641" s="443"/>
      <c r="H641" s="439"/>
      <c r="I641" s="439"/>
      <c r="J641" s="439"/>
    </row>
    <row r="642" spans="1:10" s="462" customFormat="1" x14ac:dyDescent="0.25">
      <c r="A642" s="455" t="s">
        <v>1</v>
      </c>
      <c r="B642" s="456" t="s">
        <v>2</v>
      </c>
      <c r="C642" s="456" t="s">
        <v>3</v>
      </c>
      <c r="D642" s="457" t="s">
        <v>4</v>
      </c>
      <c r="E642" s="456" t="s">
        <v>5</v>
      </c>
      <c r="F642" s="458" t="s">
        <v>6</v>
      </c>
      <c r="G642" s="458"/>
      <c r="H642" s="458"/>
      <c r="I642" s="458"/>
      <c r="J642" s="459" t="s">
        <v>9</v>
      </c>
    </row>
    <row r="643" spans="1:10" s="463" customFormat="1" x14ac:dyDescent="0.25">
      <c r="A643" s="450" t="s">
        <v>932</v>
      </c>
      <c r="B643" s="451" t="s">
        <v>616</v>
      </c>
      <c r="C643" s="451" t="s">
        <v>581</v>
      </c>
      <c r="D643" s="452" t="s">
        <v>617</v>
      </c>
      <c r="E643" s="451" t="s">
        <v>14</v>
      </c>
      <c r="F643" s="453"/>
      <c r="G643" s="453"/>
      <c r="H643" s="453"/>
      <c r="I643" s="453"/>
      <c r="J643" s="453"/>
    </row>
    <row r="644" spans="1:10" x14ac:dyDescent="0.25">
      <c r="A644" s="440" t="s">
        <v>278</v>
      </c>
      <c r="B644" s="441"/>
      <c r="C644" s="441"/>
      <c r="D644" s="442" t="s">
        <v>618</v>
      </c>
      <c r="E644" s="441"/>
      <c r="F644" s="443">
        <v>1</v>
      </c>
      <c r="G644" s="443"/>
      <c r="H644" s="443"/>
      <c r="I644" s="443"/>
      <c r="J644" s="443">
        <v>1</v>
      </c>
    </row>
    <row r="645" spans="1:10" x14ac:dyDescent="0.25">
      <c r="A645" s="440"/>
      <c r="B645" s="441"/>
      <c r="C645" s="441"/>
      <c r="D645" s="442"/>
      <c r="E645" s="441"/>
      <c r="F645" s="443"/>
      <c r="G645" s="443"/>
      <c r="H645" s="443"/>
      <c r="I645" s="443"/>
      <c r="J645" s="443"/>
    </row>
    <row r="646" spans="1:10" s="462" customFormat="1" x14ac:dyDescent="0.25">
      <c r="A646" s="455" t="s">
        <v>1</v>
      </c>
      <c r="B646" s="456" t="s">
        <v>2</v>
      </c>
      <c r="C646" s="456" t="s">
        <v>3</v>
      </c>
      <c r="D646" s="457" t="s">
        <v>4</v>
      </c>
      <c r="E646" s="456" t="s">
        <v>5</v>
      </c>
      <c r="F646" s="458" t="s">
        <v>6</v>
      </c>
      <c r="G646" s="458"/>
      <c r="H646" s="458"/>
      <c r="I646" s="458"/>
      <c r="J646" s="459" t="s">
        <v>9</v>
      </c>
    </row>
    <row r="647" spans="1:10" s="463" customFormat="1" x14ac:dyDescent="0.25">
      <c r="A647" s="450" t="s">
        <v>933</v>
      </c>
      <c r="B647" s="451" t="s">
        <v>619</v>
      </c>
      <c r="C647" s="451" t="s">
        <v>581</v>
      </c>
      <c r="D647" s="452" t="s">
        <v>620</v>
      </c>
      <c r="E647" s="451" t="s">
        <v>14</v>
      </c>
      <c r="F647" s="453"/>
      <c r="G647" s="453"/>
      <c r="H647" s="453"/>
      <c r="I647" s="453"/>
      <c r="J647" s="453"/>
    </row>
    <row r="648" spans="1:10" x14ac:dyDescent="0.25">
      <c r="A648" s="440" t="s">
        <v>278</v>
      </c>
      <c r="B648" s="441"/>
      <c r="C648" s="441"/>
      <c r="D648" s="442" t="s">
        <v>621</v>
      </c>
      <c r="E648" s="441"/>
      <c r="F648" s="443">
        <v>1</v>
      </c>
      <c r="G648" s="443"/>
      <c r="H648" s="443"/>
      <c r="I648" s="443"/>
      <c r="J648" s="443">
        <v>1</v>
      </c>
    </row>
    <row r="649" spans="1:10" x14ac:dyDescent="0.25">
      <c r="A649" s="440"/>
      <c r="B649" s="441"/>
      <c r="C649" s="441"/>
      <c r="D649" s="442"/>
      <c r="E649" s="441"/>
      <c r="F649" s="443"/>
      <c r="G649" s="443"/>
      <c r="H649" s="443"/>
      <c r="I649" s="443"/>
      <c r="J649" s="443"/>
    </row>
    <row r="650" spans="1:10" s="462" customFormat="1" x14ac:dyDescent="0.25">
      <c r="A650" s="455" t="s">
        <v>1</v>
      </c>
      <c r="B650" s="456" t="s">
        <v>2</v>
      </c>
      <c r="C650" s="456" t="s">
        <v>3</v>
      </c>
      <c r="D650" s="457" t="s">
        <v>4</v>
      </c>
      <c r="E650" s="456" t="s">
        <v>5</v>
      </c>
      <c r="F650" s="458" t="s">
        <v>6</v>
      </c>
      <c r="G650" s="458"/>
      <c r="H650" s="458"/>
      <c r="I650" s="458"/>
      <c r="J650" s="459" t="s">
        <v>9</v>
      </c>
    </row>
    <row r="651" spans="1:10" s="463" customFormat="1" ht="26.4" x14ac:dyDescent="0.25">
      <c r="A651" s="450" t="s">
        <v>934</v>
      </c>
      <c r="B651" s="451" t="s">
        <v>622</v>
      </c>
      <c r="C651" s="451" t="s">
        <v>581</v>
      </c>
      <c r="D651" s="452" t="s">
        <v>623</v>
      </c>
      <c r="E651" s="451" t="s">
        <v>14</v>
      </c>
      <c r="F651" s="453"/>
      <c r="G651" s="453"/>
      <c r="H651" s="453"/>
      <c r="I651" s="453"/>
      <c r="J651" s="453"/>
    </row>
    <row r="652" spans="1:10" x14ac:dyDescent="0.25">
      <c r="A652" s="440" t="s">
        <v>278</v>
      </c>
      <c r="B652" s="441"/>
      <c r="C652" s="441"/>
      <c r="D652" s="442" t="s">
        <v>624</v>
      </c>
      <c r="E652" s="441"/>
      <c r="F652" s="443">
        <f>F648</f>
        <v>1</v>
      </c>
      <c r="G652" s="443"/>
      <c r="H652" s="443"/>
      <c r="I652" s="443"/>
      <c r="J652" s="443">
        <v>1</v>
      </c>
    </row>
    <row r="653" spans="1:10" x14ac:dyDescent="0.25">
      <c r="A653" s="440"/>
      <c r="B653" s="441"/>
      <c r="C653" s="441"/>
      <c r="D653" s="442"/>
      <c r="E653" s="441"/>
      <c r="F653" s="443"/>
      <c r="G653" s="443"/>
      <c r="H653" s="443"/>
      <c r="I653" s="443"/>
      <c r="J653" s="443"/>
    </row>
    <row r="654" spans="1:10" s="462" customFormat="1" x14ac:dyDescent="0.25">
      <c r="A654" s="455" t="s">
        <v>1</v>
      </c>
      <c r="B654" s="456" t="s">
        <v>2</v>
      </c>
      <c r="C654" s="456" t="s">
        <v>3</v>
      </c>
      <c r="D654" s="457" t="s">
        <v>4</v>
      </c>
      <c r="E654" s="456" t="s">
        <v>5</v>
      </c>
      <c r="F654" s="458" t="s">
        <v>6</v>
      </c>
      <c r="G654" s="458"/>
      <c r="H654" s="458"/>
      <c r="I654" s="458"/>
      <c r="J654" s="459" t="s">
        <v>9</v>
      </c>
    </row>
    <row r="655" spans="1:10" s="463" customFormat="1" ht="26.4" x14ac:dyDescent="0.25">
      <c r="A655" s="450" t="s">
        <v>935</v>
      </c>
      <c r="B655" s="451" t="s">
        <v>625</v>
      </c>
      <c r="C655" s="451" t="s">
        <v>581</v>
      </c>
      <c r="D655" s="452" t="s">
        <v>626</v>
      </c>
      <c r="E655" s="451" t="s">
        <v>14</v>
      </c>
      <c r="F655" s="453"/>
      <c r="G655" s="468"/>
      <c r="H655" s="453"/>
      <c r="I655" s="453"/>
      <c r="J655" s="453"/>
    </row>
    <row r="656" spans="1:10" x14ac:dyDescent="0.25">
      <c r="A656" s="440" t="s">
        <v>278</v>
      </c>
      <c r="B656" s="441"/>
      <c r="C656" s="441"/>
      <c r="D656" s="442" t="s">
        <v>627</v>
      </c>
      <c r="E656" s="441"/>
      <c r="F656" s="443">
        <v>1</v>
      </c>
      <c r="G656" s="449"/>
      <c r="H656" s="443"/>
      <c r="I656" s="443"/>
      <c r="J656" s="443">
        <v>1</v>
      </c>
    </row>
    <row r="657" spans="1:10" x14ac:dyDescent="0.25">
      <c r="A657" s="440"/>
      <c r="B657" s="441"/>
      <c r="C657" s="441"/>
      <c r="D657" s="442"/>
      <c r="E657" s="441"/>
      <c r="F657" s="443"/>
      <c r="G657" s="449"/>
      <c r="H657" s="443"/>
      <c r="I657" s="443"/>
      <c r="J657" s="443"/>
    </row>
    <row r="658" spans="1:10" s="462" customFormat="1" x14ac:dyDescent="0.25">
      <c r="A658" s="455" t="s">
        <v>1</v>
      </c>
      <c r="B658" s="456" t="s">
        <v>2</v>
      </c>
      <c r="C658" s="456" t="s">
        <v>3</v>
      </c>
      <c r="D658" s="457" t="s">
        <v>4</v>
      </c>
      <c r="E658" s="456" t="s">
        <v>5</v>
      </c>
      <c r="F658" s="458" t="s">
        <v>6</v>
      </c>
      <c r="G658" s="458"/>
      <c r="H658" s="458"/>
      <c r="I658" s="458"/>
      <c r="J658" s="459" t="s">
        <v>9</v>
      </c>
    </row>
    <row r="659" spans="1:10" s="463" customFormat="1" ht="26.4" x14ac:dyDescent="0.25">
      <c r="A659" s="450" t="s">
        <v>936</v>
      </c>
      <c r="B659" s="451" t="s">
        <v>628</v>
      </c>
      <c r="C659" s="451" t="s">
        <v>581</v>
      </c>
      <c r="D659" s="452" t="s">
        <v>629</v>
      </c>
      <c r="E659" s="451" t="s">
        <v>14</v>
      </c>
      <c r="F659" s="453"/>
      <c r="G659" s="468"/>
      <c r="H659" s="453"/>
      <c r="I659" s="453"/>
      <c r="J659" s="453"/>
    </row>
    <row r="660" spans="1:10" x14ac:dyDescent="0.25">
      <c r="A660" s="437" t="s">
        <v>278</v>
      </c>
      <c r="B660" s="438"/>
      <c r="C660" s="438"/>
      <c r="D660" s="442" t="s">
        <v>630</v>
      </c>
      <c r="E660" s="441"/>
      <c r="F660" s="443">
        <v>1</v>
      </c>
      <c r="G660" s="448"/>
      <c r="H660" s="439"/>
      <c r="I660" s="439"/>
      <c r="J660" s="439">
        <v>1</v>
      </c>
    </row>
    <row r="661" spans="1:10" x14ac:dyDescent="0.25">
      <c r="A661" s="437"/>
      <c r="B661" s="438"/>
      <c r="C661" s="438"/>
      <c r="D661" s="442"/>
      <c r="E661" s="441"/>
      <c r="F661" s="443"/>
      <c r="G661" s="448"/>
      <c r="H661" s="439"/>
      <c r="I661" s="439"/>
      <c r="J661" s="439"/>
    </row>
    <row r="662" spans="1:10" s="462" customFormat="1" x14ac:dyDescent="0.25">
      <c r="A662" s="455" t="s">
        <v>1</v>
      </c>
      <c r="B662" s="456" t="s">
        <v>2</v>
      </c>
      <c r="C662" s="456" t="s">
        <v>3</v>
      </c>
      <c r="D662" s="457" t="s">
        <v>4</v>
      </c>
      <c r="E662" s="456" t="s">
        <v>5</v>
      </c>
      <c r="F662" s="458" t="s">
        <v>6</v>
      </c>
      <c r="G662" s="458"/>
      <c r="H662" s="458"/>
      <c r="I662" s="458"/>
      <c r="J662" s="459" t="s">
        <v>9</v>
      </c>
    </row>
    <row r="663" spans="1:10" s="463" customFormat="1" ht="26.4" x14ac:dyDescent="0.25">
      <c r="A663" s="450" t="s">
        <v>937</v>
      </c>
      <c r="B663" s="451" t="s">
        <v>631</v>
      </c>
      <c r="C663" s="451" t="s">
        <v>581</v>
      </c>
      <c r="D663" s="452" t="s">
        <v>632</v>
      </c>
      <c r="E663" s="451" t="s">
        <v>14</v>
      </c>
      <c r="F663" s="453"/>
      <c r="G663" s="468"/>
      <c r="H663" s="453"/>
      <c r="I663" s="453"/>
      <c r="J663" s="453"/>
    </row>
    <row r="664" spans="1:10" x14ac:dyDescent="0.25">
      <c r="A664" s="440" t="s">
        <v>278</v>
      </c>
      <c r="B664" s="441"/>
      <c r="C664" s="441"/>
      <c r="D664" s="442" t="s">
        <v>633</v>
      </c>
      <c r="E664" s="441"/>
      <c r="F664" s="443">
        <v>1</v>
      </c>
      <c r="G664" s="449"/>
      <c r="H664" s="443"/>
      <c r="I664" s="443"/>
      <c r="J664" s="443">
        <v>2</v>
      </c>
    </row>
    <row r="665" spans="1:10" x14ac:dyDescent="0.25">
      <c r="A665" s="440" t="s">
        <v>278</v>
      </c>
      <c r="B665" s="441"/>
      <c r="C665" s="441"/>
      <c r="D665" s="442" t="s">
        <v>634</v>
      </c>
      <c r="E665" s="441"/>
      <c r="F665" s="443">
        <v>1</v>
      </c>
      <c r="G665" s="449"/>
      <c r="H665" s="443"/>
      <c r="I665" s="443"/>
      <c r="J665" s="443"/>
    </row>
    <row r="666" spans="1:10" x14ac:dyDescent="0.25">
      <c r="A666" s="440"/>
      <c r="B666" s="441"/>
      <c r="C666" s="441"/>
      <c r="D666" s="442"/>
      <c r="E666" s="441"/>
      <c r="F666" s="443"/>
      <c r="G666" s="449"/>
      <c r="H666" s="443"/>
      <c r="I666" s="443"/>
      <c r="J666" s="443"/>
    </row>
    <row r="667" spans="1:10" s="462" customFormat="1" x14ac:dyDescent="0.25">
      <c r="A667" s="455" t="s">
        <v>1</v>
      </c>
      <c r="B667" s="456" t="s">
        <v>2</v>
      </c>
      <c r="C667" s="456" t="s">
        <v>3</v>
      </c>
      <c r="D667" s="457" t="s">
        <v>4</v>
      </c>
      <c r="E667" s="456" t="s">
        <v>5</v>
      </c>
      <c r="F667" s="458" t="s">
        <v>6</v>
      </c>
      <c r="G667" s="458"/>
      <c r="H667" s="458"/>
      <c r="I667" s="458"/>
      <c r="J667" s="459" t="s">
        <v>9</v>
      </c>
    </row>
    <row r="668" spans="1:10" s="463" customFormat="1" ht="26.4" x14ac:dyDescent="0.25">
      <c r="A668" s="450" t="s">
        <v>938</v>
      </c>
      <c r="B668" s="451" t="s">
        <v>635</v>
      </c>
      <c r="C668" s="451" t="s">
        <v>581</v>
      </c>
      <c r="D668" s="452" t="s">
        <v>636</v>
      </c>
      <c r="E668" s="451" t="s">
        <v>14</v>
      </c>
      <c r="F668" s="453"/>
      <c r="G668" s="468"/>
      <c r="H668" s="453"/>
      <c r="I668" s="453"/>
      <c r="J668" s="453"/>
    </row>
    <row r="669" spans="1:10" x14ac:dyDescent="0.25">
      <c r="A669" s="440" t="s">
        <v>278</v>
      </c>
      <c r="B669" s="441"/>
      <c r="C669" s="441"/>
      <c r="D669" s="442" t="s">
        <v>633</v>
      </c>
      <c r="E669" s="441"/>
      <c r="F669" s="443">
        <v>1</v>
      </c>
      <c r="G669" s="449"/>
      <c r="H669" s="443"/>
      <c r="I669" s="443"/>
      <c r="J669" s="443">
        <v>2</v>
      </c>
    </row>
    <row r="670" spans="1:10" x14ac:dyDescent="0.25">
      <c r="A670" s="440" t="s">
        <v>278</v>
      </c>
      <c r="B670" s="441"/>
      <c r="C670" s="441"/>
      <c r="D670" s="442" t="s">
        <v>634</v>
      </c>
      <c r="E670" s="441"/>
      <c r="F670" s="443">
        <v>1</v>
      </c>
      <c r="G670" s="449"/>
      <c r="H670" s="443"/>
      <c r="I670" s="443"/>
      <c r="J670" s="443"/>
    </row>
    <row r="671" spans="1:10" x14ac:dyDescent="0.25">
      <c r="A671" s="440"/>
      <c r="B671" s="441"/>
      <c r="C671" s="441"/>
      <c r="D671" s="442"/>
      <c r="E671" s="441"/>
      <c r="F671" s="443"/>
      <c r="G671" s="449"/>
      <c r="H671" s="443"/>
      <c r="I671" s="443"/>
      <c r="J671" s="443"/>
    </row>
    <row r="672" spans="1:10" s="462" customFormat="1" x14ac:dyDescent="0.25">
      <c r="A672" s="455" t="s">
        <v>1</v>
      </c>
      <c r="B672" s="456" t="s">
        <v>2</v>
      </c>
      <c r="C672" s="456" t="s">
        <v>3</v>
      </c>
      <c r="D672" s="457" t="s">
        <v>4</v>
      </c>
      <c r="E672" s="456" t="s">
        <v>5</v>
      </c>
      <c r="F672" s="458" t="s">
        <v>6</v>
      </c>
      <c r="G672" s="458"/>
      <c r="H672" s="458"/>
      <c r="I672" s="458"/>
      <c r="J672" s="459" t="s">
        <v>9</v>
      </c>
    </row>
    <row r="673" spans="1:10" s="463" customFormat="1" ht="26.4" x14ac:dyDescent="0.25">
      <c r="A673" s="450" t="s">
        <v>939</v>
      </c>
      <c r="B673" s="451" t="s">
        <v>637</v>
      </c>
      <c r="C673" s="451" t="s">
        <v>581</v>
      </c>
      <c r="D673" s="452" t="s">
        <v>638</v>
      </c>
      <c r="E673" s="451" t="s">
        <v>14</v>
      </c>
      <c r="F673" s="453"/>
      <c r="G673" s="468"/>
      <c r="H673" s="453"/>
      <c r="I673" s="453"/>
      <c r="J673" s="453"/>
    </row>
    <row r="674" spans="1:10" x14ac:dyDescent="0.25">
      <c r="A674" s="437" t="s">
        <v>278</v>
      </c>
      <c r="B674" s="438"/>
      <c r="C674" s="438"/>
      <c r="D674" s="442" t="s">
        <v>634</v>
      </c>
      <c r="E674" s="438"/>
      <c r="F674" s="443">
        <v>3</v>
      </c>
      <c r="G674" s="448"/>
      <c r="H674" s="439"/>
      <c r="I674" s="439"/>
      <c r="J674" s="439">
        <v>3</v>
      </c>
    </row>
    <row r="675" spans="1:10" x14ac:dyDescent="0.25">
      <c r="A675" s="437"/>
      <c r="B675" s="438"/>
      <c r="C675" s="438"/>
      <c r="D675" s="442"/>
      <c r="E675" s="438"/>
      <c r="F675" s="443"/>
      <c r="G675" s="448"/>
      <c r="H675" s="439"/>
      <c r="I675" s="439"/>
      <c r="J675" s="439"/>
    </row>
    <row r="676" spans="1:10" s="462" customFormat="1" x14ac:dyDescent="0.25">
      <c r="A676" s="455" t="s">
        <v>1</v>
      </c>
      <c r="B676" s="456" t="s">
        <v>2</v>
      </c>
      <c r="C676" s="456" t="s">
        <v>3</v>
      </c>
      <c r="D676" s="457" t="s">
        <v>4</v>
      </c>
      <c r="E676" s="456" t="s">
        <v>5</v>
      </c>
      <c r="F676" s="458" t="s">
        <v>6</v>
      </c>
      <c r="G676" s="458"/>
      <c r="H676" s="458"/>
      <c r="I676" s="458"/>
      <c r="J676" s="459" t="s">
        <v>9</v>
      </c>
    </row>
    <row r="677" spans="1:10" s="463" customFormat="1" ht="26.4" x14ac:dyDescent="0.25">
      <c r="A677" s="450" t="s">
        <v>940</v>
      </c>
      <c r="B677" s="451" t="s">
        <v>639</v>
      </c>
      <c r="C677" s="451" t="s">
        <v>581</v>
      </c>
      <c r="D677" s="452" t="s">
        <v>640</v>
      </c>
      <c r="E677" s="451" t="s">
        <v>14</v>
      </c>
      <c r="F677" s="453"/>
      <c r="G677" s="468"/>
      <c r="H677" s="453"/>
      <c r="I677" s="453"/>
      <c r="J677" s="453"/>
    </row>
    <row r="678" spans="1:10" x14ac:dyDescent="0.25">
      <c r="A678" s="437" t="s">
        <v>278</v>
      </c>
      <c r="B678" s="438"/>
      <c r="C678" s="438"/>
      <c r="D678" s="442" t="s">
        <v>634</v>
      </c>
      <c r="E678" s="438"/>
      <c r="F678" s="443">
        <v>3</v>
      </c>
      <c r="G678" s="448"/>
      <c r="H678" s="439"/>
      <c r="I678" s="439"/>
      <c r="J678" s="439">
        <v>3</v>
      </c>
    </row>
    <row r="679" spans="1:10" x14ac:dyDescent="0.25">
      <c r="A679" s="437"/>
      <c r="B679" s="438"/>
      <c r="C679" s="438"/>
      <c r="D679" s="442"/>
      <c r="E679" s="438"/>
      <c r="F679" s="443"/>
      <c r="G679" s="448"/>
      <c r="H679" s="439"/>
      <c r="I679" s="439"/>
      <c r="J679" s="439"/>
    </row>
    <row r="680" spans="1:10" s="462" customFormat="1" x14ac:dyDescent="0.25">
      <c r="A680" s="455" t="s">
        <v>1</v>
      </c>
      <c r="B680" s="456" t="s">
        <v>2</v>
      </c>
      <c r="C680" s="456" t="s">
        <v>3</v>
      </c>
      <c r="D680" s="457" t="s">
        <v>4</v>
      </c>
      <c r="E680" s="456" t="s">
        <v>5</v>
      </c>
      <c r="F680" s="458" t="s">
        <v>6</v>
      </c>
      <c r="G680" s="458"/>
      <c r="H680" s="458"/>
      <c r="I680" s="458"/>
      <c r="J680" s="459" t="s">
        <v>9</v>
      </c>
    </row>
    <row r="681" spans="1:10" s="463" customFormat="1" x14ac:dyDescent="0.25">
      <c r="A681" s="450" t="s">
        <v>941</v>
      </c>
      <c r="B681" s="451" t="s">
        <v>641</v>
      </c>
      <c r="C681" s="451" t="s">
        <v>581</v>
      </c>
      <c r="D681" s="452" t="s">
        <v>642</v>
      </c>
      <c r="E681" s="451" t="s">
        <v>14</v>
      </c>
      <c r="F681" s="453"/>
      <c r="G681" s="468"/>
      <c r="H681" s="453"/>
      <c r="I681" s="453"/>
      <c r="J681" s="453"/>
    </row>
    <row r="682" spans="1:10" x14ac:dyDescent="0.25">
      <c r="A682" s="440" t="s">
        <v>278</v>
      </c>
      <c r="B682" s="441"/>
      <c r="C682" s="441"/>
      <c r="D682" s="442" t="s">
        <v>633</v>
      </c>
      <c r="E682" s="441"/>
      <c r="F682" s="443">
        <v>3</v>
      </c>
      <c r="G682" s="449"/>
      <c r="H682" s="443"/>
      <c r="I682" s="443"/>
      <c r="J682" s="443">
        <v>5</v>
      </c>
    </row>
    <row r="683" spans="1:10" x14ac:dyDescent="0.25">
      <c r="A683" s="440" t="s">
        <v>278</v>
      </c>
      <c r="B683" s="441"/>
      <c r="C683" s="441"/>
      <c r="D683" s="442" t="s">
        <v>634</v>
      </c>
      <c r="E683" s="441"/>
      <c r="F683" s="443">
        <v>2</v>
      </c>
      <c r="G683" s="449"/>
      <c r="H683" s="443"/>
      <c r="I683" s="443"/>
      <c r="J683" s="443"/>
    </row>
    <row r="684" spans="1:10" x14ac:dyDescent="0.25">
      <c r="A684" s="440"/>
      <c r="B684" s="441"/>
      <c r="C684" s="441"/>
      <c r="D684" s="442"/>
      <c r="E684" s="441"/>
      <c r="F684" s="443"/>
      <c r="G684" s="449"/>
      <c r="H684" s="443"/>
      <c r="I684" s="443"/>
      <c r="J684" s="443"/>
    </row>
    <row r="685" spans="1:10" s="462" customFormat="1" x14ac:dyDescent="0.25">
      <c r="A685" s="455" t="s">
        <v>1</v>
      </c>
      <c r="B685" s="456" t="s">
        <v>2</v>
      </c>
      <c r="C685" s="456" t="s">
        <v>3</v>
      </c>
      <c r="D685" s="457" t="s">
        <v>4</v>
      </c>
      <c r="E685" s="456" t="s">
        <v>5</v>
      </c>
      <c r="F685" s="458" t="s">
        <v>6</v>
      </c>
      <c r="G685" s="458"/>
      <c r="H685" s="458"/>
      <c r="I685" s="458"/>
      <c r="J685" s="459" t="s">
        <v>9</v>
      </c>
    </row>
    <row r="686" spans="1:10" s="463" customFormat="1" ht="26.4" x14ac:dyDescent="0.25">
      <c r="A686" s="450" t="s">
        <v>942</v>
      </c>
      <c r="B686" s="451" t="s">
        <v>643</v>
      </c>
      <c r="C686" s="451" t="s">
        <v>581</v>
      </c>
      <c r="D686" s="452" t="s">
        <v>644</v>
      </c>
      <c r="E686" s="451" t="s">
        <v>14</v>
      </c>
      <c r="F686" s="453"/>
      <c r="G686" s="468"/>
      <c r="H686" s="453"/>
      <c r="I686" s="453"/>
      <c r="J686" s="453"/>
    </row>
    <row r="687" spans="1:10" x14ac:dyDescent="0.25">
      <c r="A687" s="437" t="s">
        <v>278</v>
      </c>
      <c r="B687" s="438"/>
      <c r="C687" s="438"/>
      <c r="D687" s="442" t="s">
        <v>645</v>
      </c>
      <c r="E687" s="441"/>
      <c r="F687" s="443">
        <v>60</v>
      </c>
      <c r="G687" s="448"/>
      <c r="H687" s="439"/>
      <c r="I687" s="439"/>
      <c r="J687" s="439">
        <v>60</v>
      </c>
    </row>
    <row r="688" spans="1:10" x14ac:dyDescent="0.25">
      <c r="A688" s="437"/>
      <c r="B688" s="438"/>
      <c r="C688" s="438"/>
      <c r="D688" s="442"/>
      <c r="E688" s="441"/>
      <c r="F688" s="443"/>
      <c r="G688" s="448"/>
      <c r="H688" s="439"/>
      <c r="I688" s="439"/>
      <c r="J688" s="439"/>
    </row>
    <row r="689" spans="1:10" s="462" customFormat="1" x14ac:dyDescent="0.25">
      <c r="A689" s="455" t="s">
        <v>1</v>
      </c>
      <c r="B689" s="456" t="s">
        <v>2</v>
      </c>
      <c r="C689" s="456" t="s">
        <v>3</v>
      </c>
      <c r="D689" s="457" t="s">
        <v>4</v>
      </c>
      <c r="E689" s="456" t="s">
        <v>5</v>
      </c>
      <c r="F689" s="458" t="s">
        <v>6</v>
      </c>
      <c r="G689" s="458"/>
      <c r="H689" s="458"/>
      <c r="I689" s="458"/>
      <c r="J689" s="459" t="s">
        <v>9</v>
      </c>
    </row>
    <row r="690" spans="1:10" s="463" customFormat="1" ht="26.4" x14ac:dyDescent="0.25">
      <c r="A690" s="450" t="s">
        <v>943</v>
      </c>
      <c r="B690" s="451" t="s">
        <v>646</v>
      </c>
      <c r="C690" s="451" t="s">
        <v>581</v>
      </c>
      <c r="D690" s="452" t="s">
        <v>647</v>
      </c>
      <c r="E690" s="451" t="s">
        <v>14</v>
      </c>
      <c r="F690" s="453"/>
      <c r="G690" s="468"/>
      <c r="H690" s="453"/>
      <c r="I690" s="453"/>
      <c r="J690" s="453"/>
    </row>
    <row r="691" spans="1:10" x14ac:dyDescent="0.25">
      <c r="A691" s="437" t="s">
        <v>278</v>
      </c>
      <c r="B691" s="438"/>
      <c r="C691" s="438"/>
      <c r="D691" s="442" t="s">
        <v>648</v>
      </c>
      <c r="E691" s="441"/>
      <c r="F691" s="443">
        <f>F703</f>
        <v>20</v>
      </c>
      <c r="G691" s="448"/>
      <c r="H691" s="439"/>
      <c r="I691" s="439"/>
      <c r="J691" s="439">
        <v>20</v>
      </c>
    </row>
    <row r="692" spans="1:10" x14ac:dyDescent="0.25">
      <c r="A692" s="437"/>
      <c r="B692" s="438"/>
      <c r="C692" s="438"/>
      <c r="D692" s="442"/>
      <c r="E692" s="441"/>
      <c r="F692" s="443"/>
      <c r="G692" s="448"/>
      <c r="H692" s="439"/>
      <c r="I692" s="439"/>
      <c r="J692" s="439"/>
    </row>
    <row r="693" spans="1:10" s="462" customFormat="1" x14ac:dyDescent="0.25">
      <c r="A693" s="455" t="s">
        <v>1</v>
      </c>
      <c r="B693" s="456" t="s">
        <v>2</v>
      </c>
      <c r="C693" s="456" t="s">
        <v>3</v>
      </c>
      <c r="D693" s="457" t="s">
        <v>4</v>
      </c>
      <c r="E693" s="456" t="s">
        <v>5</v>
      </c>
      <c r="F693" s="458" t="s">
        <v>6</v>
      </c>
      <c r="G693" s="458"/>
      <c r="H693" s="458"/>
      <c r="I693" s="458"/>
      <c r="J693" s="459" t="s">
        <v>9</v>
      </c>
    </row>
    <row r="694" spans="1:10" s="463" customFormat="1" ht="26.4" x14ac:dyDescent="0.25">
      <c r="A694" s="450" t="s">
        <v>944</v>
      </c>
      <c r="B694" s="451">
        <v>760</v>
      </c>
      <c r="C694" s="451" t="s">
        <v>581</v>
      </c>
      <c r="D694" s="452" t="s">
        <v>725</v>
      </c>
      <c r="E694" s="451" t="s">
        <v>14</v>
      </c>
      <c r="F694" s="453"/>
      <c r="G694" s="468"/>
      <c r="H694" s="453"/>
      <c r="I694" s="453"/>
      <c r="J694" s="453"/>
    </row>
    <row r="695" spans="1:10" x14ac:dyDescent="0.25">
      <c r="A695" s="437" t="s">
        <v>278</v>
      </c>
      <c r="B695" s="438"/>
      <c r="C695" s="438"/>
      <c r="D695" s="442" t="s">
        <v>649</v>
      </c>
      <c r="E695" s="441"/>
      <c r="F695" s="443">
        <f>F707</f>
        <v>10</v>
      </c>
      <c r="G695" s="448"/>
      <c r="H695" s="439"/>
      <c r="I695" s="439"/>
      <c r="J695" s="439">
        <v>10</v>
      </c>
    </row>
    <row r="696" spans="1:10" x14ac:dyDescent="0.25">
      <c r="A696" s="437"/>
      <c r="B696" s="438"/>
      <c r="C696" s="438"/>
      <c r="D696" s="442"/>
      <c r="E696" s="441"/>
      <c r="F696" s="443"/>
      <c r="G696" s="448"/>
      <c r="H696" s="439"/>
      <c r="I696" s="439"/>
      <c r="J696" s="439"/>
    </row>
    <row r="697" spans="1:10" s="462" customFormat="1" x14ac:dyDescent="0.25">
      <c r="A697" s="455" t="s">
        <v>1</v>
      </c>
      <c r="B697" s="456" t="s">
        <v>2</v>
      </c>
      <c r="C697" s="456" t="s">
        <v>3</v>
      </c>
      <c r="D697" s="457" t="s">
        <v>4</v>
      </c>
      <c r="E697" s="456" t="s">
        <v>5</v>
      </c>
      <c r="F697" s="458" t="s">
        <v>6</v>
      </c>
      <c r="G697" s="458"/>
      <c r="H697" s="458"/>
      <c r="I697" s="458"/>
      <c r="J697" s="459" t="s">
        <v>9</v>
      </c>
    </row>
    <row r="698" spans="1:10" s="463" customFormat="1" x14ac:dyDescent="0.25">
      <c r="A698" s="450" t="s">
        <v>945</v>
      </c>
      <c r="B698" s="451" t="s">
        <v>650</v>
      </c>
      <c r="C698" s="451" t="s">
        <v>581</v>
      </c>
      <c r="D698" s="452" t="s">
        <v>651</v>
      </c>
      <c r="E698" s="451" t="s">
        <v>14</v>
      </c>
      <c r="F698" s="453"/>
      <c r="G698" s="468"/>
      <c r="H698" s="453"/>
      <c r="I698" s="453"/>
      <c r="J698" s="453"/>
    </row>
    <row r="699" spans="1:10" x14ac:dyDescent="0.25">
      <c r="A699" s="437" t="s">
        <v>278</v>
      </c>
      <c r="B699" s="438"/>
      <c r="C699" s="438"/>
      <c r="D699" s="442" t="s">
        <v>648</v>
      </c>
      <c r="E699" s="441"/>
      <c r="F699" s="443">
        <v>60</v>
      </c>
      <c r="G699" s="448"/>
      <c r="H699" s="439"/>
      <c r="I699" s="439"/>
      <c r="J699" s="439">
        <v>60</v>
      </c>
    </row>
    <row r="700" spans="1:10" x14ac:dyDescent="0.25">
      <c r="A700" s="437"/>
      <c r="B700" s="438"/>
      <c r="C700" s="438"/>
      <c r="D700" s="442"/>
      <c r="E700" s="441"/>
      <c r="F700" s="443"/>
      <c r="G700" s="448"/>
      <c r="H700" s="439"/>
      <c r="I700" s="439"/>
      <c r="J700" s="439"/>
    </row>
    <row r="701" spans="1:10" s="462" customFormat="1" x14ac:dyDescent="0.25">
      <c r="A701" s="455" t="s">
        <v>1</v>
      </c>
      <c r="B701" s="456" t="s">
        <v>2</v>
      </c>
      <c r="C701" s="456" t="s">
        <v>3</v>
      </c>
      <c r="D701" s="457" t="s">
        <v>4</v>
      </c>
      <c r="E701" s="456" t="s">
        <v>5</v>
      </c>
      <c r="F701" s="458" t="s">
        <v>6</v>
      </c>
      <c r="G701" s="458"/>
      <c r="H701" s="458"/>
      <c r="I701" s="458"/>
      <c r="J701" s="459" t="s">
        <v>9</v>
      </c>
    </row>
    <row r="702" spans="1:10" s="463" customFormat="1" x14ac:dyDescent="0.25">
      <c r="A702" s="450" t="s">
        <v>946</v>
      </c>
      <c r="B702" s="451" t="s">
        <v>652</v>
      </c>
      <c r="C702" s="451" t="s">
        <v>581</v>
      </c>
      <c r="D702" s="452" t="s">
        <v>653</v>
      </c>
      <c r="E702" s="451" t="s">
        <v>14</v>
      </c>
      <c r="F702" s="453"/>
      <c r="G702" s="468"/>
      <c r="H702" s="453"/>
      <c r="I702" s="453"/>
      <c r="J702" s="453"/>
    </row>
    <row r="703" spans="1:10" x14ac:dyDescent="0.25">
      <c r="A703" s="437" t="s">
        <v>278</v>
      </c>
      <c r="B703" s="438"/>
      <c r="C703" s="438"/>
      <c r="D703" s="442" t="s">
        <v>648</v>
      </c>
      <c r="E703" s="441"/>
      <c r="F703" s="443">
        <v>20</v>
      </c>
      <c r="G703" s="448"/>
      <c r="H703" s="439"/>
      <c r="I703" s="439"/>
      <c r="J703" s="439">
        <v>20</v>
      </c>
    </row>
    <row r="704" spans="1:10" x14ac:dyDescent="0.25">
      <c r="A704" s="437"/>
      <c r="B704" s="438"/>
      <c r="C704" s="438"/>
      <c r="D704" s="442"/>
      <c r="E704" s="441"/>
      <c r="F704" s="443"/>
      <c r="G704" s="448"/>
      <c r="H704" s="439"/>
      <c r="I704" s="439"/>
      <c r="J704" s="439"/>
    </row>
    <row r="705" spans="1:10" s="462" customFormat="1" x14ac:dyDescent="0.25">
      <c r="A705" s="455" t="s">
        <v>1</v>
      </c>
      <c r="B705" s="456" t="s">
        <v>2</v>
      </c>
      <c r="C705" s="456" t="s">
        <v>3</v>
      </c>
      <c r="D705" s="457" t="s">
        <v>4</v>
      </c>
      <c r="E705" s="456" t="s">
        <v>5</v>
      </c>
      <c r="F705" s="458" t="s">
        <v>6</v>
      </c>
      <c r="G705" s="458"/>
      <c r="H705" s="458"/>
      <c r="I705" s="458"/>
      <c r="J705" s="459" t="s">
        <v>9</v>
      </c>
    </row>
    <row r="706" spans="1:10" s="463" customFormat="1" x14ac:dyDescent="0.25">
      <c r="A706" s="450" t="s">
        <v>947</v>
      </c>
      <c r="B706" s="451">
        <v>11818</v>
      </c>
      <c r="C706" s="451" t="s">
        <v>581</v>
      </c>
      <c r="D706" s="452" t="s">
        <v>654</v>
      </c>
      <c r="E706" s="451" t="s">
        <v>14</v>
      </c>
      <c r="F706" s="453"/>
      <c r="G706" s="468"/>
      <c r="H706" s="453"/>
      <c r="I706" s="453"/>
      <c r="J706" s="453"/>
    </row>
    <row r="707" spans="1:10" x14ac:dyDescent="0.25">
      <c r="A707" s="440" t="s">
        <v>278</v>
      </c>
      <c r="B707" s="441"/>
      <c r="C707" s="441"/>
      <c r="D707" s="442" t="s">
        <v>649</v>
      </c>
      <c r="E707" s="441"/>
      <c r="F707" s="443">
        <v>10</v>
      </c>
      <c r="G707" s="449"/>
      <c r="H707" s="443"/>
      <c r="I707" s="443"/>
      <c r="J707" s="443">
        <v>10</v>
      </c>
    </row>
    <row r="708" spans="1:10" x14ac:dyDescent="0.25">
      <c r="A708" s="440"/>
      <c r="B708" s="441"/>
      <c r="C708" s="441"/>
      <c r="D708" s="442"/>
      <c r="E708" s="441"/>
      <c r="F708" s="443"/>
      <c r="G708" s="449"/>
      <c r="H708" s="443"/>
      <c r="I708" s="443"/>
      <c r="J708" s="443"/>
    </row>
    <row r="709" spans="1:10" s="462" customFormat="1" x14ac:dyDescent="0.25">
      <c r="A709" s="455" t="s">
        <v>1</v>
      </c>
      <c r="B709" s="456" t="s">
        <v>2</v>
      </c>
      <c r="C709" s="456" t="s">
        <v>3</v>
      </c>
      <c r="D709" s="457" t="s">
        <v>4</v>
      </c>
      <c r="E709" s="456" t="s">
        <v>5</v>
      </c>
      <c r="F709" s="458" t="s">
        <v>6</v>
      </c>
      <c r="G709" s="458"/>
      <c r="H709" s="458"/>
      <c r="I709" s="458"/>
      <c r="J709" s="459" t="s">
        <v>9</v>
      </c>
    </row>
    <row r="710" spans="1:10" s="463" customFormat="1" ht="26.4" x14ac:dyDescent="0.25">
      <c r="A710" s="450" t="s">
        <v>948</v>
      </c>
      <c r="B710" s="451" t="s">
        <v>655</v>
      </c>
      <c r="C710" s="451" t="s">
        <v>581</v>
      </c>
      <c r="D710" s="452" t="s">
        <v>656</v>
      </c>
      <c r="E710" s="451" t="s">
        <v>14</v>
      </c>
      <c r="F710" s="453"/>
      <c r="G710" s="468"/>
      <c r="H710" s="453"/>
      <c r="I710" s="453"/>
      <c r="J710" s="453"/>
    </row>
    <row r="711" spans="1:10" x14ac:dyDescent="0.25">
      <c r="A711" s="440"/>
      <c r="B711" s="441"/>
      <c r="C711" s="441"/>
      <c r="D711" s="442" t="s">
        <v>657</v>
      </c>
      <c r="E711" s="441"/>
      <c r="F711" s="443">
        <v>32</v>
      </c>
      <c r="G711" s="449"/>
      <c r="H711" s="443"/>
      <c r="I711" s="443"/>
      <c r="J711" s="443">
        <v>32</v>
      </c>
    </row>
    <row r="712" spans="1:10" x14ac:dyDescent="0.25">
      <c r="A712" s="440"/>
      <c r="B712" s="441"/>
      <c r="C712" s="441"/>
      <c r="D712" s="442"/>
      <c r="E712" s="441"/>
      <c r="F712" s="443"/>
      <c r="G712" s="449"/>
      <c r="H712" s="443"/>
      <c r="I712" s="443"/>
      <c r="J712" s="443"/>
    </row>
    <row r="713" spans="1:10" s="462" customFormat="1" x14ac:dyDescent="0.25">
      <c r="A713" s="455" t="s">
        <v>1</v>
      </c>
      <c r="B713" s="456" t="s">
        <v>2</v>
      </c>
      <c r="C713" s="456" t="s">
        <v>3</v>
      </c>
      <c r="D713" s="457" t="s">
        <v>4</v>
      </c>
      <c r="E713" s="456" t="s">
        <v>5</v>
      </c>
      <c r="F713" s="458" t="s">
        <v>6</v>
      </c>
      <c r="G713" s="458"/>
      <c r="H713" s="458"/>
      <c r="I713" s="458"/>
      <c r="J713" s="459" t="s">
        <v>9</v>
      </c>
    </row>
    <row r="714" spans="1:10" s="463" customFormat="1" ht="26.4" x14ac:dyDescent="0.25">
      <c r="A714" s="450" t="s">
        <v>949</v>
      </c>
      <c r="B714" s="451" t="s">
        <v>658</v>
      </c>
      <c r="C714" s="451" t="s">
        <v>581</v>
      </c>
      <c r="D714" s="452" t="s">
        <v>659</v>
      </c>
      <c r="E714" s="451" t="s">
        <v>14</v>
      </c>
      <c r="F714" s="453"/>
      <c r="G714" s="468"/>
      <c r="H714" s="453"/>
      <c r="I714" s="453"/>
      <c r="J714" s="453"/>
    </row>
    <row r="715" spans="1:10" x14ac:dyDescent="0.25">
      <c r="A715" s="440"/>
      <c r="B715" s="441"/>
      <c r="C715" s="441"/>
      <c r="D715" s="442" t="s">
        <v>660</v>
      </c>
      <c r="E715" s="441"/>
      <c r="F715" s="443">
        <v>16</v>
      </c>
      <c r="G715" s="449"/>
      <c r="H715" s="443"/>
      <c r="I715" s="443"/>
      <c r="J715" s="443">
        <v>16</v>
      </c>
    </row>
    <row r="716" spans="1:10" x14ac:dyDescent="0.25">
      <c r="A716" s="440"/>
      <c r="B716" s="441"/>
      <c r="C716" s="441"/>
      <c r="D716" s="442"/>
      <c r="E716" s="441"/>
      <c r="F716" s="443"/>
      <c r="G716" s="449"/>
      <c r="H716" s="443"/>
      <c r="I716" s="443"/>
      <c r="J716" s="443"/>
    </row>
    <row r="717" spans="1:10" s="462" customFormat="1" x14ac:dyDescent="0.25">
      <c r="A717" s="455" t="s">
        <v>1</v>
      </c>
      <c r="B717" s="456" t="s">
        <v>2</v>
      </c>
      <c r="C717" s="456" t="s">
        <v>3</v>
      </c>
      <c r="D717" s="457" t="s">
        <v>4</v>
      </c>
      <c r="E717" s="456" t="s">
        <v>5</v>
      </c>
      <c r="F717" s="458"/>
      <c r="G717" s="458" t="s">
        <v>61</v>
      </c>
      <c r="H717" s="458"/>
      <c r="I717" s="458"/>
      <c r="J717" s="459" t="s">
        <v>9</v>
      </c>
    </row>
    <row r="718" spans="1:10" s="463" customFormat="1" ht="26.4" x14ac:dyDescent="0.25">
      <c r="A718" s="450" t="s">
        <v>950</v>
      </c>
      <c r="B718" s="451" t="s">
        <v>661</v>
      </c>
      <c r="C718" s="451" t="s">
        <v>581</v>
      </c>
      <c r="D718" s="452" t="s">
        <v>662</v>
      </c>
      <c r="E718" s="451" t="s">
        <v>16</v>
      </c>
      <c r="F718" s="453"/>
      <c r="G718" s="468"/>
      <c r="H718" s="453"/>
      <c r="I718" s="453"/>
      <c r="J718" s="453"/>
    </row>
    <row r="719" spans="1:10" x14ac:dyDescent="0.25">
      <c r="A719" s="440"/>
      <c r="B719" s="441"/>
      <c r="C719" s="441"/>
      <c r="D719" s="442" t="s">
        <v>663</v>
      </c>
      <c r="E719" s="441"/>
      <c r="F719" s="443"/>
      <c r="G719" s="443">
        <v>20</v>
      </c>
      <c r="H719" s="443"/>
      <c r="I719" s="443"/>
      <c r="J719" s="443">
        <v>20</v>
      </c>
    </row>
    <row r="720" spans="1:10" x14ac:dyDescent="0.25">
      <c r="A720" s="440"/>
      <c r="B720" s="441"/>
      <c r="C720" s="441"/>
      <c r="D720" s="442"/>
      <c r="E720" s="441"/>
      <c r="F720" s="443"/>
      <c r="G720" s="443"/>
      <c r="H720" s="443"/>
      <c r="I720" s="443"/>
      <c r="J720" s="443"/>
    </row>
    <row r="721" spans="1:10" s="462" customFormat="1" x14ac:dyDescent="0.25">
      <c r="A721" s="455" t="s">
        <v>1</v>
      </c>
      <c r="B721" s="456" t="s">
        <v>2</v>
      </c>
      <c r="C721" s="456" t="s">
        <v>3</v>
      </c>
      <c r="D721" s="457" t="s">
        <v>4</v>
      </c>
      <c r="E721" s="456" t="s">
        <v>5</v>
      </c>
      <c r="F721" s="458" t="s">
        <v>6</v>
      </c>
      <c r="G721" s="458"/>
      <c r="H721" s="458"/>
      <c r="I721" s="458"/>
      <c r="J721" s="459" t="s">
        <v>9</v>
      </c>
    </row>
    <row r="722" spans="1:10" s="463" customFormat="1" ht="26.4" x14ac:dyDescent="0.25">
      <c r="A722" s="450" t="s">
        <v>951</v>
      </c>
      <c r="B722" s="451" t="s">
        <v>664</v>
      </c>
      <c r="C722" s="451" t="s">
        <v>581</v>
      </c>
      <c r="D722" s="452" t="s">
        <v>665</v>
      </c>
      <c r="E722" s="451" t="s">
        <v>14</v>
      </c>
      <c r="F722" s="453"/>
      <c r="G722" s="468"/>
      <c r="H722" s="453"/>
      <c r="I722" s="453"/>
      <c r="J722" s="453"/>
    </row>
    <row r="723" spans="1:10" x14ac:dyDescent="0.25">
      <c r="A723" s="440"/>
      <c r="B723" s="441"/>
      <c r="C723" s="441"/>
      <c r="D723" s="442" t="s">
        <v>666</v>
      </c>
      <c r="E723" s="441"/>
      <c r="F723" s="443">
        <v>49</v>
      </c>
      <c r="G723" s="449"/>
      <c r="H723" s="443"/>
      <c r="I723" s="443"/>
      <c r="J723" s="443">
        <v>49</v>
      </c>
    </row>
    <row r="724" spans="1:10" x14ac:dyDescent="0.25">
      <c r="A724" s="440"/>
      <c r="B724" s="441"/>
      <c r="C724" s="441"/>
      <c r="D724" s="442"/>
      <c r="E724" s="441"/>
      <c r="F724" s="443"/>
      <c r="G724" s="449"/>
      <c r="H724" s="443"/>
      <c r="I724" s="443"/>
      <c r="J724" s="443"/>
    </row>
    <row r="725" spans="1:10" s="462" customFormat="1" x14ac:dyDescent="0.25">
      <c r="A725" s="455" t="s">
        <v>1</v>
      </c>
      <c r="B725" s="456" t="s">
        <v>2</v>
      </c>
      <c r="C725" s="456" t="s">
        <v>3</v>
      </c>
      <c r="D725" s="457" t="s">
        <v>4</v>
      </c>
      <c r="E725" s="456" t="s">
        <v>5</v>
      </c>
      <c r="F725" s="458" t="s">
        <v>6</v>
      </c>
      <c r="G725" s="458"/>
      <c r="H725" s="458"/>
      <c r="I725" s="458"/>
      <c r="J725" s="459" t="s">
        <v>9</v>
      </c>
    </row>
    <row r="726" spans="1:10" s="463" customFormat="1" ht="26.4" x14ac:dyDescent="0.25">
      <c r="A726" s="450" t="s">
        <v>952</v>
      </c>
      <c r="B726" s="451" t="s">
        <v>667</v>
      </c>
      <c r="C726" s="451" t="s">
        <v>581</v>
      </c>
      <c r="D726" s="452" t="s">
        <v>668</v>
      </c>
      <c r="E726" s="451" t="s">
        <v>14</v>
      </c>
      <c r="F726" s="453"/>
      <c r="G726" s="468"/>
      <c r="H726" s="453"/>
      <c r="I726" s="453"/>
      <c r="J726" s="453"/>
    </row>
    <row r="727" spans="1:10" x14ac:dyDescent="0.25">
      <c r="A727" s="440"/>
      <c r="B727" s="441"/>
      <c r="C727" s="441"/>
      <c r="D727" s="442" t="s">
        <v>669</v>
      </c>
      <c r="E727" s="441"/>
      <c r="F727" s="443">
        <v>720</v>
      </c>
      <c r="G727" s="449"/>
      <c r="H727" s="443"/>
      <c r="I727" s="443"/>
      <c r="J727" s="443">
        <v>720</v>
      </c>
    </row>
    <row r="728" spans="1:10" x14ac:dyDescent="0.25">
      <c r="A728" s="440"/>
      <c r="B728" s="441"/>
      <c r="C728" s="441"/>
      <c r="D728" s="442"/>
      <c r="E728" s="441"/>
      <c r="F728" s="443"/>
      <c r="G728" s="449"/>
      <c r="H728" s="443"/>
      <c r="I728" s="443"/>
      <c r="J728" s="443"/>
    </row>
    <row r="729" spans="1:10" s="462" customFormat="1" x14ac:dyDescent="0.25">
      <c r="A729" s="455" t="s">
        <v>1</v>
      </c>
      <c r="B729" s="456" t="s">
        <v>2</v>
      </c>
      <c r="C729" s="456" t="s">
        <v>3</v>
      </c>
      <c r="D729" s="457" t="s">
        <v>4</v>
      </c>
      <c r="E729" s="456" t="s">
        <v>5</v>
      </c>
      <c r="F729" s="458" t="s">
        <v>6</v>
      </c>
      <c r="G729" s="458"/>
      <c r="H729" s="458"/>
      <c r="I729" s="458"/>
      <c r="J729" s="459" t="s">
        <v>9</v>
      </c>
    </row>
    <row r="730" spans="1:10" s="463" customFormat="1" x14ac:dyDescent="0.25">
      <c r="A730" s="450" t="s">
        <v>953</v>
      </c>
      <c r="B730" s="451" t="s">
        <v>670</v>
      </c>
      <c r="C730" s="451" t="s">
        <v>581</v>
      </c>
      <c r="D730" s="452" t="s">
        <v>671</v>
      </c>
      <c r="E730" s="451" t="s">
        <v>14</v>
      </c>
      <c r="F730" s="453"/>
      <c r="G730" s="468"/>
      <c r="H730" s="453"/>
      <c r="I730" s="453"/>
      <c r="J730" s="453"/>
    </row>
    <row r="731" spans="1:10" x14ac:dyDescent="0.25">
      <c r="A731" s="440"/>
      <c r="B731" s="441"/>
      <c r="C731" s="441"/>
      <c r="D731" s="442" t="s">
        <v>672</v>
      </c>
      <c r="E731" s="441"/>
      <c r="F731" s="443">
        <f>F727</f>
        <v>720</v>
      </c>
      <c r="G731" s="449"/>
      <c r="H731" s="443"/>
      <c r="I731" s="443"/>
      <c r="J731" s="443">
        <v>1440</v>
      </c>
    </row>
    <row r="732" spans="1:10" x14ac:dyDescent="0.25">
      <c r="A732" s="440"/>
      <c r="B732" s="441"/>
      <c r="C732" s="441"/>
      <c r="D732" s="442" t="s">
        <v>673</v>
      </c>
      <c r="E732" s="441"/>
      <c r="F732" s="443">
        <f>F736</f>
        <v>720</v>
      </c>
      <c r="G732" s="449"/>
      <c r="H732" s="443"/>
      <c r="I732" s="443"/>
      <c r="J732" s="443"/>
    </row>
    <row r="733" spans="1:10" x14ac:dyDescent="0.25">
      <c r="A733" s="440"/>
      <c r="B733" s="441"/>
      <c r="C733" s="441"/>
      <c r="D733" s="442"/>
      <c r="E733" s="441"/>
      <c r="F733" s="443"/>
      <c r="G733" s="449"/>
      <c r="H733" s="443"/>
      <c r="I733" s="443"/>
      <c r="J733" s="443"/>
    </row>
    <row r="734" spans="1:10" s="462" customFormat="1" x14ac:dyDescent="0.25">
      <c r="A734" s="455" t="s">
        <v>1</v>
      </c>
      <c r="B734" s="456" t="s">
        <v>2</v>
      </c>
      <c r="C734" s="456" t="s">
        <v>3</v>
      </c>
      <c r="D734" s="457" t="s">
        <v>4</v>
      </c>
      <c r="E734" s="456" t="s">
        <v>5</v>
      </c>
      <c r="F734" s="458" t="s">
        <v>6</v>
      </c>
      <c r="G734" s="458"/>
      <c r="H734" s="458"/>
      <c r="I734" s="458"/>
      <c r="J734" s="459" t="s">
        <v>9</v>
      </c>
    </row>
    <row r="735" spans="1:10" s="463" customFormat="1" x14ac:dyDescent="0.25">
      <c r="A735" s="450" t="s">
        <v>954</v>
      </c>
      <c r="B735" s="451" t="s">
        <v>674</v>
      </c>
      <c r="C735" s="451" t="s">
        <v>581</v>
      </c>
      <c r="D735" s="452" t="s">
        <v>675</v>
      </c>
      <c r="E735" s="451" t="s">
        <v>14</v>
      </c>
      <c r="F735" s="453"/>
      <c r="G735" s="468"/>
      <c r="H735" s="453"/>
      <c r="I735" s="453"/>
      <c r="J735" s="453"/>
    </row>
    <row r="736" spans="1:10" x14ac:dyDescent="0.25">
      <c r="A736" s="440"/>
      <c r="B736" s="441"/>
      <c r="C736" s="441"/>
      <c r="D736" s="442" t="s">
        <v>676</v>
      </c>
      <c r="E736" s="441"/>
      <c r="F736" s="443">
        <v>720</v>
      </c>
      <c r="G736" s="449"/>
      <c r="H736" s="443"/>
      <c r="I736" s="443"/>
      <c r="J736" s="443">
        <f>F736</f>
        <v>720</v>
      </c>
    </row>
    <row r="737" spans="1:10" x14ac:dyDescent="0.25">
      <c r="A737" s="440"/>
      <c r="B737" s="441"/>
      <c r="C737" s="441"/>
      <c r="D737" s="442"/>
      <c r="E737" s="441"/>
      <c r="F737" s="443"/>
      <c r="G737" s="449"/>
      <c r="H737" s="443"/>
      <c r="I737" s="443"/>
      <c r="J737" s="443"/>
    </row>
    <row r="738" spans="1:10" s="462" customFormat="1" x14ac:dyDescent="0.25">
      <c r="A738" s="455" t="s">
        <v>1</v>
      </c>
      <c r="B738" s="456" t="s">
        <v>2</v>
      </c>
      <c r="C738" s="456" t="s">
        <v>3</v>
      </c>
      <c r="D738" s="457" t="s">
        <v>4</v>
      </c>
      <c r="E738" s="456" t="s">
        <v>5</v>
      </c>
      <c r="F738" s="458" t="s">
        <v>6</v>
      </c>
      <c r="G738" s="458"/>
      <c r="H738" s="458"/>
      <c r="I738" s="458"/>
      <c r="J738" s="459" t="s">
        <v>9</v>
      </c>
    </row>
    <row r="739" spans="1:10" s="463" customFormat="1" x14ac:dyDescent="0.25">
      <c r="A739" s="450" t="s">
        <v>955</v>
      </c>
      <c r="B739" s="451" t="s">
        <v>677</v>
      </c>
      <c r="C739" s="451" t="s">
        <v>581</v>
      </c>
      <c r="D739" s="452" t="s">
        <v>678</v>
      </c>
      <c r="E739" s="451" t="s">
        <v>14</v>
      </c>
      <c r="F739" s="453"/>
      <c r="G739" s="468"/>
      <c r="H739" s="453"/>
      <c r="I739" s="453"/>
      <c r="J739" s="453"/>
    </row>
    <row r="740" spans="1:10" x14ac:dyDescent="0.25">
      <c r="A740" s="440"/>
      <c r="B740" s="441"/>
      <c r="C740" s="441"/>
      <c r="D740" s="442" t="s">
        <v>679</v>
      </c>
      <c r="E740" s="441"/>
      <c r="F740" s="443">
        <f>F760*4</f>
        <v>196</v>
      </c>
      <c r="G740" s="449"/>
      <c r="H740" s="443"/>
      <c r="I740" s="443"/>
      <c r="J740" s="443">
        <f>F740</f>
        <v>196</v>
      </c>
    </row>
    <row r="741" spans="1:10" x14ac:dyDescent="0.25">
      <c r="A741" s="440"/>
      <c r="B741" s="441"/>
      <c r="C741" s="441"/>
      <c r="D741" s="442"/>
      <c r="E741" s="441"/>
      <c r="F741" s="443"/>
      <c r="G741" s="449"/>
      <c r="H741" s="443"/>
      <c r="I741" s="443"/>
      <c r="J741" s="443"/>
    </row>
    <row r="742" spans="1:10" s="462" customFormat="1" x14ac:dyDescent="0.25">
      <c r="A742" s="455" t="s">
        <v>1</v>
      </c>
      <c r="B742" s="456" t="s">
        <v>2</v>
      </c>
      <c r="C742" s="456" t="s">
        <v>3</v>
      </c>
      <c r="D742" s="457" t="s">
        <v>4</v>
      </c>
      <c r="E742" s="456" t="s">
        <v>5</v>
      </c>
      <c r="F742" s="458" t="s">
        <v>6</v>
      </c>
      <c r="G742" s="458"/>
      <c r="H742" s="458"/>
      <c r="I742" s="458"/>
      <c r="J742" s="459" t="s">
        <v>9</v>
      </c>
    </row>
    <row r="743" spans="1:10" s="463" customFormat="1" x14ac:dyDescent="0.25">
      <c r="A743" s="450" t="s">
        <v>956</v>
      </c>
      <c r="B743" s="451" t="s">
        <v>680</v>
      </c>
      <c r="C743" s="451" t="s">
        <v>581</v>
      </c>
      <c r="D743" s="452" t="s">
        <v>681</v>
      </c>
      <c r="E743" s="451" t="s">
        <v>14</v>
      </c>
      <c r="F743" s="453"/>
      <c r="G743" s="468"/>
      <c r="H743" s="453"/>
      <c r="I743" s="453"/>
      <c r="J743" s="453"/>
    </row>
    <row r="744" spans="1:10" x14ac:dyDescent="0.25">
      <c r="A744" s="440"/>
      <c r="B744" s="441"/>
      <c r="C744" s="441"/>
      <c r="D744" s="442" t="s">
        <v>682</v>
      </c>
      <c r="E744" s="441"/>
      <c r="F744" s="443">
        <f>J754</f>
        <v>577</v>
      </c>
      <c r="G744" s="449"/>
      <c r="H744" s="443"/>
      <c r="I744" s="443"/>
      <c r="J744" s="443">
        <f>F744+F745</f>
        <v>773</v>
      </c>
    </row>
    <row r="745" spans="1:10" x14ac:dyDescent="0.25">
      <c r="A745" s="440"/>
      <c r="B745" s="441"/>
      <c r="C745" s="441"/>
      <c r="D745" s="442" t="s">
        <v>683</v>
      </c>
      <c r="E745" s="441"/>
      <c r="F745" s="443">
        <f>F740</f>
        <v>196</v>
      </c>
      <c r="G745" s="449"/>
      <c r="H745" s="443"/>
      <c r="I745" s="443"/>
      <c r="J745" s="443"/>
    </row>
    <row r="746" spans="1:10" x14ac:dyDescent="0.25">
      <c r="A746" s="440"/>
      <c r="B746" s="441"/>
      <c r="C746" s="441"/>
      <c r="D746" s="442"/>
      <c r="E746" s="441"/>
      <c r="F746" s="443"/>
      <c r="G746" s="449"/>
      <c r="H746" s="443"/>
      <c r="I746" s="443"/>
      <c r="J746" s="443"/>
    </row>
    <row r="747" spans="1:10" s="462" customFormat="1" x14ac:dyDescent="0.25">
      <c r="A747" s="455" t="s">
        <v>1</v>
      </c>
      <c r="B747" s="456" t="s">
        <v>2</v>
      </c>
      <c r="C747" s="456" t="s">
        <v>3</v>
      </c>
      <c r="D747" s="457" t="s">
        <v>4</v>
      </c>
      <c r="E747" s="456" t="s">
        <v>5</v>
      </c>
      <c r="F747" s="458" t="s">
        <v>6</v>
      </c>
      <c r="G747" s="458"/>
      <c r="H747" s="458"/>
      <c r="I747" s="458"/>
      <c r="J747" s="459" t="s">
        <v>9</v>
      </c>
    </row>
    <row r="748" spans="1:10" s="463" customFormat="1" ht="26.4" x14ac:dyDescent="0.25">
      <c r="A748" s="450" t="s">
        <v>957</v>
      </c>
      <c r="B748" s="451" t="s">
        <v>684</v>
      </c>
      <c r="C748" s="451" t="s">
        <v>581</v>
      </c>
      <c r="D748" s="452" t="s">
        <v>685</v>
      </c>
      <c r="E748" s="451" t="s">
        <v>14</v>
      </c>
      <c r="F748" s="453"/>
      <c r="G748" s="468"/>
      <c r="H748" s="453"/>
      <c r="I748" s="453"/>
      <c r="J748" s="453"/>
    </row>
    <row r="749" spans="1:10" ht="26.4" x14ac:dyDescent="0.25">
      <c r="A749" s="440"/>
      <c r="B749" s="441"/>
      <c r="C749" s="441"/>
      <c r="D749" s="442" t="s">
        <v>686</v>
      </c>
      <c r="E749" s="441"/>
      <c r="F749" s="443">
        <f>J754</f>
        <v>577</v>
      </c>
      <c r="G749" s="449"/>
      <c r="H749" s="443"/>
      <c r="I749" s="443"/>
      <c r="J749" s="443">
        <v>577</v>
      </c>
    </row>
    <row r="750" spans="1:10" x14ac:dyDescent="0.25">
      <c r="A750" s="440"/>
      <c r="B750" s="441"/>
      <c r="C750" s="441"/>
      <c r="D750" s="442"/>
      <c r="E750" s="441"/>
      <c r="F750" s="443"/>
      <c r="G750" s="449"/>
      <c r="H750" s="443"/>
      <c r="I750" s="443"/>
      <c r="J750" s="443"/>
    </row>
    <row r="751" spans="1:10" s="462" customFormat="1" x14ac:dyDescent="0.25">
      <c r="A751" s="455" t="s">
        <v>1</v>
      </c>
      <c r="B751" s="456" t="s">
        <v>2</v>
      </c>
      <c r="C751" s="456" t="s">
        <v>3</v>
      </c>
      <c r="D751" s="457" t="s">
        <v>4</v>
      </c>
      <c r="E751" s="456" t="s">
        <v>5</v>
      </c>
      <c r="F751" s="458" t="s">
        <v>6</v>
      </c>
      <c r="G751" s="458"/>
      <c r="H751" s="458"/>
      <c r="I751" s="458"/>
      <c r="J751" s="459" t="s">
        <v>9</v>
      </c>
    </row>
    <row r="752" spans="1:10" s="463" customFormat="1" x14ac:dyDescent="0.25">
      <c r="A752" s="450" t="s">
        <v>958</v>
      </c>
      <c r="B752" s="451" t="s">
        <v>687</v>
      </c>
      <c r="C752" s="451" t="s">
        <v>581</v>
      </c>
      <c r="D752" s="452" t="s">
        <v>688</v>
      </c>
      <c r="E752" s="451" t="s">
        <v>14</v>
      </c>
      <c r="F752" s="453"/>
      <c r="G752" s="468"/>
      <c r="H752" s="453"/>
      <c r="I752" s="453"/>
      <c r="J752" s="453"/>
    </row>
    <row r="753" spans="1:10" x14ac:dyDescent="0.25">
      <c r="A753" s="440"/>
      <c r="B753" s="441"/>
      <c r="C753" s="441"/>
      <c r="D753" s="442" t="s">
        <v>689</v>
      </c>
      <c r="E753" s="441"/>
      <c r="F753" s="443"/>
      <c r="G753" s="449"/>
      <c r="H753" s="443"/>
      <c r="I753" s="443"/>
      <c r="J753" s="443"/>
    </row>
    <row r="754" spans="1:10" x14ac:dyDescent="0.25">
      <c r="A754" s="440"/>
      <c r="B754" s="441"/>
      <c r="C754" s="441"/>
      <c r="D754" s="442" t="s">
        <v>690</v>
      </c>
      <c r="E754" s="441"/>
      <c r="F754" s="443">
        <f>F760*2</f>
        <v>98</v>
      </c>
      <c r="G754" s="449"/>
      <c r="H754" s="443"/>
      <c r="I754" s="443"/>
      <c r="J754" s="443">
        <f>F754+F755+F756</f>
        <v>577</v>
      </c>
    </row>
    <row r="755" spans="1:10" x14ac:dyDescent="0.25">
      <c r="A755" s="440"/>
      <c r="B755" s="441"/>
      <c r="C755" s="441"/>
      <c r="D755" s="442" t="s">
        <v>691</v>
      </c>
      <c r="E755" s="441"/>
      <c r="F755" s="443">
        <f>F764</f>
        <v>337</v>
      </c>
      <c r="G755" s="449"/>
      <c r="H755" s="443"/>
      <c r="I755" s="443"/>
      <c r="J755" s="443"/>
    </row>
    <row r="756" spans="1:10" x14ac:dyDescent="0.25">
      <c r="A756" s="440"/>
      <c r="B756" s="441"/>
      <c r="C756" s="441"/>
      <c r="D756" s="442" t="s">
        <v>692</v>
      </c>
      <c r="E756" s="441"/>
      <c r="F756" s="443">
        <f>F768</f>
        <v>142</v>
      </c>
      <c r="G756" s="449"/>
      <c r="H756" s="443"/>
      <c r="I756" s="443"/>
      <c r="J756" s="443"/>
    </row>
    <row r="757" spans="1:10" x14ac:dyDescent="0.25">
      <c r="A757" s="440"/>
      <c r="B757" s="441"/>
      <c r="C757" s="441"/>
      <c r="D757" s="442"/>
      <c r="E757" s="441"/>
      <c r="F757" s="443"/>
      <c r="G757" s="449"/>
      <c r="H757" s="443"/>
      <c r="I757" s="443"/>
      <c r="J757" s="443"/>
    </row>
    <row r="758" spans="1:10" s="462" customFormat="1" x14ac:dyDescent="0.25">
      <c r="A758" s="455" t="s">
        <v>1</v>
      </c>
      <c r="B758" s="456" t="s">
        <v>2</v>
      </c>
      <c r="C758" s="456" t="s">
        <v>3</v>
      </c>
      <c r="D758" s="457" t="s">
        <v>4</v>
      </c>
      <c r="E758" s="456" t="s">
        <v>5</v>
      </c>
      <c r="F758" s="458" t="s">
        <v>6</v>
      </c>
      <c r="G758" s="458"/>
      <c r="H758" s="458"/>
      <c r="I758" s="458"/>
      <c r="J758" s="459" t="s">
        <v>9</v>
      </c>
    </row>
    <row r="759" spans="1:10" s="463" customFormat="1" x14ac:dyDescent="0.25">
      <c r="A759" s="450" t="s">
        <v>959</v>
      </c>
      <c r="B759" s="451" t="s">
        <v>693</v>
      </c>
      <c r="C759" s="451" t="s">
        <v>581</v>
      </c>
      <c r="D759" s="452" t="s">
        <v>694</v>
      </c>
      <c r="E759" s="451" t="s">
        <v>14</v>
      </c>
      <c r="F759" s="453"/>
      <c r="G759" s="468"/>
      <c r="H759" s="453"/>
      <c r="I759" s="453"/>
      <c r="J759" s="453"/>
    </row>
    <row r="760" spans="1:10" x14ac:dyDescent="0.25">
      <c r="A760" s="440"/>
      <c r="B760" s="441"/>
      <c r="C760" s="441"/>
      <c r="D760" s="442" t="s">
        <v>695</v>
      </c>
      <c r="E760" s="441"/>
      <c r="F760" s="443">
        <v>49</v>
      </c>
      <c r="G760" s="449"/>
      <c r="H760" s="443"/>
      <c r="I760" s="443"/>
      <c r="J760" s="443">
        <v>49</v>
      </c>
    </row>
    <row r="761" spans="1:10" x14ac:dyDescent="0.25">
      <c r="A761" s="440"/>
      <c r="B761" s="441"/>
      <c r="C761" s="441"/>
      <c r="D761" s="442"/>
      <c r="E761" s="441"/>
      <c r="F761" s="443"/>
      <c r="G761" s="449"/>
      <c r="H761" s="443"/>
      <c r="I761" s="443"/>
      <c r="J761" s="443"/>
    </row>
    <row r="762" spans="1:10" s="462" customFormat="1" x14ac:dyDescent="0.25">
      <c r="A762" s="455" t="s">
        <v>1</v>
      </c>
      <c r="B762" s="456" t="s">
        <v>2</v>
      </c>
      <c r="C762" s="456" t="s">
        <v>3</v>
      </c>
      <c r="D762" s="457" t="s">
        <v>4</v>
      </c>
      <c r="E762" s="456" t="s">
        <v>5</v>
      </c>
      <c r="F762" s="458" t="s">
        <v>6</v>
      </c>
      <c r="G762" s="458"/>
      <c r="H762" s="458"/>
      <c r="I762" s="458"/>
      <c r="J762" s="459" t="s">
        <v>9</v>
      </c>
    </row>
    <row r="763" spans="1:10" s="463" customFormat="1" x14ac:dyDescent="0.25">
      <c r="A763" s="450" t="s">
        <v>960</v>
      </c>
      <c r="B763" s="451" t="s">
        <v>696</v>
      </c>
      <c r="C763" s="451" t="s">
        <v>581</v>
      </c>
      <c r="D763" s="452" t="s">
        <v>697</v>
      </c>
      <c r="E763" s="451" t="s">
        <v>14</v>
      </c>
      <c r="F763" s="453"/>
      <c r="G763" s="468"/>
      <c r="H763" s="453"/>
      <c r="I763" s="453"/>
      <c r="J763" s="453"/>
    </row>
    <row r="764" spans="1:10" x14ac:dyDescent="0.25">
      <c r="A764" s="440"/>
      <c r="B764" s="441"/>
      <c r="C764" s="441"/>
      <c r="D764" s="442" t="s">
        <v>698</v>
      </c>
      <c r="E764" s="441"/>
      <c r="F764" s="443">
        <v>337</v>
      </c>
      <c r="G764" s="449"/>
      <c r="H764" s="443"/>
      <c r="I764" s="443"/>
      <c r="J764" s="443">
        <v>337</v>
      </c>
    </row>
    <row r="765" spans="1:10" x14ac:dyDescent="0.25">
      <c r="A765" s="440"/>
      <c r="B765" s="441"/>
      <c r="C765" s="441"/>
      <c r="D765" s="442"/>
      <c r="E765" s="441"/>
      <c r="F765" s="443"/>
      <c r="G765" s="449"/>
      <c r="H765" s="443"/>
      <c r="I765" s="443"/>
      <c r="J765" s="443"/>
    </row>
    <row r="766" spans="1:10" s="462" customFormat="1" x14ac:dyDescent="0.25">
      <c r="A766" s="455" t="s">
        <v>1</v>
      </c>
      <c r="B766" s="456" t="s">
        <v>2</v>
      </c>
      <c r="C766" s="456" t="s">
        <v>3</v>
      </c>
      <c r="D766" s="457" t="s">
        <v>4</v>
      </c>
      <c r="E766" s="456" t="s">
        <v>5</v>
      </c>
      <c r="F766" s="458" t="s">
        <v>6</v>
      </c>
      <c r="G766" s="458"/>
      <c r="H766" s="458"/>
      <c r="I766" s="458"/>
      <c r="J766" s="459" t="s">
        <v>9</v>
      </c>
    </row>
    <row r="767" spans="1:10" s="463" customFormat="1" x14ac:dyDescent="0.25">
      <c r="A767" s="450" t="s">
        <v>961</v>
      </c>
      <c r="B767" s="451" t="s">
        <v>699</v>
      </c>
      <c r="C767" s="451" t="s">
        <v>581</v>
      </c>
      <c r="D767" s="452" t="s">
        <v>700</v>
      </c>
      <c r="E767" s="451" t="s">
        <v>14</v>
      </c>
      <c r="F767" s="453"/>
      <c r="G767" s="468"/>
      <c r="H767" s="453"/>
      <c r="I767" s="453"/>
      <c r="J767" s="453"/>
    </row>
    <row r="768" spans="1:10" x14ac:dyDescent="0.25">
      <c r="A768" s="440"/>
      <c r="B768" s="441"/>
      <c r="C768" s="441"/>
      <c r="D768" s="442" t="s">
        <v>701</v>
      </c>
      <c r="E768" s="441"/>
      <c r="F768" s="443">
        <v>142</v>
      </c>
      <c r="G768" s="449"/>
      <c r="H768" s="443"/>
      <c r="I768" s="443"/>
      <c r="J768" s="443">
        <v>142</v>
      </c>
    </row>
    <row r="769" spans="1:10" x14ac:dyDescent="0.25">
      <c r="A769" s="440"/>
      <c r="B769" s="441"/>
      <c r="C769" s="441"/>
      <c r="D769" s="442"/>
      <c r="E769" s="441"/>
      <c r="F769" s="443"/>
      <c r="G769" s="449"/>
      <c r="H769" s="443"/>
      <c r="I769" s="443"/>
      <c r="J769" s="443"/>
    </row>
    <row r="770" spans="1:10" s="462" customFormat="1" x14ac:dyDescent="0.25">
      <c r="A770" s="455" t="s">
        <v>1</v>
      </c>
      <c r="B770" s="456" t="s">
        <v>2</v>
      </c>
      <c r="C770" s="456" t="s">
        <v>3</v>
      </c>
      <c r="D770" s="457" t="s">
        <v>4</v>
      </c>
      <c r="E770" s="456" t="s">
        <v>5</v>
      </c>
      <c r="F770" s="458"/>
      <c r="G770" s="458" t="s">
        <v>61</v>
      </c>
      <c r="H770" s="458"/>
      <c r="I770" s="458"/>
      <c r="J770" s="459" t="s">
        <v>9</v>
      </c>
    </row>
    <row r="771" spans="1:10" s="463" customFormat="1" ht="26.4" x14ac:dyDescent="0.25">
      <c r="A771" s="450" t="s">
        <v>962</v>
      </c>
      <c r="B771" s="451" t="s">
        <v>702</v>
      </c>
      <c r="C771" s="451" t="s">
        <v>13</v>
      </c>
      <c r="D771" s="452" t="s">
        <v>1157</v>
      </c>
      <c r="E771" s="451" t="s">
        <v>16</v>
      </c>
      <c r="F771" s="453"/>
      <c r="G771" s="468"/>
      <c r="H771" s="453"/>
      <c r="I771" s="453"/>
      <c r="J771" s="453"/>
    </row>
    <row r="772" spans="1:10" x14ac:dyDescent="0.25">
      <c r="A772" s="440" t="s">
        <v>278</v>
      </c>
      <c r="B772" s="441"/>
      <c r="C772" s="441"/>
      <c r="D772" s="442" t="s">
        <v>703</v>
      </c>
      <c r="E772" s="441"/>
      <c r="F772" s="444"/>
      <c r="G772" s="443">
        <v>765.3</v>
      </c>
      <c r="H772" s="443"/>
      <c r="I772" s="443"/>
      <c r="J772" s="443">
        <v>765.3</v>
      </c>
    </row>
    <row r="773" spans="1:10" x14ac:dyDescent="0.25">
      <c r="A773" s="440"/>
      <c r="B773" s="441"/>
      <c r="C773" s="441"/>
      <c r="D773" s="442"/>
      <c r="E773" s="441"/>
      <c r="F773" s="444"/>
      <c r="G773" s="443"/>
      <c r="H773" s="443"/>
      <c r="I773" s="443"/>
      <c r="J773" s="443"/>
    </row>
    <row r="774" spans="1:10" s="462" customFormat="1" x14ac:dyDescent="0.25">
      <c r="A774" s="455" t="s">
        <v>1</v>
      </c>
      <c r="B774" s="456" t="s">
        <v>2</v>
      </c>
      <c r="C774" s="456" t="s">
        <v>3</v>
      </c>
      <c r="D774" s="457" t="s">
        <v>4</v>
      </c>
      <c r="E774" s="456" t="s">
        <v>5</v>
      </c>
      <c r="F774" s="458"/>
      <c r="G774" s="458" t="s">
        <v>61</v>
      </c>
      <c r="H774" s="458"/>
      <c r="I774" s="458"/>
      <c r="J774" s="459" t="s">
        <v>9</v>
      </c>
    </row>
    <row r="775" spans="1:10" s="463" customFormat="1" ht="26.4" x14ac:dyDescent="0.25">
      <c r="A775" s="450" t="s">
        <v>963</v>
      </c>
      <c r="B775" s="451" t="s">
        <v>704</v>
      </c>
      <c r="C775" s="451" t="s">
        <v>13</v>
      </c>
      <c r="D775" s="452" t="s">
        <v>705</v>
      </c>
      <c r="E775" s="451" t="s">
        <v>16</v>
      </c>
      <c r="F775" s="453"/>
      <c r="G775" s="468"/>
      <c r="H775" s="453"/>
      <c r="I775" s="453"/>
      <c r="J775" s="453"/>
    </row>
    <row r="776" spans="1:10" x14ac:dyDescent="0.25">
      <c r="A776" s="440" t="s">
        <v>278</v>
      </c>
      <c r="B776" s="441"/>
      <c r="C776" s="441"/>
      <c r="D776" s="442" t="s">
        <v>703</v>
      </c>
      <c r="E776" s="441"/>
      <c r="F776" s="444"/>
      <c r="G776" s="443">
        <v>136</v>
      </c>
      <c r="H776" s="443"/>
      <c r="I776" s="443"/>
      <c r="J776" s="443">
        <v>136</v>
      </c>
    </row>
    <row r="777" spans="1:10" x14ac:dyDescent="0.25">
      <c r="A777" s="440"/>
      <c r="B777" s="441"/>
      <c r="C777" s="441"/>
      <c r="D777" s="442"/>
      <c r="E777" s="441"/>
      <c r="F777" s="444"/>
      <c r="G777" s="443"/>
      <c r="H777" s="443"/>
      <c r="I777" s="443"/>
      <c r="J777" s="443"/>
    </row>
    <row r="778" spans="1:10" s="462" customFormat="1" x14ac:dyDescent="0.25">
      <c r="A778" s="455" t="s">
        <v>1</v>
      </c>
      <c r="B778" s="456" t="s">
        <v>2</v>
      </c>
      <c r="C778" s="456" t="s">
        <v>3</v>
      </c>
      <c r="D778" s="457" t="s">
        <v>4</v>
      </c>
      <c r="E778" s="456" t="s">
        <v>5</v>
      </c>
      <c r="F778" s="458" t="s">
        <v>6</v>
      </c>
      <c r="G778" s="458"/>
      <c r="H778" s="458"/>
      <c r="I778" s="458"/>
      <c r="J778" s="459" t="s">
        <v>9</v>
      </c>
    </row>
    <row r="779" spans="1:10" s="464" customFormat="1" ht="13.2" x14ac:dyDescent="0.25">
      <c r="A779" s="450" t="s">
        <v>964</v>
      </c>
      <c r="B779" s="451" t="s">
        <v>706</v>
      </c>
      <c r="C779" s="451" t="s">
        <v>15</v>
      </c>
      <c r="D779" s="452" t="s">
        <v>707</v>
      </c>
      <c r="E779" s="451" t="s">
        <v>14</v>
      </c>
      <c r="F779" s="453"/>
      <c r="G779" s="453"/>
      <c r="H779" s="453"/>
      <c r="I779" s="453"/>
      <c r="J779" s="453"/>
    </row>
    <row r="780" spans="1:10" x14ac:dyDescent="0.25">
      <c r="A780" s="440" t="s">
        <v>278</v>
      </c>
      <c r="B780" s="441"/>
      <c r="C780" s="441"/>
      <c r="D780" s="442" t="s">
        <v>615</v>
      </c>
      <c r="E780" s="441"/>
      <c r="F780" s="443">
        <v>1</v>
      </c>
      <c r="G780" s="443"/>
      <c r="H780" s="443"/>
      <c r="I780" s="443"/>
      <c r="J780" s="443">
        <v>1</v>
      </c>
    </row>
    <row r="781" spans="1:10" x14ac:dyDescent="0.25">
      <c r="A781" s="440"/>
      <c r="B781" s="441"/>
      <c r="C781" s="441"/>
      <c r="D781" s="442"/>
      <c r="E781" s="441"/>
      <c r="F781" s="443"/>
      <c r="G781" s="443"/>
      <c r="H781" s="443"/>
      <c r="I781" s="443"/>
      <c r="J781" s="443"/>
    </row>
    <row r="782" spans="1:10" s="462" customFormat="1" x14ac:dyDescent="0.25">
      <c r="A782" s="455" t="s">
        <v>1</v>
      </c>
      <c r="B782" s="456" t="s">
        <v>2</v>
      </c>
      <c r="C782" s="456" t="s">
        <v>3</v>
      </c>
      <c r="D782" s="457" t="s">
        <v>4</v>
      </c>
      <c r="E782" s="456" t="s">
        <v>5</v>
      </c>
      <c r="F782" s="458" t="s">
        <v>6</v>
      </c>
      <c r="G782" s="458"/>
      <c r="H782" s="458"/>
      <c r="I782" s="458"/>
      <c r="J782" s="459" t="s">
        <v>9</v>
      </c>
    </row>
    <row r="783" spans="1:10" s="463" customFormat="1" ht="26.4" x14ac:dyDescent="0.25">
      <c r="A783" s="450" t="s">
        <v>965</v>
      </c>
      <c r="B783" s="451" t="s">
        <v>708</v>
      </c>
      <c r="C783" s="451" t="s">
        <v>15</v>
      </c>
      <c r="D783" s="452" t="s">
        <v>709</v>
      </c>
      <c r="E783" s="451" t="s">
        <v>14</v>
      </c>
      <c r="F783" s="453"/>
      <c r="G783" s="453"/>
      <c r="H783" s="453"/>
      <c r="I783" s="453"/>
      <c r="J783" s="453"/>
    </row>
    <row r="784" spans="1:10" x14ac:dyDescent="0.25">
      <c r="A784" s="440" t="s">
        <v>278</v>
      </c>
      <c r="B784" s="441"/>
      <c r="C784" s="441"/>
      <c r="D784" s="442" t="s">
        <v>615</v>
      </c>
      <c r="E784" s="441"/>
      <c r="F784" s="443">
        <v>10</v>
      </c>
      <c r="G784" s="443"/>
      <c r="H784" s="443"/>
      <c r="I784" s="443"/>
      <c r="J784" s="443">
        <v>10</v>
      </c>
    </row>
    <row r="785" spans="1:10" x14ac:dyDescent="0.25">
      <c r="A785" s="440"/>
      <c r="B785" s="441"/>
      <c r="C785" s="441"/>
      <c r="D785" s="442"/>
      <c r="E785" s="441"/>
      <c r="F785" s="443"/>
      <c r="G785" s="443"/>
      <c r="H785" s="443"/>
      <c r="I785" s="443"/>
      <c r="J785" s="443"/>
    </row>
    <row r="786" spans="1:10" s="462" customFormat="1" x14ac:dyDescent="0.25">
      <c r="A786" s="455" t="s">
        <v>1</v>
      </c>
      <c r="B786" s="456" t="s">
        <v>2</v>
      </c>
      <c r="C786" s="456" t="s">
        <v>3</v>
      </c>
      <c r="D786" s="457" t="s">
        <v>4</v>
      </c>
      <c r="E786" s="456" t="s">
        <v>5</v>
      </c>
      <c r="F786" s="458" t="s">
        <v>6</v>
      </c>
      <c r="G786" s="458"/>
      <c r="H786" s="458"/>
      <c r="I786" s="458"/>
      <c r="J786" s="459" t="s">
        <v>9</v>
      </c>
    </row>
    <row r="787" spans="1:10" s="463" customFormat="1" ht="26.4" x14ac:dyDescent="0.25">
      <c r="A787" s="450" t="s">
        <v>966</v>
      </c>
      <c r="B787" s="451" t="s">
        <v>710</v>
      </c>
      <c r="C787" s="451" t="s">
        <v>15</v>
      </c>
      <c r="D787" s="452" t="s">
        <v>711</v>
      </c>
      <c r="E787" s="451" t="s">
        <v>14</v>
      </c>
      <c r="F787" s="453"/>
      <c r="G787" s="453"/>
      <c r="H787" s="453"/>
      <c r="I787" s="453"/>
      <c r="J787" s="453"/>
    </row>
    <row r="788" spans="1:10" x14ac:dyDescent="0.25">
      <c r="A788" s="437" t="s">
        <v>278</v>
      </c>
      <c r="B788" s="438"/>
      <c r="C788" s="438"/>
      <c r="D788" s="442" t="s">
        <v>615</v>
      </c>
      <c r="E788" s="441"/>
      <c r="F788" s="443">
        <v>11</v>
      </c>
      <c r="G788" s="439"/>
      <c r="H788" s="439"/>
      <c r="I788" s="439"/>
      <c r="J788" s="443">
        <v>11</v>
      </c>
    </row>
    <row r="789" spans="1:10" x14ac:dyDescent="0.25">
      <c r="A789" s="437"/>
      <c r="B789" s="438"/>
      <c r="C789" s="438"/>
      <c r="D789" s="442"/>
      <c r="E789" s="441"/>
      <c r="F789" s="443"/>
      <c r="G789" s="439"/>
      <c r="H789" s="439"/>
      <c r="I789" s="439"/>
      <c r="J789" s="439"/>
    </row>
    <row r="790" spans="1:10" s="462" customFormat="1" x14ac:dyDescent="0.25">
      <c r="A790" s="455" t="s">
        <v>1</v>
      </c>
      <c r="B790" s="456" t="s">
        <v>2</v>
      </c>
      <c r="C790" s="456" t="s">
        <v>3</v>
      </c>
      <c r="D790" s="457" t="s">
        <v>4</v>
      </c>
      <c r="E790" s="456" t="s">
        <v>5</v>
      </c>
      <c r="F790" s="458" t="s">
        <v>6</v>
      </c>
      <c r="G790" s="458"/>
      <c r="H790" s="458"/>
      <c r="I790" s="458"/>
      <c r="J790" s="459" t="s">
        <v>9</v>
      </c>
    </row>
    <row r="791" spans="1:10" s="463" customFormat="1" ht="26.4" x14ac:dyDescent="0.25">
      <c r="A791" s="450" t="s">
        <v>967</v>
      </c>
      <c r="B791" s="451" t="s">
        <v>712</v>
      </c>
      <c r="C791" s="451" t="s">
        <v>581</v>
      </c>
      <c r="D791" s="452" t="s">
        <v>713</v>
      </c>
      <c r="E791" s="451" t="s">
        <v>14</v>
      </c>
      <c r="F791" s="453"/>
      <c r="G791" s="453"/>
      <c r="H791" s="453"/>
      <c r="I791" s="453"/>
      <c r="J791" s="453"/>
    </row>
    <row r="792" spans="1:10" x14ac:dyDescent="0.25">
      <c r="A792" s="440" t="s">
        <v>278</v>
      </c>
      <c r="B792" s="441"/>
      <c r="C792" s="441"/>
      <c r="D792" s="442" t="s">
        <v>714</v>
      </c>
      <c r="E792" s="441"/>
      <c r="F792" s="443">
        <f>F788+F784</f>
        <v>21</v>
      </c>
      <c r="G792" s="443"/>
      <c r="H792" s="443"/>
      <c r="I792" s="443"/>
      <c r="J792" s="443">
        <v>21</v>
      </c>
    </row>
    <row r="793" spans="1:10" x14ac:dyDescent="0.25">
      <c r="A793" s="440"/>
      <c r="B793" s="441"/>
      <c r="C793" s="441"/>
      <c r="D793" s="442"/>
      <c r="E793" s="441"/>
      <c r="F793" s="443"/>
      <c r="G793" s="443"/>
      <c r="H793" s="443"/>
      <c r="I793" s="443"/>
      <c r="J793" s="443"/>
    </row>
    <row r="794" spans="1:10" s="462" customFormat="1" x14ac:dyDescent="0.25">
      <c r="A794" s="455" t="s">
        <v>1</v>
      </c>
      <c r="B794" s="456" t="s">
        <v>2</v>
      </c>
      <c r="C794" s="456" t="s">
        <v>3</v>
      </c>
      <c r="D794" s="457" t="s">
        <v>723</v>
      </c>
      <c r="E794" s="456" t="s">
        <v>5</v>
      </c>
      <c r="F794" s="458" t="s">
        <v>6</v>
      </c>
      <c r="G794" s="458"/>
      <c r="H794" s="458"/>
      <c r="I794" s="458"/>
      <c r="J794" s="459" t="s">
        <v>9</v>
      </c>
    </row>
    <row r="795" spans="1:10" s="463" customFormat="1" ht="52.8" x14ac:dyDescent="0.25">
      <c r="A795" s="450" t="s">
        <v>968</v>
      </c>
      <c r="B795" s="451">
        <v>13102</v>
      </c>
      <c r="C795" s="451" t="s">
        <v>581</v>
      </c>
      <c r="D795" s="452" t="s">
        <v>715</v>
      </c>
      <c r="E795" s="451" t="s">
        <v>14</v>
      </c>
      <c r="F795" s="453"/>
      <c r="G795" s="453"/>
      <c r="H795" s="453"/>
      <c r="I795" s="453"/>
      <c r="J795" s="453"/>
    </row>
    <row r="796" spans="1:10" ht="26.4" x14ac:dyDescent="0.25">
      <c r="A796" s="440" t="s">
        <v>278</v>
      </c>
      <c r="B796" s="441"/>
      <c r="C796" s="441"/>
      <c r="D796" s="442" t="s">
        <v>716</v>
      </c>
      <c r="E796" s="441"/>
      <c r="F796" s="443">
        <v>1</v>
      </c>
      <c r="G796" s="443"/>
      <c r="H796" s="443"/>
      <c r="I796" s="443"/>
      <c r="J796" s="443">
        <v>1</v>
      </c>
    </row>
    <row r="797" spans="1:10" x14ac:dyDescent="0.25">
      <c r="A797" s="440"/>
      <c r="B797" s="441"/>
      <c r="C797" s="441"/>
      <c r="D797" s="442"/>
      <c r="E797" s="441"/>
      <c r="F797" s="443"/>
      <c r="G797" s="443"/>
      <c r="H797" s="443"/>
      <c r="I797" s="443"/>
      <c r="J797" s="443"/>
    </row>
    <row r="798" spans="1:10" s="462" customFormat="1" x14ac:dyDescent="0.25">
      <c r="A798" s="455" t="s">
        <v>1</v>
      </c>
      <c r="B798" s="456" t="s">
        <v>2</v>
      </c>
      <c r="C798" s="456" t="s">
        <v>3</v>
      </c>
      <c r="D798" s="457" t="s">
        <v>4</v>
      </c>
      <c r="E798" s="456" t="s">
        <v>5</v>
      </c>
      <c r="F798" s="458" t="s">
        <v>6</v>
      </c>
      <c r="G798" s="458"/>
      <c r="H798" s="458"/>
      <c r="I798" s="458"/>
      <c r="J798" s="459" t="s">
        <v>9</v>
      </c>
    </row>
    <row r="799" spans="1:10" s="463" customFormat="1" ht="26.4" x14ac:dyDescent="0.25">
      <c r="A799" s="450" t="s">
        <v>969</v>
      </c>
      <c r="B799" s="451">
        <v>13103</v>
      </c>
      <c r="C799" s="451" t="s">
        <v>581</v>
      </c>
      <c r="D799" s="452" t="s">
        <v>717</v>
      </c>
      <c r="E799" s="451" t="s">
        <v>14</v>
      </c>
      <c r="F799" s="453"/>
      <c r="G799" s="453"/>
      <c r="H799" s="453"/>
      <c r="I799" s="453"/>
      <c r="J799" s="453"/>
    </row>
    <row r="800" spans="1:10" x14ac:dyDescent="0.25">
      <c r="A800" s="440" t="s">
        <v>278</v>
      </c>
      <c r="B800" s="441"/>
      <c r="C800" s="441"/>
      <c r="D800" s="442" t="s">
        <v>718</v>
      </c>
      <c r="E800" s="441"/>
      <c r="F800" s="443">
        <v>1</v>
      </c>
      <c r="G800" s="443"/>
      <c r="H800" s="443"/>
      <c r="I800" s="443"/>
      <c r="J800" s="443">
        <v>1</v>
      </c>
    </row>
    <row r="801" spans="1:11" x14ac:dyDescent="0.25">
      <c r="A801" s="440"/>
      <c r="B801" s="441"/>
      <c r="C801" s="441"/>
      <c r="D801" s="442"/>
      <c r="E801" s="441"/>
      <c r="F801" s="443"/>
      <c r="G801" s="443"/>
      <c r="H801" s="443"/>
      <c r="I801" s="443"/>
      <c r="J801" s="443"/>
    </row>
    <row r="802" spans="1:11" s="462" customFormat="1" x14ac:dyDescent="0.25">
      <c r="A802" s="455" t="s">
        <v>1</v>
      </c>
      <c r="B802" s="456" t="s">
        <v>2</v>
      </c>
      <c r="C802" s="456" t="s">
        <v>3</v>
      </c>
      <c r="D802" s="457" t="s">
        <v>4</v>
      </c>
      <c r="E802" s="456" t="s">
        <v>5</v>
      </c>
      <c r="F802" s="458" t="s">
        <v>6</v>
      </c>
      <c r="G802" s="458"/>
      <c r="H802" s="458"/>
      <c r="I802" s="458"/>
      <c r="J802" s="459" t="s">
        <v>9</v>
      </c>
    </row>
    <row r="803" spans="1:11" s="463" customFormat="1" ht="26.4" x14ac:dyDescent="0.25">
      <c r="A803" s="450" t="s">
        <v>970</v>
      </c>
      <c r="B803" s="451">
        <v>780</v>
      </c>
      <c r="C803" s="451" t="s">
        <v>581</v>
      </c>
      <c r="D803" s="452" t="s">
        <v>719</v>
      </c>
      <c r="E803" s="451" t="s">
        <v>14</v>
      </c>
      <c r="F803" s="453"/>
      <c r="G803" s="453"/>
      <c r="H803" s="453"/>
      <c r="I803" s="453"/>
      <c r="J803" s="453"/>
    </row>
    <row r="804" spans="1:11" x14ac:dyDescent="0.25">
      <c r="A804" s="440" t="s">
        <v>278</v>
      </c>
      <c r="B804" s="441"/>
      <c r="C804" s="441"/>
      <c r="D804" s="442" t="s">
        <v>583</v>
      </c>
      <c r="E804" s="441"/>
      <c r="F804" s="443">
        <v>1</v>
      </c>
      <c r="G804" s="443"/>
      <c r="H804" s="443"/>
      <c r="I804" s="443"/>
      <c r="J804" s="443">
        <v>1</v>
      </c>
    </row>
    <row r="805" spans="1:11" x14ac:dyDescent="0.25">
      <c r="A805" s="440"/>
      <c r="B805" s="441"/>
      <c r="C805" s="441"/>
      <c r="D805" s="442"/>
      <c r="E805" s="441"/>
      <c r="F805" s="443"/>
      <c r="G805" s="443"/>
      <c r="H805" s="443"/>
      <c r="I805" s="443"/>
      <c r="J805" s="443"/>
    </row>
    <row r="806" spans="1:11" s="462" customFormat="1" x14ac:dyDescent="0.25">
      <c r="A806" s="455" t="s">
        <v>1</v>
      </c>
      <c r="B806" s="456" t="s">
        <v>2</v>
      </c>
      <c r="C806" s="456" t="s">
        <v>3</v>
      </c>
      <c r="D806" s="457" t="s">
        <v>4</v>
      </c>
      <c r="E806" s="456" t="s">
        <v>5</v>
      </c>
      <c r="F806" s="458" t="s">
        <v>6</v>
      </c>
      <c r="G806" s="458"/>
      <c r="H806" s="458"/>
      <c r="I806" s="458"/>
      <c r="J806" s="459" t="s">
        <v>9</v>
      </c>
    </row>
    <row r="807" spans="1:11" s="463" customFormat="1" ht="39.6" x14ac:dyDescent="0.25">
      <c r="A807" s="450" t="s">
        <v>971</v>
      </c>
      <c r="B807" s="451" t="str">
        <f>ORÇAMENTO!B172</f>
        <v>C4828</v>
      </c>
      <c r="C807" s="451" t="str">
        <f>ORÇAMENTO!C172</f>
        <v>SEINFRA</v>
      </c>
      <c r="D807" s="452" t="str">
        <f>ORÇAMENTO!D172</f>
        <v>ARANDELA DE SOBREPOR CORPO EM ALUMINIO, SOQUETE E-27, DIFUSOR EM VIDRO TEMPERADO FOSCO, COM DUAS LÂMPADAS ELETRÔNICAS COMPACTAS DE 20W COMPLETA</v>
      </c>
      <c r="E807" s="451" t="s">
        <v>14</v>
      </c>
      <c r="F807" s="453"/>
      <c r="G807" s="453"/>
      <c r="H807" s="453"/>
      <c r="I807" s="453"/>
      <c r="J807" s="453"/>
    </row>
    <row r="808" spans="1:11" x14ac:dyDescent="0.25">
      <c r="A808" s="440" t="s">
        <v>278</v>
      </c>
      <c r="B808" s="441"/>
      <c r="C808" s="441"/>
      <c r="D808" s="442" t="s">
        <v>720</v>
      </c>
      <c r="E808" s="441"/>
      <c r="F808" s="443">
        <v>11</v>
      </c>
      <c r="G808" s="443"/>
      <c r="H808" s="443"/>
      <c r="I808" s="443"/>
      <c r="J808" s="443">
        <v>11</v>
      </c>
    </row>
    <row r="809" spans="1:11" x14ac:dyDescent="0.25">
      <c r="A809" s="440"/>
      <c r="B809" s="441"/>
      <c r="C809" s="441"/>
      <c r="D809" s="442"/>
      <c r="E809" s="441"/>
      <c r="F809" s="443"/>
      <c r="G809" s="443"/>
      <c r="H809" s="443"/>
      <c r="I809" s="443"/>
      <c r="J809" s="443"/>
    </row>
    <row r="810" spans="1:11" s="462" customFormat="1" x14ac:dyDescent="0.25">
      <c r="A810" s="455" t="s">
        <v>1</v>
      </c>
      <c r="B810" s="456" t="s">
        <v>2</v>
      </c>
      <c r="C810" s="456" t="s">
        <v>3</v>
      </c>
      <c r="D810" s="457" t="s">
        <v>4</v>
      </c>
      <c r="E810" s="456" t="s">
        <v>5</v>
      </c>
      <c r="F810" s="458" t="s">
        <v>6</v>
      </c>
      <c r="G810" s="458"/>
      <c r="H810" s="458"/>
      <c r="I810" s="458"/>
      <c r="J810" s="459" t="s">
        <v>9</v>
      </c>
    </row>
    <row r="811" spans="1:11" s="463" customFormat="1" ht="26.4" x14ac:dyDescent="0.25">
      <c r="A811" s="450" t="s">
        <v>972</v>
      </c>
      <c r="B811" s="451">
        <v>91944</v>
      </c>
      <c r="C811" s="451" t="s">
        <v>13</v>
      </c>
      <c r="D811" s="452" t="s">
        <v>721</v>
      </c>
      <c r="E811" s="451" t="s">
        <v>14</v>
      </c>
      <c r="F811" s="453"/>
      <c r="G811" s="453"/>
      <c r="H811" s="453"/>
      <c r="I811" s="453"/>
      <c r="J811" s="453"/>
    </row>
    <row r="812" spans="1:11" x14ac:dyDescent="0.25">
      <c r="A812" s="440" t="s">
        <v>278</v>
      </c>
      <c r="B812" s="441"/>
      <c r="C812" s="441"/>
      <c r="D812" s="442" t="s">
        <v>722</v>
      </c>
      <c r="E812" s="441"/>
      <c r="F812" s="443">
        <v>1</v>
      </c>
      <c r="G812" s="443"/>
      <c r="H812" s="443"/>
      <c r="I812" s="443"/>
      <c r="J812" s="443">
        <v>1</v>
      </c>
    </row>
    <row r="813" spans="1:11" x14ac:dyDescent="0.25">
      <c r="A813" s="75"/>
      <c r="B813" s="65"/>
      <c r="C813" s="65"/>
      <c r="D813" s="124"/>
      <c r="E813" s="125"/>
      <c r="F813" s="146"/>
      <c r="G813" s="79"/>
      <c r="H813" s="79"/>
      <c r="I813" s="79"/>
      <c r="J813" s="127"/>
      <c r="K813" s="136"/>
    </row>
    <row r="814" spans="1:11" x14ac:dyDescent="0.25">
      <c r="A814" s="5">
        <v>9</v>
      </c>
      <c r="B814" s="22"/>
      <c r="C814" s="22"/>
      <c r="D814" s="5" t="s">
        <v>73</v>
      </c>
      <c r="E814" s="5"/>
      <c r="F814" s="6"/>
      <c r="G814" s="40"/>
      <c r="H814" s="49"/>
      <c r="I814" s="47"/>
      <c r="J814" s="47"/>
      <c r="K814" s="136"/>
    </row>
    <row r="815" spans="1:11" x14ac:dyDescent="0.25">
      <c r="A815" s="55" t="s">
        <v>112</v>
      </c>
      <c r="B815" s="56"/>
      <c r="C815" s="56"/>
      <c r="D815" s="55" t="s">
        <v>121</v>
      </c>
      <c r="E815" s="55"/>
      <c r="F815" s="57"/>
      <c r="G815" s="58"/>
      <c r="H815" s="59"/>
      <c r="I815" s="60"/>
      <c r="J815" s="62"/>
      <c r="K815" s="136"/>
    </row>
    <row r="816" spans="1:11" s="9" customFormat="1" x14ac:dyDescent="0.25">
      <c r="A816" s="2" t="s">
        <v>1</v>
      </c>
      <c r="B816" s="21" t="s">
        <v>2</v>
      </c>
      <c r="C816" s="28" t="s">
        <v>3</v>
      </c>
      <c r="D816" s="2" t="s">
        <v>4</v>
      </c>
      <c r="E816" s="4" t="s">
        <v>5</v>
      </c>
      <c r="F816" s="3" t="s">
        <v>6</v>
      </c>
      <c r="G816" s="38" t="s">
        <v>61</v>
      </c>
      <c r="H816" s="39" t="s">
        <v>62</v>
      </c>
      <c r="I816" s="39" t="s">
        <v>63</v>
      </c>
      <c r="J816" s="69" t="s">
        <v>9</v>
      </c>
      <c r="K816" s="136"/>
    </row>
    <row r="817" spans="1:11" ht="45" customHeight="1" x14ac:dyDescent="0.25">
      <c r="A817" s="7" t="s">
        <v>995</v>
      </c>
      <c r="B817" s="54">
        <f>ORÇAMENTO!B176</f>
        <v>95472</v>
      </c>
      <c r="C817" s="29" t="s">
        <v>13</v>
      </c>
      <c r="D817" s="7" t="str">
        <f>ORÇAMENTO!D176</f>
        <v>VASO SANITARIO SIFONADO CONVENCIONAL PARA PCD SEM FURO FRONTAL COM LOUÇA BRANCA SEM ASSENTO, INCLUSO CONJUNTO DE LIGAÇÃO PARA BACIA SANITÁRIA AJUSTÁVEL - FORNECIMENTO E INSTALAÇÃO. AF_01/2020</v>
      </c>
      <c r="E817" s="140" t="s">
        <v>14</v>
      </c>
      <c r="F817" s="8"/>
      <c r="G817" s="63"/>
      <c r="H817" s="33"/>
      <c r="I817" s="63"/>
      <c r="J817" s="46"/>
      <c r="K817" s="136"/>
    </row>
    <row r="818" spans="1:11" x14ac:dyDescent="0.25">
      <c r="A818" s="10"/>
      <c r="B818" s="24"/>
      <c r="C818" s="30"/>
      <c r="D818" s="36" t="s">
        <v>390</v>
      </c>
      <c r="E818" s="12"/>
      <c r="F818" s="122">
        <v>6</v>
      </c>
      <c r="G818" s="31"/>
      <c r="H818" s="31"/>
      <c r="I818" s="31"/>
      <c r="J818" s="52">
        <f>F818</f>
        <v>6</v>
      </c>
      <c r="K818" s="136"/>
    </row>
    <row r="819" spans="1:11" x14ac:dyDescent="0.25">
      <c r="A819" s="64"/>
      <c r="B819" s="65"/>
      <c r="C819" s="65"/>
      <c r="D819" s="65"/>
      <c r="E819" s="65"/>
      <c r="F819" s="65"/>
      <c r="G819" s="65"/>
      <c r="H819" s="65"/>
      <c r="I819" s="65"/>
      <c r="J819" s="66"/>
      <c r="K819" s="136"/>
    </row>
    <row r="820" spans="1:11" x14ac:dyDescent="0.25">
      <c r="A820" s="2" t="s">
        <v>1</v>
      </c>
      <c r="B820" s="21" t="s">
        <v>2</v>
      </c>
      <c r="C820" s="28" t="s">
        <v>3</v>
      </c>
      <c r="D820" s="2" t="s">
        <v>4</v>
      </c>
      <c r="E820" s="4" t="s">
        <v>5</v>
      </c>
      <c r="F820" s="3" t="s">
        <v>6</v>
      </c>
      <c r="G820" s="38" t="s">
        <v>61</v>
      </c>
      <c r="H820" s="39" t="s">
        <v>62</v>
      </c>
      <c r="I820" s="39" t="s">
        <v>63</v>
      </c>
      <c r="J820" s="69" t="s">
        <v>9</v>
      </c>
      <c r="K820" s="136"/>
    </row>
    <row r="821" spans="1:11" s="9" customFormat="1" ht="26.4" x14ac:dyDescent="0.25">
      <c r="A821" s="7" t="s">
        <v>979</v>
      </c>
      <c r="B821" s="54">
        <f>ORÇAMENTO!B177</f>
        <v>100849</v>
      </c>
      <c r="C821" s="29" t="s">
        <v>13</v>
      </c>
      <c r="D821" s="7" t="str">
        <f>ORÇAMENTO!D177</f>
        <v>ASSENTO SANITÁRIO CONVENCIONAL - FORNECIMENTO E INSTALACAO. AF_01/2020</v>
      </c>
      <c r="E821" s="140" t="s">
        <v>14</v>
      </c>
      <c r="F821" s="8"/>
      <c r="G821" s="63"/>
      <c r="H821" s="33"/>
      <c r="I821" s="63"/>
      <c r="J821" s="46"/>
      <c r="K821" s="136"/>
    </row>
    <row r="822" spans="1:11" x14ac:dyDescent="0.25">
      <c r="A822" s="10"/>
      <c r="B822" s="24"/>
      <c r="C822" s="30"/>
      <c r="D822" s="36" t="s">
        <v>390</v>
      </c>
      <c r="E822" s="12"/>
      <c r="F822" s="122">
        <v>6</v>
      </c>
      <c r="G822" s="31"/>
      <c r="H822" s="31"/>
      <c r="I822" s="31"/>
      <c r="J822" s="52">
        <f>F822</f>
        <v>6</v>
      </c>
      <c r="K822" s="136"/>
    </row>
    <row r="823" spans="1:11" x14ac:dyDescent="0.25">
      <c r="A823" s="64"/>
      <c r="B823" s="65"/>
      <c r="C823" s="65"/>
      <c r="D823" s="65"/>
      <c r="E823" s="65"/>
      <c r="F823" s="65"/>
      <c r="G823" s="65"/>
      <c r="H823" s="65"/>
      <c r="I823" s="65"/>
      <c r="J823" s="66"/>
      <c r="K823" s="136"/>
    </row>
    <row r="824" spans="1:11" s="9" customFormat="1" x14ac:dyDescent="0.25">
      <c r="A824" s="2" t="s">
        <v>1</v>
      </c>
      <c r="B824" s="21" t="s">
        <v>2</v>
      </c>
      <c r="C824" s="28" t="s">
        <v>3</v>
      </c>
      <c r="D824" s="2" t="s">
        <v>4</v>
      </c>
      <c r="E824" s="4" t="s">
        <v>5</v>
      </c>
      <c r="F824" s="3" t="s">
        <v>6</v>
      </c>
      <c r="G824" s="38" t="s">
        <v>61</v>
      </c>
      <c r="H824" s="39" t="s">
        <v>62</v>
      </c>
      <c r="I824" s="39" t="s">
        <v>63</v>
      </c>
      <c r="J824" s="69" t="s">
        <v>9</v>
      </c>
      <c r="K824" s="136"/>
    </row>
    <row r="825" spans="1:11" s="9" customFormat="1" x14ac:dyDescent="0.25">
      <c r="A825" s="7" t="s">
        <v>980</v>
      </c>
      <c r="B825" s="23" t="str">
        <f>ORÇAMENTO!B178</f>
        <v>C1997</v>
      </c>
      <c r="C825" s="23" t="s">
        <v>15</v>
      </c>
      <c r="D825" s="139" t="str">
        <f>ORÇAMENTO!D178</f>
        <v>PORTA-PAPEL DE LOUCA BRANCA (15X15)cm</v>
      </c>
      <c r="E825" s="140" t="s">
        <v>14</v>
      </c>
      <c r="F825" s="8"/>
      <c r="G825" s="63"/>
      <c r="H825" s="33"/>
      <c r="I825" s="63"/>
      <c r="J825" s="46"/>
      <c r="K825" s="136"/>
    </row>
    <row r="826" spans="1:11" x14ac:dyDescent="0.25">
      <c r="A826" s="10"/>
      <c r="B826" s="30"/>
      <c r="C826" s="30"/>
      <c r="D826" s="36" t="s">
        <v>390</v>
      </c>
      <c r="E826" s="12"/>
      <c r="F826" s="122">
        <v>6</v>
      </c>
      <c r="G826" s="31"/>
      <c r="H826" s="31"/>
      <c r="I826" s="31"/>
      <c r="J826" s="52">
        <f>F826</f>
        <v>6</v>
      </c>
      <c r="K826" s="136"/>
    </row>
    <row r="827" spans="1:11" x14ac:dyDescent="0.25">
      <c r="A827" s="64"/>
      <c r="B827" s="65"/>
      <c r="C827" s="65"/>
      <c r="D827" s="65"/>
      <c r="E827" s="65"/>
      <c r="F827" s="65"/>
      <c r="G827" s="65"/>
      <c r="H827" s="65"/>
      <c r="I827" s="65"/>
      <c r="J827" s="66"/>
      <c r="K827" s="136"/>
    </row>
    <row r="828" spans="1:11" x14ac:dyDescent="0.25">
      <c r="A828" s="2" t="s">
        <v>1</v>
      </c>
      <c r="B828" s="21" t="s">
        <v>2</v>
      </c>
      <c r="C828" s="28" t="s">
        <v>3</v>
      </c>
      <c r="D828" s="2" t="s">
        <v>4</v>
      </c>
      <c r="E828" s="4" t="s">
        <v>5</v>
      </c>
      <c r="F828" s="3" t="s">
        <v>6</v>
      </c>
      <c r="G828" s="38" t="s">
        <v>61</v>
      </c>
      <c r="H828" s="39" t="s">
        <v>62</v>
      </c>
      <c r="I828" s="39" t="s">
        <v>63</v>
      </c>
      <c r="J828" s="69" t="s">
        <v>9</v>
      </c>
      <c r="K828" s="136"/>
    </row>
    <row r="829" spans="1:11" s="9" customFormat="1" ht="30" customHeight="1" x14ac:dyDescent="0.25">
      <c r="A829" s="7" t="s">
        <v>981</v>
      </c>
      <c r="B829" s="23" t="str">
        <f>ORÇAMENTO!B179</f>
        <v>C3004</v>
      </c>
      <c r="C829" s="23" t="s">
        <v>15</v>
      </c>
      <c r="D829" s="139" t="str">
        <f>ORÇAMENTO!D179</f>
        <v>LAVATÓRIO DE LOUÇA BRANCA S/COLUNA C/TORNEIRA DE METAL E ACESSÓRIOS - PADRÃO POPULAR</v>
      </c>
      <c r="E829" s="140" t="s">
        <v>14</v>
      </c>
      <c r="F829" s="8"/>
      <c r="G829" s="63"/>
      <c r="H829" s="33"/>
      <c r="I829" s="63"/>
      <c r="J829" s="46"/>
      <c r="K829" s="136"/>
    </row>
    <row r="830" spans="1:11" x14ac:dyDescent="0.25">
      <c r="A830" s="10"/>
      <c r="B830" s="30"/>
      <c r="C830" s="30"/>
      <c r="D830" s="36" t="s">
        <v>390</v>
      </c>
      <c r="E830" s="12"/>
      <c r="F830" s="122">
        <v>7</v>
      </c>
      <c r="G830" s="31"/>
      <c r="H830" s="31"/>
      <c r="I830" s="31"/>
      <c r="J830" s="52">
        <f>F830</f>
        <v>7</v>
      </c>
      <c r="K830" s="136"/>
    </row>
    <row r="831" spans="1:11" x14ac:dyDescent="0.25">
      <c r="A831" s="64"/>
      <c r="B831" s="65"/>
      <c r="C831" s="65"/>
      <c r="D831" s="65"/>
      <c r="E831" s="65"/>
      <c r="F831" s="65"/>
      <c r="G831" s="65"/>
      <c r="H831" s="65"/>
      <c r="I831" s="65"/>
      <c r="J831" s="66"/>
      <c r="K831" s="136"/>
    </row>
    <row r="832" spans="1:11" x14ac:dyDescent="0.25">
      <c r="A832" s="2" t="s">
        <v>1</v>
      </c>
      <c r="B832" s="21" t="s">
        <v>2</v>
      </c>
      <c r="C832" s="28" t="s">
        <v>3</v>
      </c>
      <c r="D832" s="2" t="s">
        <v>4</v>
      </c>
      <c r="E832" s="4" t="s">
        <v>5</v>
      </c>
      <c r="F832" s="3" t="s">
        <v>6</v>
      </c>
      <c r="G832" s="38" t="s">
        <v>61</v>
      </c>
      <c r="H832" s="39" t="s">
        <v>62</v>
      </c>
      <c r="I832" s="39" t="s">
        <v>63</v>
      </c>
      <c r="J832" s="69" t="s">
        <v>9</v>
      </c>
      <c r="K832" s="136"/>
    </row>
    <row r="833" spans="1:11" s="9" customFormat="1" ht="30" customHeight="1" x14ac:dyDescent="0.25">
      <c r="A833" s="7" t="s">
        <v>982</v>
      </c>
      <c r="B833" s="54">
        <f>ORÇAMENTO!B180</f>
        <v>95547</v>
      </c>
      <c r="C833" s="29" t="s">
        <v>13</v>
      </c>
      <c r="D833" s="7" t="str">
        <f>ORÇAMENTO!D180</f>
        <v>SABONETEIRA PLASTICA TIPO DISPENSER PARA SABONETE LIQUIDO COM RESERVATORIO 800 A 1500 ML, INCLUSO FIXAÇÃO. AF_01/2020</v>
      </c>
      <c r="E833" s="140" t="s">
        <v>14</v>
      </c>
      <c r="F833" s="8"/>
      <c r="G833" s="63"/>
      <c r="H833" s="33"/>
      <c r="I833" s="63"/>
      <c r="J833" s="46"/>
      <c r="K833" s="136"/>
    </row>
    <row r="834" spans="1:11" s="9" customFormat="1" x14ac:dyDescent="0.25">
      <c r="A834" s="10"/>
      <c r="B834" s="24"/>
      <c r="C834" s="30"/>
      <c r="D834" s="36" t="s">
        <v>390</v>
      </c>
      <c r="E834" s="12"/>
      <c r="F834" s="122">
        <v>7</v>
      </c>
      <c r="G834" s="31"/>
      <c r="H834" s="31"/>
      <c r="I834" s="31"/>
      <c r="J834" s="52">
        <f>F834</f>
        <v>7</v>
      </c>
      <c r="K834" s="136"/>
    </row>
    <row r="835" spans="1:11" s="9" customFormat="1" x14ac:dyDescent="0.25">
      <c r="A835" s="64"/>
      <c r="B835" s="65"/>
      <c r="C835" s="65"/>
      <c r="D835" s="65"/>
      <c r="E835" s="65"/>
      <c r="F835" s="65"/>
      <c r="G835" s="65"/>
      <c r="H835" s="65"/>
      <c r="I835" s="65"/>
      <c r="J835" s="66"/>
      <c r="K835" s="136"/>
    </row>
    <row r="836" spans="1:11" s="9" customFormat="1" x14ac:dyDescent="0.25">
      <c r="A836" s="2" t="s">
        <v>1</v>
      </c>
      <c r="B836" s="21" t="s">
        <v>2</v>
      </c>
      <c r="C836" s="28" t="s">
        <v>3</v>
      </c>
      <c r="D836" s="2" t="s">
        <v>4</v>
      </c>
      <c r="E836" s="4" t="s">
        <v>5</v>
      </c>
      <c r="F836" s="3" t="s">
        <v>6</v>
      </c>
      <c r="G836" s="38" t="s">
        <v>61</v>
      </c>
      <c r="H836" s="39" t="s">
        <v>62</v>
      </c>
      <c r="I836" s="39" t="s">
        <v>63</v>
      </c>
      <c r="J836" s="69" t="s">
        <v>9</v>
      </c>
      <c r="K836" s="136"/>
    </row>
    <row r="837" spans="1:11" s="9" customFormat="1" x14ac:dyDescent="0.25">
      <c r="A837" s="7" t="s">
        <v>983</v>
      </c>
      <c r="B837" s="23" t="str">
        <f>ORÇAMENTO!B181</f>
        <v>C4825</v>
      </c>
      <c r="C837" s="23" t="s">
        <v>15</v>
      </c>
      <c r="D837" s="139" t="str">
        <f>ORÇAMENTO!D181</f>
        <v>PORTA PAPEL TOALHA (DISPENSER)EM ABS</v>
      </c>
      <c r="E837" s="140" t="s">
        <v>14</v>
      </c>
      <c r="F837" s="8"/>
      <c r="G837" s="63"/>
      <c r="H837" s="33"/>
      <c r="I837" s="63"/>
      <c r="J837" s="46"/>
      <c r="K837" s="136"/>
    </row>
    <row r="838" spans="1:11" x14ac:dyDescent="0.25">
      <c r="A838" s="10"/>
      <c r="B838" s="30"/>
      <c r="C838" s="30"/>
      <c r="D838" s="36" t="s">
        <v>390</v>
      </c>
      <c r="E838" s="12"/>
      <c r="F838" s="122">
        <v>10</v>
      </c>
      <c r="G838" s="31"/>
      <c r="H838" s="31"/>
      <c r="I838" s="31"/>
      <c r="J838" s="52">
        <f>F838</f>
        <v>10</v>
      </c>
      <c r="K838" s="136"/>
    </row>
    <row r="839" spans="1:11" x14ac:dyDescent="0.25">
      <c r="A839" s="75"/>
      <c r="B839" s="65"/>
      <c r="C839" s="65"/>
      <c r="D839" s="124"/>
      <c r="E839" s="125"/>
      <c r="F839" s="126"/>
      <c r="G839" s="147"/>
      <c r="H839" s="147"/>
      <c r="I839" s="147"/>
      <c r="J839" s="127"/>
      <c r="K839" s="136"/>
    </row>
    <row r="840" spans="1:11" x14ac:dyDescent="0.25">
      <c r="A840" s="2" t="s">
        <v>1</v>
      </c>
      <c r="B840" s="21" t="s">
        <v>2</v>
      </c>
      <c r="C840" s="28" t="s">
        <v>3</v>
      </c>
      <c r="D840" s="2" t="s">
        <v>4</v>
      </c>
      <c r="E840" s="4" t="s">
        <v>5</v>
      </c>
      <c r="F840" s="3" t="s">
        <v>6</v>
      </c>
      <c r="G840" s="38" t="s">
        <v>61</v>
      </c>
      <c r="H840" s="39" t="s">
        <v>62</v>
      </c>
      <c r="I840" s="39" t="s">
        <v>63</v>
      </c>
      <c r="J840" s="69" t="s">
        <v>9</v>
      </c>
      <c r="K840" s="136"/>
    </row>
    <row r="841" spans="1:11" ht="44.25" customHeight="1" x14ac:dyDescent="0.25">
      <c r="A841" s="7" t="s">
        <v>984</v>
      </c>
      <c r="B841" s="23">
        <f>ORÇAMENTO!B182</f>
        <v>86920</v>
      </c>
      <c r="C841" s="23" t="s">
        <v>13</v>
      </c>
      <c r="D841" s="139" t="str">
        <f>ORÇAMENTO!D182</f>
        <v>TANQUE DE LOUÇA BRANCA COM COLUNA, 30L OU EQUIVALENTE, INCLUSO SIFÃO FLEXÍVEL EM PVC, VÁLVULA PLÁSTICA E TORNEIRA DE METAL CROMADO PADRÃO POPULAR - FORNECIMENTO E INSTALAÇÃO. AF_01/2020</v>
      </c>
      <c r="E841" s="140" t="s">
        <v>473</v>
      </c>
      <c r="F841" s="8"/>
      <c r="G841" s="63"/>
      <c r="H841" s="33"/>
      <c r="I841" s="63"/>
      <c r="J841" s="46"/>
      <c r="K841" s="136"/>
    </row>
    <row r="842" spans="1:11" x14ac:dyDescent="0.25">
      <c r="A842" s="10"/>
      <c r="B842" s="30"/>
      <c r="C842" s="30"/>
      <c r="D842" s="36" t="s">
        <v>390</v>
      </c>
      <c r="E842" s="12"/>
      <c r="F842" s="122">
        <v>1</v>
      </c>
      <c r="G842" s="31"/>
      <c r="H842" s="31"/>
      <c r="I842" s="31"/>
      <c r="J842" s="52">
        <f>F842</f>
        <v>1</v>
      </c>
      <c r="K842" s="136"/>
    </row>
    <row r="843" spans="1:11" x14ac:dyDescent="0.25">
      <c r="A843" s="75"/>
      <c r="B843" s="65"/>
      <c r="C843" s="65"/>
      <c r="D843" s="124"/>
      <c r="E843" s="125"/>
      <c r="F843" s="126"/>
      <c r="G843" s="147"/>
      <c r="H843" s="147"/>
      <c r="I843" s="147"/>
      <c r="J843" s="127"/>
      <c r="K843" s="136"/>
    </row>
    <row r="844" spans="1:11" x14ac:dyDescent="0.25">
      <c r="A844" s="2" t="s">
        <v>1</v>
      </c>
      <c r="B844" s="21" t="s">
        <v>2</v>
      </c>
      <c r="C844" s="28" t="s">
        <v>3</v>
      </c>
      <c r="D844" s="2" t="s">
        <v>4</v>
      </c>
      <c r="E844" s="4" t="s">
        <v>5</v>
      </c>
      <c r="F844" s="3" t="s">
        <v>6</v>
      </c>
      <c r="G844" s="38" t="s">
        <v>61</v>
      </c>
      <c r="H844" s="39" t="s">
        <v>62</v>
      </c>
      <c r="I844" s="39" t="s">
        <v>63</v>
      </c>
      <c r="J844" s="69" t="s">
        <v>9</v>
      </c>
      <c r="K844" s="136"/>
    </row>
    <row r="845" spans="1:11" ht="20.25" customHeight="1" x14ac:dyDescent="0.25">
      <c r="A845" s="7" t="s">
        <v>985</v>
      </c>
      <c r="B845" s="23" t="str">
        <f>ORÇAMENTO!B183</f>
        <v>C0358</v>
      </c>
      <c r="C845" s="23" t="s">
        <v>15</v>
      </c>
      <c r="D845" s="139" t="str">
        <f>ORÇAMENTO!D183</f>
        <v>BANCADA DE GRANITO PRETO C/BOLEAMENTO DUPLO (COLOCADO)</v>
      </c>
      <c r="E845" s="140" t="s">
        <v>21</v>
      </c>
      <c r="F845" s="8"/>
      <c r="G845" s="63"/>
      <c r="H845" s="33"/>
      <c r="I845" s="63"/>
      <c r="J845" s="46"/>
      <c r="K845" s="136"/>
    </row>
    <row r="846" spans="1:11" x14ac:dyDescent="0.25">
      <c r="A846" s="10"/>
      <c r="B846" s="30"/>
      <c r="C846" s="30"/>
      <c r="D846" s="36" t="s">
        <v>390</v>
      </c>
      <c r="E846" s="12"/>
      <c r="F846" s="122">
        <v>14.03</v>
      </c>
      <c r="G846" s="31"/>
      <c r="H846" s="31"/>
      <c r="I846" s="31"/>
      <c r="J846" s="52">
        <f>F846</f>
        <v>14.03</v>
      </c>
      <c r="K846" s="136"/>
    </row>
    <row r="847" spans="1:11" x14ac:dyDescent="0.25">
      <c r="A847" s="75"/>
      <c r="B847" s="65"/>
      <c r="C847" s="65"/>
      <c r="D847" s="124"/>
      <c r="E847" s="125"/>
      <c r="F847" s="126"/>
      <c r="G847" s="147"/>
      <c r="H847" s="147"/>
      <c r="I847" s="147"/>
      <c r="J847" s="127"/>
      <c r="K847" s="136"/>
    </row>
    <row r="848" spans="1:11" x14ac:dyDescent="0.25">
      <c r="A848" s="2" t="s">
        <v>1</v>
      </c>
      <c r="B848" s="21" t="s">
        <v>2</v>
      </c>
      <c r="C848" s="28" t="s">
        <v>3</v>
      </c>
      <c r="D848" s="2" t="s">
        <v>4</v>
      </c>
      <c r="E848" s="4" t="s">
        <v>5</v>
      </c>
      <c r="F848" s="3" t="s">
        <v>6</v>
      </c>
      <c r="G848" s="38" t="s">
        <v>61</v>
      </c>
      <c r="H848" s="39" t="s">
        <v>62</v>
      </c>
      <c r="I848" s="39" t="s">
        <v>63</v>
      </c>
      <c r="J848" s="69" t="s">
        <v>9</v>
      </c>
      <c r="K848" s="136"/>
    </row>
    <row r="849" spans="1:11" ht="30" customHeight="1" x14ac:dyDescent="0.25">
      <c r="A849" s="7" t="s">
        <v>986</v>
      </c>
      <c r="B849" s="23">
        <f>ORÇAMENTO!B184</f>
        <v>86900</v>
      </c>
      <c r="C849" s="23" t="s">
        <v>13</v>
      </c>
      <c r="D849" s="139" t="str">
        <f>ORÇAMENTO!D184</f>
        <v>CUBA DE EMBUTIR RETANGULAR DE AÇO INOXIDÁVEL, 46 X 30 X 12 CM - FORNECIMENTO E INSTALAÇÃO. AF_01/2020</v>
      </c>
      <c r="E849" s="140" t="s">
        <v>14</v>
      </c>
      <c r="F849" s="8"/>
      <c r="G849" s="63"/>
      <c r="H849" s="33"/>
      <c r="I849" s="63"/>
      <c r="J849" s="46"/>
      <c r="K849" s="136"/>
    </row>
    <row r="850" spans="1:11" x14ac:dyDescent="0.25">
      <c r="A850" s="10"/>
      <c r="B850" s="30"/>
      <c r="C850" s="30"/>
      <c r="D850" s="36" t="s">
        <v>390</v>
      </c>
      <c r="E850" s="12"/>
      <c r="F850" s="122">
        <v>9</v>
      </c>
      <c r="G850" s="31"/>
      <c r="H850" s="31"/>
      <c r="I850" s="31"/>
      <c r="J850" s="52">
        <f>F850</f>
        <v>9</v>
      </c>
      <c r="K850" s="136"/>
    </row>
    <row r="851" spans="1:11" x14ac:dyDescent="0.25">
      <c r="A851" s="75"/>
      <c r="B851" s="65"/>
      <c r="C851" s="65"/>
      <c r="D851" s="124"/>
      <c r="E851" s="125"/>
      <c r="F851" s="126"/>
      <c r="G851" s="147"/>
      <c r="H851" s="147"/>
      <c r="I851" s="147"/>
      <c r="J851" s="127"/>
      <c r="K851" s="136"/>
    </row>
    <row r="852" spans="1:11" x14ac:dyDescent="0.25">
      <c r="A852" s="2" t="s">
        <v>1</v>
      </c>
      <c r="B852" s="21" t="s">
        <v>2</v>
      </c>
      <c r="C852" s="28" t="s">
        <v>3</v>
      </c>
      <c r="D852" s="2" t="s">
        <v>4</v>
      </c>
      <c r="E852" s="4" t="s">
        <v>5</v>
      </c>
      <c r="F852" s="3" t="s">
        <v>6</v>
      </c>
      <c r="G852" s="38" t="s">
        <v>61</v>
      </c>
      <c r="H852" s="39" t="s">
        <v>62</v>
      </c>
      <c r="I852" s="39" t="s">
        <v>63</v>
      </c>
      <c r="J852" s="69" t="s">
        <v>9</v>
      </c>
      <c r="K852" s="136"/>
    </row>
    <row r="853" spans="1:11" ht="32.25" customHeight="1" x14ac:dyDescent="0.25">
      <c r="A853" s="7" t="s">
        <v>987</v>
      </c>
      <c r="B853" s="23">
        <f>ORÇAMENTO!B185</f>
        <v>100867</v>
      </c>
      <c r="C853" s="23" t="s">
        <v>13</v>
      </c>
      <c r="D853" s="139" t="str">
        <f>ORÇAMENTO!D185</f>
        <v>BARRA DE APOIO RETA, EM ACO INOX POLIDO, COMPRIMENTO 70 CM, FIXADA NA PAREDE - FORNECIMENTO E INSTALAÇÃO. AF_01/2020</v>
      </c>
      <c r="E853" s="140" t="s">
        <v>14</v>
      </c>
      <c r="F853" s="8"/>
      <c r="G853" s="63"/>
      <c r="H853" s="33"/>
      <c r="I853" s="63"/>
      <c r="J853" s="46"/>
      <c r="K853" s="136"/>
    </row>
    <row r="854" spans="1:11" ht="26.4" x14ac:dyDescent="0.25">
      <c r="A854" s="10"/>
      <c r="B854" s="30"/>
      <c r="C854" s="30"/>
      <c r="D854" s="417" t="s">
        <v>730</v>
      </c>
      <c r="E854" s="429"/>
      <c r="F854" s="418">
        <v>12</v>
      </c>
      <c r="G854" s="31"/>
      <c r="H854" s="31"/>
      <c r="I854" s="31"/>
      <c r="J854" s="52">
        <v>14</v>
      </c>
      <c r="K854" s="136"/>
    </row>
    <row r="855" spans="1:11" x14ac:dyDescent="0.25">
      <c r="A855" s="75"/>
      <c r="B855" s="65"/>
      <c r="C855" s="65"/>
      <c r="D855" s="417" t="s">
        <v>731</v>
      </c>
      <c r="E855" s="429"/>
      <c r="F855" s="418">
        <v>2</v>
      </c>
      <c r="G855" s="147"/>
      <c r="H855" s="147"/>
      <c r="I855" s="147"/>
      <c r="J855" s="127"/>
      <c r="K855" s="136"/>
    </row>
    <row r="856" spans="1:11" x14ac:dyDescent="0.25">
      <c r="A856" s="75"/>
      <c r="B856" s="65"/>
      <c r="C856" s="65"/>
      <c r="D856" s="417" t="s">
        <v>38</v>
      </c>
      <c r="E856" s="429"/>
      <c r="F856" s="418">
        <v>14</v>
      </c>
      <c r="G856" s="147"/>
      <c r="H856" s="147"/>
      <c r="I856" s="147"/>
      <c r="J856" s="127"/>
      <c r="K856" s="136"/>
    </row>
    <row r="857" spans="1:11" x14ac:dyDescent="0.25">
      <c r="A857" s="75"/>
      <c r="B857" s="65"/>
      <c r="C857" s="65"/>
      <c r="D857" s="124"/>
      <c r="E857" s="125"/>
      <c r="F857" s="126"/>
      <c r="G857" s="147"/>
      <c r="H857" s="147"/>
      <c r="I857" s="147"/>
      <c r="J857" s="127"/>
      <c r="K857" s="136"/>
    </row>
    <row r="858" spans="1:11" x14ac:dyDescent="0.25">
      <c r="A858" s="2" t="s">
        <v>1</v>
      </c>
      <c r="B858" s="21" t="s">
        <v>2</v>
      </c>
      <c r="C858" s="28" t="s">
        <v>3</v>
      </c>
      <c r="D858" s="2" t="s">
        <v>4</v>
      </c>
      <c r="E858" s="4" t="s">
        <v>5</v>
      </c>
      <c r="F858" s="3" t="s">
        <v>6</v>
      </c>
      <c r="G858" s="38" t="s">
        <v>61</v>
      </c>
      <c r="H858" s="39" t="s">
        <v>62</v>
      </c>
      <c r="I858" s="39" t="s">
        <v>63</v>
      </c>
      <c r="J858" s="69" t="s">
        <v>9</v>
      </c>
      <c r="K858" s="136"/>
    </row>
    <row r="859" spans="1:11" ht="30" customHeight="1" x14ac:dyDescent="0.25">
      <c r="A859" s="7" t="s">
        <v>988</v>
      </c>
      <c r="B859" s="23">
        <f>ORÇAMENTO!B186</f>
        <v>100868</v>
      </c>
      <c r="C859" s="23" t="s">
        <v>13</v>
      </c>
      <c r="D859" s="139" t="str">
        <f>ORÇAMENTO!D186</f>
        <v>BARRA DE APOIO RETA, EM ACO INOX POLIDO, COMPRIMENTO 80 CM, FIXADA NA PAREDE - FORNECIMENTO E INSTALAÇÃO. AF_01/2020</v>
      </c>
      <c r="E859" s="140" t="s">
        <v>14</v>
      </c>
      <c r="F859" s="8"/>
      <c r="G859" s="63"/>
      <c r="H859" s="33"/>
      <c r="I859" s="63"/>
      <c r="J859" s="46"/>
      <c r="K859" s="136"/>
    </row>
    <row r="860" spans="1:11" x14ac:dyDescent="0.25">
      <c r="A860" s="10"/>
      <c r="B860" s="30"/>
      <c r="C860" s="30"/>
      <c r="D860" s="36" t="s">
        <v>390</v>
      </c>
      <c r="E860" s="12"/>
      <c r="F860" s="122">
        <v>10</v>
      </c>
      <c r="G860" s="31"/>
      <c r="H860" s="31"/>
      <c r="I860" s="31"/>
      <c r="J860" s="52">
        <f>F860</f>
        <v>10</v>
      </c>
      <c r="K860" s="136"/>
    </row>
    <row r="861" spans="1:11" x14ac:dyDescent="0.25">
      <c r="A861" s="75"/>
      <c r="B861" s="65"/>
      <c r="C861" s="65"/>
      <c r="D861" s="124"/>
      <c r="E861" s="125"/>
      <c r="F861" s="126"/>
      <c r="G861" s="147"/>
      <c r="H861" s="147"/>
      <c r="I861" s="147"/>
      <c r="J861" s="127"/>
      <c r="K861" s="136"/>
    </row>
    <row r="862" spans="1:11" x14ac:dyDescent="0.25">
      <c r="A862" s="2" t="s">
        <v>1</v>
      </c>
      <c r="B862" s="21" t="s">
        <v>2</v>
      </c>
      <c r="C862" s="28" t="s">
        <v>3</v>
      </c>
      <c r="D862" s="2" t="s">
        <v>4</v>
      </c>
      <c r="E862" s="4" t="s">
        <v>5</v>
      </c>
      <c r="F862" s="3" t="s">
        <v>6</v>
      </c>
      <c r="G862" s="38" t="s">
        <v>61</v>
      </c>
      <c r="H862" s="39" t="s">
        <v>62</v>
      </c>
      <c r="I862" s="39" t="s">
        <v>63</v>
      </c>
      <c r="J862" s="69" t="s">
        <v>9</v>
      </c>
      <c r="K862" s="136"/>
    </row>
    <row r="863" spans="1:11" ht="31.5" customHeight="1" x14ac:dyDescent="0.25">
      <c r="A863" s="7" t="s">
        <v>989</v>
      </c>
      <c r="B863" s="23" t="str">
        <f>ORÇAMENTO!B187</f>
        <v>C3671</v>
      </c>
      <c r="C863" s="23" t="s">
        <v>15</v>
      </c>
      <c r="D863" s="139" t="str">
        <f>ORÇAMENTO!D187</f>
        <v>CONE PARA EXPURGO EM AÇO INOX COM TAMPA E GRELHA - L=500MM X C=500MM, ALTURA ATÉ 300MM E SAÍDA D=100MM</v>
      </c>
      <c r="E863" s="140" t="s">
        <v>14</v>
      </c>
      <c r="F863" s="8"/>
      <c r="G863" s="63"/>
      <c r="H863" s="33"/>
      <c r="I863" s="63"/>
      <c r="J863" s="46"/>
      <c r="K863" s="136"/>
    </row>
    <row r="864" spans="1:11" x14ac:dyDescent="0.25">
      <c r="A864" s="10"/>
      <c r="B864" s="30"/>
      <c r="C864" s="30"/>
      <c r="D864" s="36" t="s">
        <v>390</v>
      </c>
      <c r="E864" s="12"/>
      <c r="F864" s="122">
        <v>1</v>
      </c>
      <c r="G864" s="31"/>
      <c r="H864" s="31"/>
      <c r="I864" s="31"/>
      <c r="J864" s="52">
        <f>F864</f>
        <v>1</v>
      </c>
      <c r="K864" s="136"/>
    </row>
    <row r="865" spans="1:11" x14ac:dyDescent="0.25">
      <c r="A865" s="75"/>
      <c r="B865" s="65"/>
      <c r="C865" s="65"/>
      <c r="D865" s="124"/>
      <c r="E865" s="125"/>
      <c r="F865" s="126"/>
      <c r="G865" s="147"/>
      <c r="I865" s="147"/>
      <c r="J865" s="127"/>
      <c r="K865" s="136"/>
    </row>
    <row r="866" spans="1:11" x14ac:dyDescent="0.25">
      <c r="A866" s="2" t="s">
        <v>1</v>
      </c>
      <c r="B866" s="21" t="s">
        <v>2</v>
      </c>
      <c r="C866" s="28" t="s">
        <v>3</v>
      </c>
      <c r="D866" s="2" t="s">
        <v>4</v>
      </c>
      <c r="E866" s="4" t="s">
        <v>5</v>
      </c>
      <c r="F866" s="3" t="s">
        <v>6</v>
      </c>
      <c r="G866" s="38" t="s">
        <v>61</v>
      </c>
      <c r="H866" s="39" t="s">
        <v>62</v>
      </c>
      <c r="I866" s="39" t="s">
        <v>63</v>
      </c>
      <c r="J866" s="69" t="s">
        <v>9</v>
      </c>
      <c r="K866" s="136"/>
    </row>
    <row r="867" spans="1:11" ht="30" customHeight="1" x14ac:dyDescent="0.25">
      <c r="A867" s="7" t="s">
        <v>990</v>
      </c>
      <c r="B867" s="23">
        <f>ORÇAMENTO!B188</f>
        <v>86913</v>
      </c>
      <c r="C867" s="23" t="s">
        <v>13</v>
      </c>
      <c r="D867" s="139" t="str">
        <f>ORÇAMENTO!D188</f>
        <v>TORNEIRA CROMADA 1/2 OU 3/4 PARA TANQUE, PADRÃO MÉDIO - FORNECIMENTO E INSTALAÇÃO. AF_01/2020</v>
      </c>
      <c r="E867" s="140" t="s">
        <v>14</v>
      </c>
      <c r="F867" s="8"/>
      <c r="G867" s="63"/>
      <c r="H867" s="33"/>
      <c r="I867" s="63"/>
      <c r="J867" s="46"/>
      <c r="K867" s="136"/>
    </row>
    <row r="868" spans="1:11" x14ac:dyDescent="0.25">
      <c r="A868" s="10"/>
      <c r="B868" s="30"/>
      <c r="C868" s="30"/>
      <c r="D868" s="36" t="s">
        <v>390</v>
      </c>
      <c r="E868" s="12"/>
      <c r="F868" s="122">
        <v>1</v>
      </c>
      <c r="G868" s="31"/>
      <c r="H868" s="31"/>
      <c r="I868" s="31"/>
      <c r="J868" s="52">
        <f>F868</f>
        <v>1</v>
      </c>
      <c r="K868" s="136"/>
    </row>
    <row r="869" spans="1:11" x14ac:dyDescent="0.25">
      <c r="A869" s="75"/>
      <c r="B869" s="65"/>
      <c r="C869" s="65"/>
      <c r="D869" s="124"/>
      <c r="E869" s="125"/>
      <c r="F869" s="126"/>
      <c r="G869" s="147"/>
      <c r="I869" s="147"/>
      <c r="J869" s="127"/>
      <c r="K869" s="136"/>
    </row>
    <row r="870" spans="1:11" x14ac:dyDescent="0.25">
      <c r="A870" s="2" t="s">
        <v>1</v>
      </c>
      <c r="B870" s="21" t="s">
        <v>2</v>
      </c>
      <c r="C870" s="28" t="s">
        <v>3</v>
      </c>
      <c r="D870" s="2" t="s">
        <v>4</v>
      </c>
      <c r="E870" s="4" t="s">
        <v>5</v>
      </c>
      <c r="F870" s="3" t="s">
        <v>6</v>
      </c>
      <c r="G870" s="38" t="s">
        <v>61</v>
      </c>
      <c r="H870" s="39" t="s">
        <v>62</v>
      </c>
      <c r="I870" s="39" t="s">
        <v>63</v>
      </c>
      <c r="J870" s="69" t="s">
        <v>419</v>
      </c>
      <c r="K870" s="136"/>
    </row>
    <row r="871" spans="1:11" ht="22.5" customHeight="1" x14ac:dyDescent="0.25">
      <c r="A871" s="7" t="s">
        <v>991</v>
      </c>
      <c r="B871" s="23">
        <f>ORÇAMENTO!B189</f>
        <v>100853</v>
      </c>
      <c r="C871" s="23" t="s">
        <v>13</v>
      </c>
      <c r="D871" s="139" t="str">
        <f>ORÇAMENTO!D189</f>
        <v>TORNEIRA CROMADA DE MESA PARA LAVATORIO, TIPO MONOCOMANDO. AF_01/2020</v>
      </c>
      <c r="E871" s="140" t="s">
        <v>14</v>
      </c>
      <c r="F871" s="8"/>
      <c r="G871" s="63"/>
      <c r="H871" s="33"/>
      <c r="I871" s="63"/>
      <c r="J871" s="46"/>
      <c r="K871" s="136"/>
    </row>
    <row r="872" spans="1:11" x14ac:dyDescent="0.25">
      <c r="A872" s="10"/>
      <c r="B872" s="30"/>
      <c r="C872" s="30"/>
      <c r="D872" s="36" t="s">
        <v>390</v>
      </c>
      <c r="E872" s="12"/>
      <c r="F872" s="122">
        <v>8</v>
      </c>
      <c r="G872" s="31"/>
      <c r="H872" s="31"/>
      <c r="I872" s="31"/>
      <c r="J872" s="52">
        <f>F872</f>
        <v>8</v>
      </c>
      <c r="K872" s="136"/>
    </row>
    <row r="873" spans="1:11" x14ac:dyDescent="0.25">
      <c r="A873" s="75"/>
      <c r="B873" s="65"/>
      <c r="C873" s="65"/>
      <c r="D873" s="124"/>
      <c r="E873" s="125"/>
      <c r="F873" s="126"/>
      <c r="G873" s="147"/>
      <c r="I873" s="147"/>
      <c r="J873" s="127"/>
      <c r="K873" s="136"/>
    </row>
    <row r="874" spans="1:11" x14ac:dyDescent="0.25">
      <c r="A874" s="2" t="s">
        <v>1</v>
      </c>
      <c r="B874" s="21" t="s">
        <v>2</v>
      </c>
      <c r="C874" s="28" t="s">
        <v>3</v>
      </c>
      <c r="D874" s="2" t="s">
        <v>4</v>
      </c>
      <c r="E874" s="4" t="s">
        <v>5</v>
      </c>
      <c r="F874" s="3" t="s">
        <v>6</v>
      </c>
      <c r="G874" s="38" t="s">
        <v>61</v>
      </c>
      <c r="H874" s="39" t="s">
        <v>62</v>
      </c>
      <c r="I874" s="39" t="s">
        <v>63</v>
      </c>
      <c r="J874" s="69" t="s">
        <v>9</v>
      </c>
      <c r="K874" s="136"/>
    </row>
    <row r="875" spans="1:11" ht="28.5" customHeight="1" x14ac:dyDescent="0.25">
      <c r="A875" s="7" t="s">
        <v>992</v>
      </c>
      <c r="B875" s="23">
        <f>ORÇAMENTO!B190</f>
        <v>100860</v>
      </c>
      <c r="C875" s="23" t="s">
        <v>13</v>
      </c>
      <c r="D875" s="139" t="str">
        <f>ORÇAMENTO!D190</f>
        <v>CHUVEIRO ELÉTRICO COMUM CORPO PLÁSTICO, TIPO DUCHA FORNECIMENTO E INSTALAÇÃO. AF_01/2020</v>
      </c>
      <c r="E875" s="140" t="s">
        <v>14</v>
      </c>
      <c r="F875" s="8"/>
      <c r="G875" s="63"/>
      <c r="H875" s="33"/>
      <c r="I875" s="63"/>
      <c r="J875" s="46"/>
      <c r="K875" s="136"/>
    </row>
    <row r="876" spans="1:11" x14ac:dyDescent="0.25">
      <c r="A876" s="10"/>
      <c r="B876" s="30"/>
      <c r="C876" s="30"/>
      <c r="D876" s="36" t="s">
        <v>390</v>
      </c>
      <c r="E876" s="12"/>
      <c r="F876" s="122">
        <v>2</v>
      </c>
      <c r="G876" s="31"/>
      <c r="H876" s="31"/>
      <c r="I876" s="31"/>
      <c r="J876" s="52">
        <f>F876</f>
        <v>2</v>
      </c>
      <c r="K876" s="136"/>
    </row>
    <row r="877" spans="1:11" x14ac:dyDescent="0.25">
      <c r="A877" s="75"/>
      <c r="B877" s="65"/>
      <c r="C877" s="65"/>
      <c r="D877" s="124"/>
      <c r="E877" s="125"/>
      <c r="F877" s="126"/>
      <c r="G877" s="147"/>
      <c r="H877" s="147"/>
      <c r="I877" s="147"/>
      <c r="J877" s="127"/>
      <c r="K877" s="136"/>
    </row>
    <row r="878" spans="1:11" x14ac:dyDescent="0.25">
      <c r="A878" s="2" t="s">
        <v>1</v>
      </c>
      <c r="B878" s="21" t="s">
        <v>2</v>
      </c>
      <c r="C878" s="28" t="s">
        <v>3</v>
      </c>
      <c r="D878" s="2" t="s">
        <v>4</v>
      </c>
      <c r="E878" s="4" t="s">
        <v>5</v>
      </c>
      <c r="F878" s="3" t="s">
        <v>6</v>
      </c>
      <c r="G878" s="38" t="s">
        <v>61</v>
      </c>
      <c r="H878" s="39" t="s">
        <v>62</v>
      </c>
      <c r="I878" s="39" t="s">
        <v>63</v>
      </c>
      <c r="J878" s="69" t="s">
        <v>9</v>
      </c>
      <c r="K878" s="136"/>
    </row>
    <row r="879" spans="1:11" x14ac:dyDescent="0.25">
      <c r="A879" s="7" t="s">
        <v>993</v>
      </c>
      <c r="B879" s="23" t="str">
        <f>ORÇAMENTO!B191</f>
        <v xml:space="preserve"> 4394 </v>
      </c>
      <c r="C879" s="23" t="str">
        <f>ORÇAMENTO!C191</f>
        <v>ORSE</v>
      </c>
      <c r="D879" s="139" t="str">
        <f>ORÇAMENTO!D191</f>
        <v>DUCHA MANUAL MOD. 1972 LINHA C OU SIMILAR</v>
      </c>
      <c r="E879" s="140" t="s">
        <v>14</v>
      </c>
      <c r="F879" s="8"/>
      <c r="G879" s="63"/>
      <c r="H879" s="33"/>
      <c r="I879" s="63"/>
      <c r="J879" s="46"/>
      <c r="K879" s="136"/>
    </row>
    <row r="880" spans="1:11" x14ac:dyDescent="0.25">
      <c r="A880" s="10"/>
      <c r="B880" s="30"/>
      <c r="C880" s="30"/>
      <c r="D880" s="36" t="s">
        <v>732</v>
      </c>
      <c r="E880" s="12"/>
      <c r="F880" s="122">
        <v>7</v>
      </c>
      <c r="G880" s="31"/>
      <c r="H880" s="31"/>
      <c r="I880" s="31"/>
      <c r="J880" s="52">
        <f>F880</f>
        <v>7</v>
      </c>
      <c r="K880" s="136"/>
    </row>
    <row r="881" spans="1:11" x14ac:dyDescent="0.25">
      <c r="A881" s="75"/>
      <c r="B881" s="65"/>
      <c r="C881" s="65"/>
      <c r="D881" s="124"/>
      <c r="E881" s="125"/>
      <c r="F881" s="126"/>
      <c r="G881" s="147"/>
      <c r="H881" s="147"/>
      <c r="I881" s="147"/>
      <c r="J881" s="127"/>
      <c r="K881" s="136"/>
    </row>
    <row r="882" spans="1:11" x14ac:dyDescent="0.25">
      <c r="A882" s="2" t="s">
        <v>1</v>
      </c>
      <c r="B882" s="21" t="s">
        <v>2</v>
      </c>
      <c r="C882" s="28" t="s">
        <v>3</v>
      </c>
      <c r="D882" s="2" t="s">
        <v>4</v>
      </c>
      <c r="E882" s="4" t="s">
        <v>5</v>
      </c>
      <c r="F882" s="3" t="s">
        <v>6</v>
      </c>
      <c r="G882" s="38" t="s">
        <v>61</v>
      </c>
      <c r="H882" s="39" t="s">
        <v>62</v>
      </c>
      <c r="I882" s="39" t="s">
        <v>63</v>
      </c>
      <c r="J882" s="69" t="s">
        <v>9</v>
      </c>
      <c r="K882" s="136"/>
    </row>
    <row r="883" spans="1:11" x14ac:dyDescent="0.25">
      <c r="A883" s="7" t="s">
        <v>994</v>
      </c>
      <c r="B883" s="23" t="str">
        <f>ORÇAMENTO!B192</f>
        <v xml:space="preserve"> C4000 </v>
      </c>
      <c r="C883" s="23" t="str">
        <f>ORÇAMENTO!C192</f>
        <v>SEINFRA</v>
      </c>
      <c r="D883" s="139" t="str">
        <f>ORÇAMENTO!D192</f>
        <v>TORNEIRA TIPO JARDIM CROMADA</v>
      </c>
      <c r="E883" s="140" t="s">
        <v>14</v>
      </c>
      <c r="F883" s="8"/>
      <c r="G883" s="63"/>
      <c r="H883" s="33"/>
      <c r="I883" s="63"/>
      <c r="J883" s="46"/>
      <c r="K883" s="136"/>
    </row>
    <row r="884" spans="1:11" x14ac:dyDescent="0.25">
      <c r="A884" s="10"/>
      <c r="B884" s="30"/>
      <c r="C884" s="30"/>
      <c r="D884" s="36" t="s">
        <v>733</v>
      </c>
      <c r="E884" s="12"/>
      <c r="F884" s="122">
        <v>2</v>
      </c>
      <c r="G884" s="31"/>
      <c r="H884" s="31"/>
      <c r="I884" s="31"/>
      <c r="J884" s="52">
        <f>F884</f>
        <v>2</v>
      </c>
      <c r="K884" s="136"/>
    </row>
    <row r="885" spans="1:11" x14ac:dyDescent="0.25">
      <c r="A885" s="75"/>
      <c r="B885" s="65"/>
      <c r="C885" s="65"/>
      <c r="D885" s="124"/>
      <c r="E885" s="125"/>
      <c r="F885" s="126"/>
      <c r="G885" s="147"/>
      <c r="H885" s="147"/>
      <c r="I885" s="147"/>
      <c r="J885" s="127"/>
      <c r="K885" s="136"/>
    </row>
    <row r="886" spans="1:11" x14ac:dyDescent="0.25">
      <c r="A886" s="75"/>
      <c r="B886" s="65"/>
      <c r="C886" s="65"/>
      <c r="D886" s="124"/>
      <c r="E886" s="125"/>
      <c r="F886" s="126"/>
      <c r="G886" s="147"/>
      <c r="H886" s="147"/>
      <c r="I886" s="147"/>
      <c r="J886" s="127"/>
      <c r="K886" s="136"/>
    </row>
    <row r="887" spans="1:11" x14ac:dyDescent="0.25">
      <c r="A887" s="55" t="s">
        <v>114</v>
      </c>
      <c r="B887" s="56"/>
      <c r="C887" s="56"/>
      <c r="D887" s="55" t="s">
        <v>311</v>
      </c>
      <c r="E887" s="55"/>
      <c r="F887" s="57"/>
      <c r="G887" s="58"/>
      <c r="H887" s="59"/>
      <c r="I887" s="60"/>
      <c r="J887" s="62"/>
      <c r="K887" s="136"/>
    </row>
    <row r="888" spans="1:11" x14ac:dyDescent="0.25">
      <c r="A888" s="2" t="s">
        <v>1</v>
      </c>
      <c r="B888" s="21" t="s">
        <v>2</v>
      </c>
      <c r="C888" s="28" t="s">
        <v>3</v>
      </c>
      <c r="D888" s="2" t="s">
        <v>4</v>
      </c>
      <c r="E888" s="4" t="s">
        <v>5</v>
      </c>
      <c r="F888" s="3" t="s">
        <v>6</v>
      </c>
      <c r="G888" s="38" t="s">
        <v>61</v>
      </c>
      <c r="H888" s="39" t="s">
        <v>62</v>
      </c>
      <c r="I888" s="39" t="s">
        <v>63</v>
      </c>
      <c r="J888" s="69" t="s">
        <v>9</v>
      </c>
      <c r="K888" s="136"/>
    </row>
    <row r="889" spans="1:11" ht="47.25" customHeight="1" x14ac:dyDescent="0.25">
      <c r="A889" s="7" t="s">
        <v>996</v>
      </c>
      <c r="B889" s="23">
        <f>ORÇAMENTO!B194</f>
        <v>94783</v>
      </c>
      <c r="C889" s="23" t="str">
        <f>ORÇAMENTO!C194</f>
        <v>SINAPI</v>
      </c>
      <c r="D889" s="139" t="str">
        <f>ORÇAMENTO!D194</f>
        <v>ADAPTADOR COM FLANGE E ANEL DE VEDAÇÃO, PVC, SOLDÁVEL, DN 20 MM X 1/2", INSTALADO EM RESERVAÇÃO PREDIAL DE ÁGUA - FORNECIMENTO E INSTALAÇÃO. AF_04/2024</v>
      </c>
      <c r="E889" s="140" t="s">
        <v>14</v>
      </c>
      <c r="F889" s="8"/>
      <c r="G889" s="63"/>
      <c r="H889" s="33"/>
      <c r="I889" s="63"/>
      <c r="J889" s="46"/>
      <c r="K889" s="136"/>
    </row>
    <row r="890" spans="1:11" x14ac:dyDescent="0.25">
      <c r="A890" s="10"/>
      <c r="B890" s="30"/>
      <c r="C890" s="30"/>
      <c r="D890" s="36" t="s">
        <v>390</v>
      </c>
      <c r="E890" s="12"/>
      <c r="F890" s="122">
        <v>2</v>
      </c>
      <c r="G890" s="31"/>
      <c r="H890" s="31"/>
      <c r="I890" s="31"/>
      <c r="J890" s="52">
        <f>F890</f>
        <v>2</v>
      </c>
      <c r="K890" s="136"/>
    </row>
    <row r="891" spans="1:11" x14ac:dyDescent="0.25">
      <c r="A891" s="75"/>
      <c r="B891" s="65"/>
      <c r="C891" s="65"/>
      <c r="D891" s="124"/>
      <c r="E891" s="125"/>
      <c r="F891" s="126"/>
      <c r="G891" s="147"/>
      <c r="H891" s="147"/>
      <c r="I891" s="147"/>
      <c r="J891" s="127"/>
      <c r="K891" s="136"/>
    </row>
    <row r="892" spans="1:11" x14ac:dyDescent="0.25">
      <c r="A892" s="2" t="s">
        <v>1</v>
      </c>
      <c r="B892" s="21" t="s">
        <v>2</v>
      </c>
      <c r="C892" s="28" t="s">
        <v>3</v>
      </c>
      <c r="D892" s="2" t="s">
        <v>4</v>
      </c>
      <c r="E892" s="4" t="s">
        <v>5</v>
      </c>
      <c r="F892" s="3" t="s">
        <v>6</v>
      </c>
      <c r="G892" s="38" t="s">
        <v>61</v>
      </c>
      <c r="H892" s="39" t="s">
        <v>62</v>
      </c>
      <c r="I892" s="39" t="s">
        <v>63</v>
      </c>
      <c r="J892" s="69" t="s">
        <v>9</v>
      </c>
      <c r="K892" s="136"/>
    </row>
    <row r="893" spans="1:11" ht="42.75" customHeight="1" x14ac:dyDescent="0.25">
      <c r="A893" s="7" t="s">
        <v>997</v>
      </c>
      <c r="B893" s="23">
        <f>ORÇAMENTO!B195</f>
        <v>94705</v>
      </c>
      <c r="C893" s="23" t="str">
        <f>ORÇAMENTO!C195</f>
        <v>SINAPI</v>
      </c>
      <c r="D893" s="139" t="str">
        <f>ORÇAMENTO!D195</f>
        <v>ADAPTADOR COM FLANGE E ANEL DE VEDAÇÃO, PVC, SOLDÁVEL, DN 40 MM X 1 1/4", INSTALADO EM RESERVAÇÃO PREDIAL DE ÁGUA - FORNECIMENTO E INSTALAÇÃO. AF_04/2024</v>
      </c>
      <c r="E893" s="140" t="s">
        <v>14</v>
      </c>
      <c r="F893" s="8"/>
      <c r="G893" s="63"/>
      <c r="H893" s="33"/>
      <c r="I893" s="63"/>
      <c r="J893" s="46"/>
      <c r="K893" s="136"/>
    </row>
    <row r="894" spans="1:11" x14ac:dyDescent="0.25">
      <c r="A894" s="10"/>
      <c r="B894" s="30"/>
      <c r="C894" s="30"/>
      <c r="D894" s="36" t="s">
        <v>390</v>
      </c>
      <c r="E894" s="12"/>
      <c r="F894" s="122">
        <v>3</v>
      </c>
      <c r="G894" s="31"/>
      <c r="H894" s="31"/>
      <c r="I894" s="31"/>
      <c r="J894" s="52">
        <f>F894</f>
        <v>3</v>
      </c>
      <c r="K894" s="136"/>
    </row>
    <row r="895" spans="1:11" x14ac:dyDescent="0.25">
      <c r="A895" s="75"/>
      <c r="B895" s="65"/>
      <c r="C895" s="65"/>
      <c r="D895" s="124"/>
      <c r="E895" s="125"/>
      <c r="F895" s="126"/>
      <c r="G895" s="147"/>
      <c r="H895" s="147"/>
      <c r="I895" s="147"/>
      <c r="J895" s="127"/>
      <c r="K895" s="136"/>
    </row>
    <row r="896" spans="1:11" x14ac:dyDescent="0.25">
      <c r="A896" s="2" t="s">
        <v>1</v>
      </c>
      <c r="B896" s="21" t="s">
        <v>2</v>
      </c>
      <c r="C896" s="28" t="s">
        <v>3</v>
      </c>
      <c r="D896" s="2" t="s">
        <v>4</v>
      </c>
      <c r="E896" s="4" t="s">
        <v>5</v>
      </c>
      <c r="F896" s="3" t="s">
        <v>6</v>
      </c>
      <c r="G896" s="38" t="s">
        <v>61</v>
      </c>
      <c r="H896" s="39" t="s">
        <v>62</v>
      </c>
      <c r="I896" s="39" t="s">
        <v>63</v>
      </c>
      <c r="J896" s="69" t="s">
        <v>9</v>
      </c>
      <c r="K896" s="136"/>
    </row>
    <row r="897" spans="1:11" ht="48" customHeight="1" x14ac:dyDescent="0.25">
      <c r="A897" s="7" t="s">
        <v>998</v>
      </c>
      <c r="B897" s="23">
        <f>ORÇAMENTO!B196</f>
        <v>94706</v>
      </c>
      <c r="C897" s="23" t="str">
        <f>ORÇAMENTO!C196</f>
        <v>SINAPI</v>
      </c>
      <c r="D897" s="139" t="str">
        <f>ORÇAMENTO!D196</f>
        <v>ADAPTADOR COM FLANGE E ANEL DE VEDAÇÃO, PVC, SOLDÁVEL, DN 50 MM X 1 1/2", INSTALADO EM RESERVAÇÃO PREDIAL DE ÁGUA - FORNECIMENTO E INSTALAÇÃO. AF_04/2024</v>
      </c>
      <c r="E897" s="140" t="s">
        <v>14</v>
      </c>
      <c r="F897" s="8"/>
      <c r="G897" s="63"/>
      <c r="H897" s="33"/>
      <c r="I897" s="63"/>
      <c r="J897" s="46"/>
      <c r="K897" s="136"/>
    </row>
    <row r="898" spans="1:11" x14ac:dyDescent="0.25">
      <c r="A898" s="10"/>
      <c r="B898" s="30"/>
      <c r="C898" s="30"/>
      <c r="D898" s="36" t="s">
        <v>390</v>
      </c>
      <c r="E898" s="12"/>
      <c r="F898" s="122">
        <v>2</v>
      </c>
      <c r="G898" s="31"/>
      <c r="H898" s="31"/>
      <c r="I898" s="31"/>
      <c r="J898" s="52">
        <f>F898</f>
        <v>2</v>
      </c>
      <c r="K898" s="136"/>
    </row>
    <row r="899" spans="1:11" x14ac:dyDescent="0.25">
      <c r="A899" s="75"/>
      <c r="B899" s="65"/>
      <c r="C899" s="65"/>
      <c r="D899" s="124"/>
      <c r="E899" s="125"/>
      <c r="F899" s="126"/>
      <c r="G899" s="147"/>
      <c r="H899" s="147"/>
      <c r="I899" s="147"/>
      <c r="J899" s="127"/>
      <c r="K899" s="136"/>
    </row>
    <row r="900" spans="1:11" x14ac:dyDescent="0.25">
      <c r="A900" s="2" t="s">
        <v>1</v>
      </c>
      <c r="B900" s="21" t="s">
        <v>2</v>
      </c>
      <c r="C900" s="28" t="s">
        <v>3</v>
      </c>
      <c r="D900" s="2" t="s">
        <v>4</v>
      </c>
      <c r="E900" s="4" t="s">
        <v>5</v>
      </c>
      <c r="F900" s="3" t="s">
        <v>6</v>
      </c>
      <c r="G900" s="38" t="s">
        <v>61</v>
      </c>
      <c r="H900" s="39" t="s">
        <v>62</v>
      </c>
      <c r="I900" s="39" t="s">
        <v>63</v>
      </c>
      <c r="J900" s="69" t="s">
        <v>9</v>
      </c>
      <c r="K900" s="136"/>
    </row>
    <row r="901" spans="1:11" ht="47.25" customHeight="1" x14ac:dyDescent="0.25">
      <c r="A901" s="7" t="s">
        <v>999</v>
      </c>
      <c r="B901" s="23">
        <f>ORÇAMENTO!B197</f>
        <v>94707</v>
      </c>
      <c r="C901" s="23" t="str">
        <f>ORÇAMENTO!C197</f>
        <v>SINAPI</v>
      </c>
      <c r="D901" s="139" t="str">
        <f>ORÇAMENTO!D197</f>
        <v>ADAPTADOR COM FLANGE E ANEL DE VEDAÇÃO, PVC, SOLDÁVEL, DN 60 MM X 2", INSTALADO EM RESERVAÇÃO PREDIAL DE ÁGUA - FORNECIMENTO E INSTALAÇÃO. AF_04/2024</v>
      </c>
      <c r="E901" s="140" t="s">
        <v>14</v>
      </c>
      <c r="F901" s="8"/>
      <c r="G901" s="63"/>
      <c r="H901" s="33"/>
      <c r="I901" s="63"/>
      <c r="J901" s="46"/>
      <c r="K901" s="136"/>
    </row>
    <row r="902" spans="1:11" x14ac:dyDescent="0.25">
      <c r="A902" s="10"/>
      <c r="B902" s="30"/>
      <c r="C902" s="30"/>
      <c r="D902" s="36" t="s">
        <v>390</v>
      </c>
      <c r="E902" s="12"/>
      <c r="F902" s="122">
        <v>1</v>
      </c>
      <c r="G902" s="31"/>
      <c r="H902" s="31"/>
      <c r="I902" s="31"/>
      <c r="J902" s="52">
        <f>F902</f>
        <v>1</v>
      </c>
      <c r="K902" s="136"/>
    </row>
    <row r="903" spans="1:11" x14ac:dyDescent="0.25">
      <c r="A903" s="75"/>
      <c r="B903" s="65"/>
      <c r="C903" s="65"/>
      <c r="D903" s="124"/>
      <c r="E903" s="125"/>
      <c r="F903" s="126"/>
      <c r="G903" s="147"/>
      <c r="H903" s="147"/>
      <c r="I903" s="147"/>
      <c r="J903" s="127"/>
      <c r="K903" s="136"/>
    </row>
    <row r="904" spans="1:11" x14ac:dyDescent="0.25">
      <c r="A904" s="2" t="s">
        <v>1</v>
      </c>
      <c r="B904" s="21" t="s">
        <v>2</v>
      </c>
      <c r="C904" s="28" t="s">
        <v>3</v>
      </c>
      <c r="D904" s="2" t="s">
        <v>4</v>
      </c>
      <c r="E904" s="4" t="s">
        <v>5</v>
      </c>
      <c r="F904" s="3" t="s">
        <v>6</v>
      </c>
      <c r="G904" s="38" t="s">
        <v>61</v>
      </c>
      <c r="H904" s="39" t="s">
        <v>62</v>
      </c>
      <c r="I904" s="39" t="s">
        <v>63</v>
      </c>
      <c r="J904" s="69" t="s">
        <v>9</v>
      </c>
      <c r="K904" s="136"/>
    </row>
    <row r="905" spans="1:11" ht="43.5" customHeight="1" x14ac:dyDescent="0.25">
      <c r="A905" s="7" t="s">
        <v>1000</v>
      </c>
      <c r="B905" s="23">
        <f>ORÇAMENTO!B198</f>
        <v>89376</v>
      </c>
      <c r="C905" s="23" t="str">
        <f>ORÇAMENTO!C198</f>
        <v>SINAPI</v>
      </c>
      <c r="D905" s="139" t="str">
        <f>ORÇAMENTO!D198</f>
        <v>ADAPTADOR CURTO COM BOLSA E ROSCA PARA REGISTRO, PVC, SOLDÁVEL, DN 20MM X 1/2 , INSTALADO EM RAMAL OU SUB-RAMAL DE ÁGUA - FORNECIMENTO E INSTALAÇÃO. AF_06/2022</v>
      </c>
      <c r="E905" s="140" t="s">
        <v>14</v>
      </c>
      <c r="F905" s="8"/>
      <c r="G905" s="63"/>
      <c r="H905" s="33"/>
      <c r="I905" s="63"/>
      <c r="J905" s="46"/>
      <c r="K905" s="136"/>
    </row>
    <row r="906" spans="1:11" x14ac:dyDescent="0.25">
      <c r="A906" s="10"/>
      <c r="B906" s="30"/>
      <c r="C906" s="30"/>
      <c r="D906" s="36" t="s">
        <v>390</v>
      </c>
      <c r="E906" s="12"/>
      <c r="F906" s="122">
        <v>2</v>
      </c>
      <c r="G906" s="31"/>
      <c r="H906" s="31"/>
      <c r="I906" s="31"/>
      <c r="J906" s="52">
        <f>F906</f>
        <v>2</v>
      </c>
      <c r="K906" s="136"/>
    </row>
    <row r="907" spans="1:11" x14ac:dyDescent="0.25">
      <c r="A907" s="75"/>
      <c r="B907" s="65"/>
      <c r="C907" s="65"/>
      <c r="D907" s="124"/>
      <c r="E907" s="125"/>
      <c r="F907" s="76" t="s">
        <v>176</v>
      </c>
      <c r="G907" s="147"/>
      <c r="H907" s="147"/>
      <c r="I907" s="147"/>
      <c r="J907" s="127"/>
      <c r="K907" s="136"/>
    </row>
    <row r="908" spans="1:11" x14ac:dyDescent="0.25">
      <c r="A908" s="2" t="s">
        <v>1</v>
      </c>
      <c r="B908" s="21" t="s">
        <v>2</v>
      </c>
      <c r="C908" s="28" t="s">
        <v>3</v>
      </c>
      <c r="D908" s="2" t="s">
        <v>4</v>
      </c>
      <c r="E908" s="4" t="s">
        <v>5</v>
      </c>
      <c r="F908" s="3" t="s">
        <v>6</v>
      </c>
      <c r="G908" s="38" t="s">
        <v>61</v>
      </c>
      <c r="H908" s="39" t="s">
        <v>62</v>
      </c>
      <c r="I908" s="39" t="s">
        <v>63</v>
      </c>
      <c r="J908" s="69" t="s">
        <v>9</v>
      </c>
      <c r="K908" s="136"/>
    </row>
    <row r="909" spans="1:11" ht="42.75" customHeight="1" x14ac:dyDescent="0.25">
      <c r="A909" s="7" t="s">
        <v>1001</v>
      </c>
      <c r="B909" s="23">
        <f>ORÇAMENTO!B199</f>
        <v>103994</v>
      </c>
      <c r="C909" s="23" t="str">
        <f>ORÇAMENTO!C199</f>
        <v>SINAPI</v>
      </c>
      <c r="D909" s="139" t="str">
        <f>ORÇAMENTO!D199</f>
        <v>ADAPTADOR CURTO COM BOLSA E ROSCA PARA REGISTRO, PVC, SOLDÁVEL, DN 40MM X 1.1/4, INSTALADO EM RAMAL DE DISTRIBUIÇÃO DE ÁGUA - FORNECIMENTO E INSTALAÇÃO. AF_06/2022</v>
      </c>
      <c r="E909" s="140" t="s">
        <v>14</v>
      </c>
      <c r="F909" s="8"/>
      <c r="G909" s="63"/>
      <c r="H909" s="33"/>
      <c r="I909" s="63"/>
      <c r="J909" s="46"/>
      <c r="K909" s="136"/>
    </row>
    <row r="910" spans="1:11" x14ac:dyDescent="0.25">
      <c r="A910" s="10"/>
      <c r="B910" s="30"/>
      <c r="C910" s="30"/>
      <c r="D910" s="36" t="s">
        <v>390</v>
      </c>
      <c r="E910" s="12"/>
      <c r="F910" s="122">
        <v>6</v>
      </c>
      <c r="G910" s="31"/>
      <c r="H910" s="31"/>
      <c r="I910" s="31"/>
      <c r="J910" s="52">
        <f>F910</f>
        <v>6</v>
      </c>
      <c r="K910" s="136"/>
    </row>
    <row r="911" spans="1:11" x14ac:dyDescent="0.25">
      <c r="A911" s="75"/>
      <c r="B911" s="65"/>
      <c r="C911" s="65"/>
      <c r="D911" s="124"/>
      <c r="E911" s="125"/>
      <c r="F911" s="126"/>
      <c r="G911" s="147"/>
      <c r="H911" s="147"/>
      <c r="I911" s="147"/>
      <c r="J911" s="127"/>
      <c r="K911" s="136"/>
    </row>
    <row r="912" spans="1:11" x14ac:dyDescent="0.25">
      <c r="A912" s="2" t="s">
        <v>1</v>
      </c>
      <c r="B912" s="21" t="s">
        <v>2</v>
      </c>
      <c r="C912" s="28" t="s">
        <v>3</v>
      </c>
      <c r="D912" s="2" t="s">
        <v>4</v>
      </c>
      <c r="E912" s="4" t="s">
        <v>5</v>
      </c>
      <c r="F912" s="3" t="s">
        <v>6</v>
      </c>
      <c r="G912" s="38" t="s">
        <v>61</v>
      </c>
      <c r="H912" s="39" t="s">
        <v>62</v>
      </c>
      <c r="I912" s="39" t="s">
        <v>63</v>
      </c>
      <c r="J912" s="69" t="s">
        <v>9</v>
      </c>
      <c r="K912" s="136"/>
    </row>
    <row r="913" spans="1:11" ht="42" customHeight="1" x14ac:dyDescent="0.25">
      <c r="A913" s="7" t="s">
        <v>1002</v>
      </c>
      <c r="B913" s="23">
        <f>ORÇAMENTO!B200</f>
        <v>104001</v>
      </c>
      <c r="C913" s="23" t="str">
        <f>ORÇAMENTO!C200</f>
        <v>SINAPI</v>
      </c>
      <c r="D913" s="139" t="str">
        <f>ORÇAMENTO!D200</f>
        <v>ADAPTADOR CURTO COM BOLSA E ROSCA PARA REGISTRO, PVC, SOLDÁVEL, DN 50MM X 1.1/2, INSTALADO EM RAMAL DE DISTRIBUIÇÃO DE ÁGUA - FORNECIMENTO E INSTALAÇÃO. AF_06/2022</v>
      </c>
      <c r="E913" s="140" t="s">
        <v>14</v>
      </c>
      <c r="F913" s="8"/>
      <c r="G913" s="63"/>
      <c r="H913" s="33"/>
      <c r="I913" s="63"/>
      <c r="J913" s="46"/>
      <c r="K913" s="136"/>
    </row>
    <row r="914" spans="1:11" x14ac:dyDescent="0.25">
      <c r="A914" s="10"/>
      <c r="B914" s="30"/>
      <c r="C914" s="30"/>
      <c r="D914" s="36" t="s">
        <v>390</v>
      </c>
      <c r="E914" s="12"/>
      <c r="F914" s="122">
        <v>12</v>
      </c>
      <c r="G914" s="31"/>
      <c r="H914" s="31"/>
      <c r="I914" s="31"/>
      <c r="J914" s="52">
        <f>F914</f>
        <v>12</v>
      </c>
      <c r="K914" s="136"/>
    </row>
    <row r="915" spans="1:11" x14ac:dyDescent="0.25">
      <c r="A915" s="75"/>
      <c r="B915" s="65"/>
      <c r="C915" s="65"/>
      <c r="D915" s="124"/>
      <c r="E915" s="125"/>
      <c r="F915" s="126"/>
      <c r="G915" s="147"/>
      <c r="H915" s="147"/>
      <c r="I915" s="147"/>
      <c r="J915" s="127"/>
      <c r="K915" s="136"/>
    </row>
    <row r="916" spans="1:11" x14ac:dyDescent="0.25">
      <c r="A916" s="2" t="s">
        <v>1</v>
      </c>
      <c r="B916" s="21" t="s">
        <v>2</v>
      </c>
      <c r="C916" s="28" t="s">
        <v>3</v>
      </c>
      <c r="D916" s="2" t="s">
        <v>4</v>
      </c>
      <c r="E916" s="4" t="s">
        <v>5</v>
      </c>
      <c r="F916" s="3" t="s">
        <v>6</v>
      </c>
      <c r="G916" s="38" t="s">
        <v>61</v>
      </c>
      <c r="H916" s="39" t="s">
        <v>62</v>
      </c>
      <c r="I916" s="39" t="s">
        <v>63</v>
      </c>
      <c r="J916" s="69" t="s">
        <v>9</v>
      </c>
      <c r="K916" s="136"/>
    </row>
    <row r="917" spans="1:11" ht="30" customHeight="1" x14ac:dyDescent="0.25">
      <c r="A917" s="7" t="s">
        <v>1003</v>
      </c>
      <c r="B917" s="23">
        <f>ORÇAMENTO!B201</f>
        <v>102111</v>
      </c>
      <c r="C917" s="23" t="str">
        <f>ORÇAMENTO!C201</f>
        <v>SINAPI</v>
      </c>
      <c r="D917" s="139" t="str">
        <f>ORÇAMENTO!D201</f>
        <v>BOMBA CENTRÍFUGA, MONOFÁSICA, 0,5 CV OU 0,49 HP, HM 6 A 20 M, Q 1,2 A 8,3 M3/H - FORNECIMENTO E INSTALAÇÃO. AF_11/2025_PS</v>
      </c>
      <c r="E917" s="140" t="s">
        <v>14</v>
      </c>
      <c r="F917" s="8"/>
      <c r="G917" s="63"/>
      <c r="H917" s="33"/>
      <c r="I917" s="63"/>
      <c r="J917" s="46"/>
      <c r="K917" s="136"/>
    </row>
    <row r="918" spans="1:11" x14ac:dyDescent="0.25">
      <c r="A918" s="10"/>
      <c r="B918" s="30"/>
      <c r="C918" s="30"/>
      <c r="D918" s="36" t="s">
        <v>390</v>
      </c>
      <c r="E918" s="12"/>
      <c r="F918" s="122">
        <v>2</v>
      </c>
      <c r="G918" s="31"/>
      <c r="H918" s="31"/>
      <c r="I918" s="31"/>
      <c r="J918" s="52">
        <f>F918</f>
        <v>2</v>
      </c>
      <c r="K918" s="136"/>
    </row>
    <row r="919" spans="1:11" x14ac:dyDescent="0.25">
      <c r="A919" s="75"/>
      <c r="B919" s="65"/>
      <c r="C919" s="65"/>
      <c r="D919" s="124"/>
      <c r="E919" s="125"/>
      <c r="F919" s="126"/>
      <c r="G919" s="147"/>
      <c r="H919" s="147"/>
      <c r="I919" s="147"/>
      <c r="J919" s="127"/>
      <c r="K919" s="136"/>
    </row>
    <row r="920" spans="1:11" x14ac:dyDescent="0.25">
      <c r="A920" s="2" t="s">
        <v>1</v>
      </c>
      <c r="B920" s="21" t="s">
        <v>2</v>
      </c>
      <c r="C920" s="28" t="s">
        <v>3</v>
      </c>
      <c r="D920" s="2" t="s">
        <v>4</v>
      </c>
      <c r="E920" s="4" t="s">
        <v>5</v>
      </c>
      <c r="F920" s="3" t="s">
        <v>6</v>
      </c>
      <c r="G920" s="38" t="s">
        <v>61</v>
      </c>
      <c r="H920" s="39" t="s">
        <v>62</v>
      </c>
      <c r="I920" s="39" t="s">
        <v>63</v>
      </c>
      <c r="J920" s="69" t="s">
        <v>9</v>
      </c>
      <c r="K920" s="136"/>
    </row>
    <row r="921" spans="1:11" ht="30.75" customHeight="1" x14ac:dyDescent="0.25">
      <c r="A921" s="7" t="s">
        <v>1004</v>
      </c>
      <c r="B921" s="23">
        <f>ORÇAMENTO!B202</f>
        <v>103948</v>
      </c>
      <c r="C921" s="23" t="str">
        <f>ORÇAMENTO!C202</f>
        <v>SINAPI</v>
      </c>
      <c r="D921" s="139" t="str">
        <f>ORÇAMENTO!D202</f>
        <v>BUCHA DE REDUÇÃO, CURTA, PVC, SOLDÁVEL, DN 32 X 25 MM, INSTALADO EM RAMAL OU SUB-RAMAL DE ÁGUA - FORNECIMENTO E INSTALAÇÃO. AF_06/2022</v>
      </c>
      <c r="E921" s="140" t="s">
        <v>14</v>
      </c>
      <c r="F921" s="8"/>
      <c r="G921" s="63"/>
      <c r="H921" s="33"/>
      <c r="I921" s="63"/>
      <c r="J921" s="46"/>
      <c r="K921" s="136"/>
    </row>
    <row r="922" spans="1:11" x14ac:dyDescent="0.25">
      <c r="A922" s="10"/>
      <c r="B922" s="30"/>
      <c r="C922" s="30"/>
      <c r="D922" s="36" t="s">
        <v>390</v>
      </c>
      <c r="E922" s="12"/>
      <c r="F922" s="122">
        <v>5</v>
      </c>
      <c r="G922" s="31"/>
      <c r="H922" s="31"/>
      <c r="I922" s="31"/>
      <c r="J922" s="52">
        <f>F922</f>
        <v>5</v>
      </c>
      <c r="K922" s="136"/>
    </row>
    <row r="923" spans="1:11" ht="15" customHeight="1" x14ac:dyDescent="0.25">
      <c r="A923" s="75"/>
      <c r="B923" s="65"/>
      <c r="C923" s="65"/>
      <c r="D923" s="124"/>
      <c r="E923" s="125"/>
      <c r="F923" s="126"/>
      <c r="G923" s="147"/>
      <c r="H923" s="147"/>
      <c r="I923" s="147"/>
      <c r="J923" s="127"/>
      <c r="K923" s="136"/>
    </row>
    <row r="924" spans="1:11" x14ac:dyDescent="0.25">
      <c r="A924" s="2" t="s">
        <v>1</v>
      </c>
      <c r="B924" s="21" t="s">
        <v>2</v>
      </c>
      <c r="C924" s="28" t="s">
        <v>3</v>
      </c>
      <c r="D924" s="2" t="s">
        <v>4</v>
      </c>
      <c r="E924" s="4" t="s">
        <v>5</v>
      </c>
      <c r="F924" s="3" t="s">
        <v>6</v>
      </c>
      <c r="G924" s="38" t="s">
        <v>61</v>
      </c>
      <c r="H924" s="39" t="s">
        <v>62</v>
      </c>
      <c r="I924" s="39" t="s">
        <v>63</v>
      </c>
      <c r="J924" s="69" t="s">
        <v>9</v>
      </c>
      <c r="K924" s="136"/>
    </row>
    <row r="925" spans="1:11" ht="33" customHeight="1" x14ac:dyDescent="0.25">
      <c r="A925" s="7" t="s">
        <v>1005</v>
      </c>
      <c r="B925" s="244">
        <f>ORÇAMENTO!B203</f>
        <v>104009</v>
      </c>
      <c r="C925" s="23" t="str">
        <f>ORÇAMENTO!C203</f>
        <v>SINAPI</v>
      </c>
      <c r="D925" s="139" t="str">
        <f>ORÇAMENTO!D203</f>
        <v>BUCHA DE REDUÇÃO, CURTA, PVC, SOLDÁVEL, DN 50 X 40 MM, INSTALADO EM RAMAL DE DISTRIBUIÇÃO DE ÁGUA - FORNECIMENTO E INSTALAÇÃO. AF_06/2022</v>
      </c>
      <c r="E925" s="140" t="s">
        <v>14</v>
      </c>
      <c r="F925" s="8"/>
      <c r="G925" s="63"/>
      <c r="H925" s="33"/>
      <c r="I925" s="63"/>
      <c r="J925" s="46"/>
      <c r="K925" s="136"/>
    </row>
    <row r="926" spans="1:11" x14ac:dyDescent="0.25">
      <c r="A926" s="10"/>
      <c r="B926" s="30"/>
      <c r="C926" s="30"/>
      <c r="D926" s="36" t="s">
        <v>390</v>
      </c>
      <c r="E926" s="12"/>
      <c r="F926" s="122">
        <v>3</v>
      </c>
      <c r="G926" s="31"/>
      <c r="H926" s="31"/>
      <c r="I926" s="31"/>
      <c r="J926" s="52">
        <f>F926</f>
        <v>3</v>
      </c>
      <c r="K926" s="136"/>
    </row>
    <row r="927" spans="1:11" x14ac:dyDescent="0.25">
      <c r="A927" s="75"/>
      <c r="B927" s="65"/>
      <c r="C927" s="65"/>
      <c r="D927" s="124"/>
      <c r="E927" s="125"/>
      <c r="F927" s="126"/>
      <c r="G927" s="147"/>
      <c r="H927" s="147"/>
      <c r="I927" s="147"/>
      <c r="J927" s="127"/>
      <c r="K927" s="136"/>
    </row>
    <row r="928" spans="1:11" x14ac:dyDescent="0.25">
      <c r="A928" s="2" t="s">
        <v>1</v>
      </c>
      <c r="B928" s="21" t="s">
        <v>2</v>
      </c>
      <c r="C928" s="28" t="s">
        <v>3</v>
      </c>
      <c r="D928" s="2" t="s">
        <v>4</v>
      </c>
      <c r="E928" s="4" t="s">
        <v>5</v>
      </c>
      <c r="F928" s="3" t="s">
        <v>6</v>
      </c>
      <c r="G928" s="38" t="s">
        <v>61</v>
      </c>
      <c r="H928" s="39" t="s">
        <v>62</v>
      </c>
      <c r="I928" s="39" t="s">
        <v>63</v>
      </c>
      <c r="J928" s="69" t="s">
        <v>9</v>
      </c>
      <c r="K928" s="136"/>
    </row>
    <row r="929" spans="1:11" ht="30.75" customHeight="1" x14ac:dyDescent="0.25">
      <c r="A929" s="7" t="s">
        <v>1006</v>
      </c>
      <c r="B929" s="23">
        <f>ORÇAMENTO!B204</f>
        <v>103971</v>
      </c>
      <c r="C929" s="23" t="str">
        <f>ORÇAMENTO!C204</f>
        <v>SINAPI</v>
      </c>
      <c r="D929" s="139" t="str">
        <f>ORÇAMENTO!D204</f>
        <v>BUCHA DE REDUÇÃO, LONGA, PVC, SOLDÁVEL, DN 60 X 50 MM, INSTALADO EM PRUMADA DE ÁGUA - FORNECIMENTO E INSTALAÇÃO. AF_06/2022</v>
      </c>
      <c r="E929" s="140" t="s">
        <v>14</v>
      </c>
      <c r="F929" s="8"/>
      <c r="G929" s="63"/>
      <c r="H929" s="33"/>
      <c r="I929" s="63"/>
      <c r="J929" s="46"/>
      <c r="K929" s="136"/>
    </row>
    <row r="930" spans="1:11" x14ac:dyDescent="0.25">
      <c r="A930" s="10"/>
      <c r="B930" s="30"/>
      <c r="C930" s="30"/>
      <c r="D930" s="36" t="s">
        <v>390</v>
      </c>
      <c r="E930" s="12"/>
      <c r="F930" s="122">
        <v>1</v>
      </c>
      <c r="G930" s="31"/>
      <c r="H930" s="31"/>
      <c r="I930" s="31"/>
      <c r="J930" s="52">
        <f>F930</f>
        <v>1</v>
      </c>
      <c r="K930" s="136"/>
    </row>
    <row r="931" spans="1:11" x14ac:dyDescent="0.25">
      <c r="A931" s="75"/>
      <c r="B931" s="65"/>
      <c r="C931" s="65"/>
      <c r="D931" s="124"/>
      <c r="E931" s="125"/>
      <c r="F931" s="126"/>
      <c r="G931" s="147"/>
      <c r="H931" s="147"/>
      <c r="I931" s="147"/>
      <c r="J931" s="127"/>
      <c r="K931" s="136"/>
    </row>
    <row r="932" spans="1:11" x14ac:dyDescent="0.25">
      <c r="A932" s="2" t="s">
        <v>1</v>
      </c>
      <c r="B932" s="21" t="s">
        <v>2</v>
      </c>
      <c r="C932" s="28" t="s">
        <v>3</v>
      </c>
      <c r="D932" s="2" t="s">
        <v>4</v>
      </c>
      <c r="E932" s="4" t="s">
        <v>5</v>
      </c>
      <c r="F932" s="3" t="s">
        <v>6</v>
      </c>
      <c r="G932" s="38" t="s">
        <v>61</v>
      </c>
      <c r="H932" s="39" t="s">
        <v>62</v>
      </c>
      <c r="I932" s="39" t="s">
        <v>63</v>
      </c>
      <c r="J932" s="69" t="s">
        <v>9</v>
      </c>
      <c r="K932" s="136"/>
    </row>
    <row r="933" spans="1:11" ht="33" customHeight="1" x14ac:dyDescent="0.25">
      <c r="A933" s="7" t="s">
        <v>1007</v>
      </c>
      <c r="B933" s="23">
        <f>ORÇAMENTO!B205</f>
        <v>103993</v>
      </c>
      <c r="C933" s="23" t="str">
        <f>ORÇAMENTO!C205</f>
        <v>SINAPI</v>
      </c>
      <c r="D933" s="139" t="str">
        <f>ORÇAMENTO!D205</f>
        <v>BUCHA DE REDUÇÃO, PVC, SOLDÁVEL, DN 40MM X 32MM, INSTALADO EM RAMAL DE DISTRIBUIÇÃO DE ÁGUA - FORNECIMENTO E INSTALAÇÃO. AF_06/2022</v>
      </c>
      <c r="E933" s="140" t="s">
        <v>14</v>
      </c>
      <c r="F933" s="8"/>
      <c r="G933" s="63"/>
      <c r="H933" s="33"/>
      <c r="I933" s="63"/>
      <c r="J933" s="46"/>
      <c r="K933" s="136"/>
    </row>
    <row r="934" spans="1:11" x14ac:dyDescent="0.25">
      <c r="A934" s="10"/>
      <c r="B934" s="30"/>
      <c r="C934" s="30"/>
      <c r="D934" s="36" t="s">
        <v>390</v>
      </c>
      <c r="E934" s="12"/>
      <c r="F934" s="122">
        <v>3</v>
      </c>
      <c r="G934" s="31"/>
      <c r="H934" s="31"/>
      <c r="I934" s="31"/>
      <c r="J934" s="52">
        <f>F934</f>
        <v>3</v>
      </c>
      <c r="K934" s="136"/>
    </row>
    <row r="935" spans="1:11" x14ac:dyDescent="0.25">
      <c r="A935" s="75"/>
      <c r="B935" s="65"/>
      <c r="C935" s="65"/>
      <c r="D935" s="124"/>
      <c r="E935" s="125"/>
      <c r="F935" s="126"/>
      <c r="G935" s="147"/>
      <c r="H935" s="147"/>
      <c r="I935" s="147"/>
      <c r="J935" s="127"/>
      <c r="K935" s="136"/>
    </row>
    <row r="936" spans="1:11" ht="15.75" customHeight="1" x14ac:dyDescent="0.25">
      <c r="A936" s="2" t="s">
        <v>1</v>
      </c>
      <c r="B936" s="21" t="s">
        <v>2</v>
      </c>
      <c r="C936" s="28" t="s">
        <v>3</v>
      </c>
      <c r="D936" s="2" t="s">
        <v>4</v>
      </c>
      <c r="E936" s="4" t="s">
        <v>5</v>
      </c>
      <c r="F936" s="3" t="s">
        <v>6</v>
      </c>
      <c r="G936" s="38" t="s">
        <v>61</v>
      </c>
      <c r="H936" s="39" t="s">
        <v>62</v>
      </c>
      <c r="I936" s="39" t="s">
        <v>63</v>
      </c>
      <c r="J936" s="69" t="s">
        <v>9</v>
      </c>
      <c r="K936" s="136"/>
    </row>
    <row r="937" spans="1:11" ht="30.75" customHeight="1" x14ac:dyDescent="0.25">
      <c r="A937" s="7" t="s">
        <v>1008</v>
      </c>
      <c r="B937" s="23">
        <f>ORÇAMENTO!B206</f>
        <v>104014</v>
      </c>
      <c r="C937" s="23" t="str">
        <f>ORÇAMENTO!C206</f>
        <v>SINAPI</v>
      </c>
      <c r="D937" s="139" t="str">
        <f>ORÇAMENTO!D206</f>
        <v>BUCHA DE REDUÇÃO, LONGA, PVC, SOLDÁVEL, DN 40 X 25 MM, INSTALADO EM RAMAL DE DISTRIBUIÇÃO DE ÁGUA - FORNECIMENTO E INSTALAÇÃO. AF_06/2022</v>
      </c>
      <c r="E937" s="140" t="s">
        <v>14</v>
      </c>
      <c r="F937" s="8"/>
      <c r="G937" s="63"/>
      <c r="H937" s="33"/>
      <c r="I937" s="63"/>
      <c r="J937" s="46"/>
      <c r="K937" s="136"/>
    </row>
    <row r="938" spans="1:11" x14ac:dyDescent="0.25">
      <c r="A938" s="10"/>
      <c r="B938" s="30"/>
      <c r="C938" s="30"/>
      <c r="D938" s="36" t="s">
        <v>390</v>
      </c>
      <c r="E938" s="12"/>
      <c r="F938" s="122">
        <v>1</v>
      </c>
      <c r="G938" s="31"/>
      <c r="H938" s="31"/>
      <c r="I938" s="31"/>
      <c r="J938" s="52">
        <f>F938</f>
        <v>1</v>
      </c>
      <c r="K938" s="136"/>
    </row>
    <row r="939" spans="1:11" x14ac:dyDescent="0.25">
      <c r="A939" s="75"/>
      <c r="B939" s="65"/>
      <c r="C939" s="65"/>
      <c r="D939" s="124"/>
      <c r="E939" s="125"/>
      <c r="F939" s="126"/>
      <c r="G939" s="147"/>
      <c r="H939" s="147"/>
      <c r="I939" s="147"/>
      <c r="J939" s="127"/>
      <c r="K939" s="136"/>
    </row>
    <row r="940" spans="1:11" x14ac:dyDescent="0.25">
      <c r="A940" s="2" t="s">
        <v>1</v>
      </c>
      <c r="B940" s="21" t="s">
        <v>2</v>
      </c>
      <c r="C940" s="28" t="s">
        <v>3</v>
      </c>
      <c r="D940" s="2" t="s">
        <v>4</v>
      </c>
      <c r="E940" s="4" t="s">
        <v>5</v>
      </c>
      <c r="F940" s="3" t="s">
        <v>6</v>
      </c>
      <c r="G940" s="38" t="s">
        <v>61</v>
      </c>
      <c r="H940" s="39" t="s">
        <v>62</v>
      </c>
      <c r="I940" s="39" t="s">
        <v>63</v>
      </c>
      <c r="J940" s="69" t="s">
        <v>9</v>
      </c>
      <c r="K940" s="136"/>
    </row>
    <row r="941" spans="1:11" ht="33" customHeight="1" x14ac:dyDescent="0.25">
      <c r="A941" s="7" t="s">
        <v>1009</v>
      </c>
      <c r="B941" s="23" t="str">
        <f>ORÇAMENTO!B207</f>
        <v>COMPOSIÇÃO 06</v>
      </c>
      <c r="C941" s="23" t="str">
        <f>ORÇAMENTO!C207</f>
        <v>PRÓPRIO</v>
      </c>
      <c r="D941" s="139" t="str">
        <f>ORÇAMENTO!D207</f>
        <v>CAIXA D´ÁGUA EM POLIETILENO, 1500 LITROS (INCLUSOS TUBOS, CONEXÕES E TORNEIRA DE BÓIA) - FORNECIMENTO E INSTALAÇÃO.</v>
      </c>
      <c r="E941" s="140" t="s">
        <v>14</v>
      </c>
      <c r="F941" s="8"/>
      <c r="G941" s="63"/>
      <c r="H941" s="33"/>
      <c r="I941" s="63"/>
      <c r="J941" s="46"/>
      <c r="K941" s="136"/>
    </row>
    <row r="942" spans="1:11" x14ac:dyDescent="0.25">
      <c r="A942" s="10"/>
      <c r="B942" s="30"/>
      <c r="C942" s="30"/>
      <c r="D942" s="36" t="s">
        <v>390</v>
      </c>
      <c r="E942" s="12"/>
      <c r="F942" s="122">
        <v>2</v>
      </c>
      <c r="G942" s="31"/>
      <c r="H942" s="31"/>
      <c r="I942" s="31"/>
      <c r="J942" s="52">
        <f>F942</f>
        <v>2</v>
      </c>
      <c r="K942" s="136"/>
    </row>
    <row r="943" spans="1:11" x14ac:dyDescent="0.25">
      <c r="A943" s="75"/>
      <c r="B943" s="65"/>
      <c r="C943" s="65"/>
      <c r="D943" s="124"/>
      <c r="E943" s="125"/>
      <c r="F943" s="126"/>
      <c r="G943" s="147"/>
      <c r="H943" s="147"/>
      <c r="I943" s="147"/>
      <c r="J943" s="127"/>
      <c r="K943" s="136"/>
    </row>
    <row r="944" spans="1:11" x14ac:dyDescent="0.25">
      <c r="A944" s="2" t="s">
        <v>1</v>
      </c>
      <c r="B944" s="21" t="s">
        <v>2</v>
      </c>
      <c r="C944" s="28" t="s">
        <v>3</v>
      </c>
      <c r="D944" s="2" t="s">
        <v>4</v>
      </c>
      <c r="E944" s="4" t="s">
        <v>5</v>
      </c>
      <c r="F944" s="3" t="s">
        <v>6</v>
      </c>
      <c r="G944" s="38" t="s">
        <v>61</v>
      </c>
      <c r="H944" s="39" t="s">
        <v>62</v>
      </c>
      <c r="I944" s="39" t="s">
        <v>63</v>
      </c>
      <c r="J944" s="69" t="s">
        <v>9</v>
      </c>
      <c r="K944" s="136"/>
    </row>
    <row r="945" spans="1:11" ht="42" customHeight="1" x14ac:dyDescent="0.25">
      <c r="A945" s="7" t="s">
        <v>1010</v>
      </c>
      <c r="B945" s="23">
        <f>ORÇAMENTO!B208</f>
        <v>89366</v>
      </c>
      <c r="C945" s="23" t="s">
        <v>13</v>
      </c>
      <c r="D945" s="139" t="str">
        <f>ORÇAMENTO!D208</f>
        <v>JOELHO 90 GRAUS COM BUCHA DE LATÃO, PVC, SOLDÁVEL, DN 25MM, X 3/4 INSTALADO EM RAMAL OU SUB-RAMAL DE ÁGUA - FORNECIMENTO E INSTALAÇÃO. AF_06/2022</v>
      </c>
      <c r="E945" s="140" t="s">
        <v>14</v>
      </c>
      <c r="F945" s="8"/>
      <c r="G945" s="63"/>
      <c r="H945" s="33"/>
      <c r="I945" s="63"/>
      <c r="J945" s="46"/>
      <c r="K945" s="136"/>
    </row>
    <row r="946" spans="1:11" x14ac:dyDescent="0.25">
      <c r="A946" s="10"/>
      <c r="B946" s="30"/>
      <c r="C946" s="30"/>
      <c r="D946" s="36" t="s">
        <v>390</v>
      </c>
      <c r="E946" s="12"/>
      <c r="F946" s="122">
        <v>31</v>
      </c>
      <c r="G946" s="31"/>
      <c r="H946" s="31"/>
      <c r="I946" s="31"/>
      <c r="J946" s="52">
        <f>F946</f>
        <v>31</v>
      </c>
      <c r="K946" s="136"/>
    </row>
    <row r="947" spans="1:11" x14ac:dyDescent="0.25">
      <c r="A947" s="75"/>
      <c r="B947" s="65"/>
      <c r="C947" s="65"/>
      <c r="D947" s="124"/>
      <c r="E947" s="125"/>
      <c r="F947" s="126"/>
      <c r="G947" s="147"/>
      <c r="H947" s="147"/>
      <c r="I947" s="147"/>
      <c r="J947" s="127"/>
      <c r="K947" s="136"/>
    </row>
    <row r="948" spans="1:11" x14ac:dyDescent="0.25">
      <c r="A948" s="2" t="s">
        <v>1</v>
      </c>
      <c r="B948" s="21" t="s">
        <v>2</v>
      </c>
      <c r="C948" s="28" t="s">
        <v>3</v>
      </c>
      <c r="D948" s="2" t="s">
        <v>4</v>
      </c>
      <c r="E948" s="4" t="s">
        <v>5</v>
      </c>
      <c r="F948" s="3" t="s">
        <v>6</v>
      </c>
      <c r="G948" s="38" t="s">
        <v>61</v>
      </c>
      <c r="H948" s="39" t="s">
        <v>62</v>
      </c>
      <c r="I948" s="39" t="s">
        <v>63</v>
      </c>
      <c r="J948" s="69" t="s">
        <v>9</v>
      </c>
      <c r="K948" s="136"/>
    </row>
    <row r="949" spans="1:11" ht="33" customHeight="1" x14ac:dyDescent="0.25">
      <c r="A949" s="7" t="s">
        <v>1011</v>
      </c>
      <c r="B949" s="23">
        <f>ORÇAMENTO!B209</f>
        <v>89358</v>
      </c>
      <c r="C949" s="23" t="str">
        <f>ORÇAMENTO!C209</f>
        <v>SINAPI</v>
      </c>
      <c r="D949" s="139" t="str">
        <f>ORÇAMENTO!D209</f>
        <v>JOELHO 90 GRAUS, PVC, SOLDÁVEL, DN 20MM, INSTALADO EM RAMAL OU SUB-RAMAL DE ÁGUA - FORNECIMENTO E INSTALAÇÃO. AF_06/2022</v>
      </c>
      <c r="E949" s="140" t="s">
        <v>14</v>
      </c>
      <c r="F949" s="8"/>
      <c r="G949" s="63"/>
      <c r="H949" s="33"/>
      <c r="I949" s="63"/>
      <c r="J949" s="46"/>
      <c r="K949" s="136"/>
    </row>
    <row r="950" spans="1:11" x14ac:dyDescent="0.25">
      <c r="A950" s="10"/>
      <c r="B950" s="30"/>
      <c r="C950" s="30"/>
      <c r="D950" s="36" t="s">
        <v>390</v>
      </c>
      <c r="E950" s="12"/>
      <c r="F950" s="122">
        <v>10</v>
      </c>
      <c r="G950" s="31"/>
      <c r="H950" s="31"/>
      <c r="I950" s="31"/>
      <c r="J950" s="52">
        <f>F950</f>
        <v>10</v>
      </c>
      <c r="K950" s="136"/>
    </row>
    <row r="951" spans="1:11" x14ac:dyDescent="0.25">
      <c r="A951" s="75"/>
      <c r="B951" s="65"/>
      <c r="C951" s="65"/>
      <c r="D951" s="124"/>
      <c r="E951" s="125"/>
      <c r="F951" s="126"/>
      <c r="G951" s="147"/>
      <c r="H951" s="147"/>
      <c r="I951" s="147"/>
      <c r="J951" s="127"/>
      <c r="K951" s="136"/>
    </row>
    <row r="952" spans="1:11" x14ac:dyDescent="0.25">
      <c r="A952" s="2" t="s">
        <v>1</v>
      </c>
      <c r="B952" s="21" t="s">
        <v>2</v>
      </c>
      <c r="C952" s="28" t="s">
        <v>3</v>
      </c>
      <c r="D952" s="2" t="s">
        <v>4</v>
      </c>
      <c r="E952" s="4" t="s">
        <v>5</v>
      </c>
      <c r="F952" s="3" t="s">
        <v>6</v>
      </c>
      <c r="G952" s="38" t="s">
        <v>61</v>
      </c>
      <c r="H952" s="39" t="s">
        <v>62</v>
      </c>
      <c r="I952" s="39" t="s">
        <v>63</v>
      </c>
      <c r="J952" s="69" t="s">
        <v>9</v>
      </c>
      <c r="K952" s="136"/>
    </row>
    <row r="953" spans="1:11" ht="31.5" customHeight="1" x14ac:dyDescent="0.25">
      <c r="A953" s="7" t="s">
        <v>1012</v>
      </c>
      <c r="B953" s="23">
        <f>ORÇAMENTO!B210</f>
        <v>89362</v>
      </c>
      <c r="C953" s="23" t="str">
        <f>ORÇAMENTO!C210</f>
        <v>SINAPI</v>
      </c>
      <c r="D953" s="139" t="str">
        <f>ORÇAMENTO!D210</f>
        <v>JOELHO 90 GRAUS, PVC, SOLDÁVEL, DN 25MM, INSTALADO EM RAMAL OU SUB-RAMAL DE ÁGUA - FORNECIMENTO E INSTALAÇÃO. AF_06/2022</v>
      </c>
      <c r="E953" s="140" t="s">
        <v>14</v>
      </c>
      <c r="F953" s="8"/>
      <c r="G953" s="63"/>
      <c r="H953" s="33"/>
      <c r="I953" s="63"/>
      <c r="J953" s="46"/>
      <c r="K953" s="136"/>
    </row>
    <row r="954" spans="1:11" x14ac:dyDescent="0.25">
      <c r="A954" s="10"/>
      <c r="B954" s="30"/>
      <c r="C954" s="30"/>
      <c r="D954" s="36" t="s">
        <v>390</v>
      </c>
      <c r="E954" s="12"/>
      <c r="F954" s="122">
        <v>82</v>
      </c>
      <c r="G954" s="31"/>
      <c r="H954" s="31"/>
      <c r="I954" s="31"/>
      <c r="J954" s="52">
        <f>F954</f>
        <v>82</v>
      </c>
      <c r="K954" s="136"/>
    </row>
    <row r="955" spans="1:11" x14ac:dyDescent="0.25">
      <c r="A955" s="75"/>
      <c r="B955" s="65"/>
      <c r="C955" s="65"/>
      <c r="D955" s="417" t="s">
        <v>754</v>
      </c>
      <c r="E955" s="416"/>
      <c r="F955" s="418">
        <v>16</v>
      </c>
      <c r="G955" s="147"/>
      <c r="H955" s="147"/>
      <c r="I955" s="147"/>
      <c r="J955" s="127"/>
      <c r="K955" s="136"/>
    </row>
    <row r="956" spans="1:11" x14ac:dyDescent="0.25">
      <c r="A956" s="75"/>
      <c r="B956" s="65"/>
      <c r="C956" s="65"/>
      <c r="D956" s="417" t="s">
        <v>755</v>
      </c>
      <c r="E956" s="416"/>
      <c r="F956" s="418">
        <v>24</v>
      </c>
      <c r="G956" s="147"/>
      <c r="H956" s="147"/>
      <c r="I956" s="147"/>
      <c r="J956" s="127"/>
      <c r="K956" s="136"/>
    </row>
    <row r="957" spans="1:11" x14ac:dyDescent="0.25">
      <c r="A957" s="75"/>
      <c r="B957" s="65"/>
      <c r="C957" s="65"/>
      <c r="D957" s="417" t="s">
        <v>756</v>
      </c>
      <c r="E957" s="416"/>
      <c r="F957" s="418">
        <v>42</v>
      </c>
      <c r="G957" s="147"/>
      <c r="H957" s="147"/>
      <c r="I957" s="147"/>
      <c r="J957" s="127"/>
      <c r="K957" s="136"/>
    </row>
    <row r="958" spans="1:11" x14ac:dyDescent="0.25">
      <c r="A958" s="75"/>
      <c r="B958" s="65"/>
      <c r="C958" s="65"/>
      <c r="D958" s="76"/>
      <c r="E958" s="125"/>
      <c r="F958" s="146"/>
      <c r="G958" s="147"/>
      <c r="H958" s="147"/>
      <c r="I958" s="147"/>
      <c r="J958" s="127"/>
      <c r="K958" s="136"/>
    </row>
    <row r="959" spans="1:11" x14ac:dyDescent="0.25">
      <c r="A959" s="75"/>
      <c r="B959" s="65"/>
      <c r="C959" s="65"/>
      <c r="D959" s="124"/>
      <c r="E959" s="125"/>
      <c r="F959" s="126"/>
      <c r="G959" s="147"/>
      <c r="H959" s="147"/>
      <c r="I959" s="147"/>
      <c r="J959" s="127"/>
      <c r="K959" s="136"/>
    </row>
    <row r="960" spans="1:11" x14ac:dyDescent="0.25">
      <c r="A960" s="2" t="s">
        <v>1</v>
      </c>
      <c r="B960" s="21" t="s">
        <v>2</v>
      </c>
      <c r="C960" s="28" t="s">
        <v>3</v>
      </c>
      <c r="D960" s="2" t="s">
        <v>4</v>
      </c>
      <c r="E960" s="4" t="s">
        <v>5</v>
      </c>
      <c r="F960" s="3" t="s">
        <v>6</v>
      </c>
      <c r="G960" s="38" t="s">
        <v>61</v>
      </c>
      <c r="H960" s="39" t="s">
        <v>62</v>
      </c>
      <c r="I960" s="39" t="s">
        <v>63</v>
      </c>
      <c r="J960" s="69" t="s">
        <v>9</v>
      </c>
      <c r="K960" s="136"/>
    </row>
    <row r="961" spans="1:11" ht="32.25" customHeight="1" x14ac:dyDescent="0.25">
      <c r="A961" s="7" t="s">
        <v>1013</v>
      </c>
      <c r="B961" s="23">
        <f>ORÇAMENTO!B211</f>
        <v>89367</v>
      </c>
      <c r="C961" s="23" t="str">
        <f>ORÇAMENTO!C211</f>
        <v>SINAPI</v>
      </c>
      <c r="D961" s="139" t="str">
        <f>ORÇAMENTO!D211</f>
        <v>JOELHO 90 GRAUS, PVC, SOLDÁVEL, DN 32MM, INSTALADO EM RAMAL OU SUB-RAMAL DE ÁGUA - FORNECIMENTO E INSTALAÇÃO. AF_06/2022</v>
      </c>
      <c r="E961" s="140" t="s">
        <v>14</v>
      </c>
      <c r="F961" s="8"/>
      <c r="G961" s="63"/>
      <c r="H961" s="33"/>
      <c r="I961" s="63"/>
      <c r="J961" s="46"/>
      <c r="K961" s="136"/>
    </row>
    <row r="962" spans="1:11" x14ac:dyDescent="0.25">
      <c r="A962" s="10"/>
      <c r="B962" s="30"/>
      <c r="C962" s="30"/>
      <c r="D962" s="36" t="s">
        <v>390</v>
      </c>
      <c r="E962" s="12"/>
      <c r="F962" s="122">
        <v>2</v>
      </c>
      <c r="G962" s="31"/>
      <c r="H962" s="31"/>
      <c r="I962" s="31"/>
      <c r="J962" s="52">
        <f>F962</f>
        <v>2</v>
      </c>
      <c r="K962" s="136"/>
    </row>
    <row r="963" spans="1:11" x14ac:dyDescent="0.25">
      <c r="A963" s="75"/>
      <c r="B963" s="65"/>
      <c r="C963" s="65"/>
      <c r="D963" s="124"/>
      <c r="E963" s="125"/>
      <c r="F963" s="126"/>
      <c r="G963" s="147"/>
      <c r="H963" s="147"/>
      <c r="I963" s="147"/>
      <c r="J963" s="127"/>
      <c r="K963" s="136"/>
    </row>
    <row r="964" spans="1:11" x14ac:dyDescent="0.25">
      <c r="A964" s="2" t="s">
        <v>1</v>
      </c>
      <c r="B964" s="21" t="s">
        <v>2</v>
      </c>
      <c r="C964" s="28" t="s">
        <v>3</v>
      </c>
      <c r="D964" s="2" t="s">
        <v>4</v>
      </c>
      <c r="E964" s="4" t="s">
        <v>5</v>
      </c>
      <c r="F964" s="3" t="s">
        <v>6</v>
      </c>
      <c r="G964" s="38" t="s">
        <v>61</v>
      </c>
      <c r="H964" s="39" t="s">
        <v>62</v>
      </c>
      <c r="I964" s="39" t="s">
        <v>63</v>
      </c>
      <c r="J964" s="69" t="s">
        <v>9</v>
      </c>
      <c r="K964" s="136"/>
    </row>
    <row r="965" spans="1:11" ht="32.25" customHeight="1" x14ac:dyDescent="0.25">
      <c r="A965" s="7" t="s">
        <v>1014</v>
      </c>
      <c r="B965" s="23">
        <f>ORÇAMENTO!B212</f>
        <v>89497</v>
      </c>
      <c r="C965" s="23" t="str">
        <f>ORÇAMENTO!C212</f>
        <v>SINAPI</v>
      </c>
      <c r="D965" s="139" t="str">
        <f>ORÇAMENTO!D212</f>
        <v>JOELHO 90 GRAUS, PVC, SOLDÁVEL, DN 40MM, INSTALADO EM PRUMADA DE ÁGUA - FORNECIMENTO E INSTALAÇÃO. AF_06/2022</v>
      </c>
      <c r="E965" s="140" t="s">
        <v>14</v>
      </c>
      <c r="F965" s="8"/>
      <c r="G965" s="63"/>
      <c r="H965" s="33"/>
      <c r="I965" s="63"/>
      <c r="J965" s="46"/>
      <c r="K965" s="136"/>
    </row>
    <row r="966" spans="1:11" x14ac:dyDescent="0.25">
      <c r="A966" s="10"/>
      <c r="B966" s="30"/>
      <c r="C966" s="30"/>
      <c r="D966" s="36" t="s">
        <v>390</v>
      </c>
      <c r="E966" s="12"/>
      <c r="F966" s="122">
        <v>3</v>
      </c>
      <c r="G966" s="31"/>
      <c r="H966" s="31"/>
      <c r="I966" s="31"/>
      <c r="J966" s="52">
        <f>F966</f>
        <v>3</v>
      </c>
      <c r="K966" s="136"/>
    </row>
    <row r="967" spans="1:11" x14ac:dyDescent="0.25">
      <c r="A967" s="75"/>
      <c r="B967" s="65"/>
      <c r="C967" s="65"/>
      <c r="D967" s="124"/>
      <c r="E967" s="125"/>
      <c r="F967" s="126"/>
      <c r="G967" s="147"/>
      <c r="H967" s="147"/>
      <c r="I967" s="147"/>
      <c r="J967" s="127"/>
      <c r="K967" s="136"/>
    </row>
    <row r="968" spans="1:11" x14ac:dyDescent="0.25">
      <c r="A968" s="2" t="s">
        <v>1</v>
      </c>
      <c r="B968" s="21" t="s">
        <v>2</v>
      </c>
      <c r="C968" s="28" t="s">
        <v>3</v>
      </c>
      <c r="D968" s="2" t="s">
        <v>4</v>
      </c>
      <c r="E968" s="4" t="s">
        <v>5</v>
      </c>
      <c r="F968" s="3" t="s">
        <v>6</v>
      </c>
      <c r="G968" s="38" t="s">
        <v>61</v>
      </c>
      <c r="H968" s="39" t="s">
        <v>62</v>
      </c>
      <c r="I968" s="39" t="s">
        <v>63</v>
      </c>
      <c r="J968" s="69" t="s">
        <v>9</v>
      </c>
      <c r="K968" s="136"/>
    </row>
    <row r="969" spans="1:11" ht="34.5" customHeight="1" x14ac:dyDescent="0.25">
      <c r="A969" s="7" t="s">
        <v>1015</v>
      </c>
      <c r="B969" s="23">
        <f>ORÇAMENTO!B213</f>
        <v>89501</v>
      </c>
      <c r="C969" s="23" t="str">
        <f>ORÇAMENTO!C213</f>
        <v>SINAPI</v>
      </c>
      <c r="D969" s="139" t="str">
        <f>ORÇAMENTO!D213</f>
        <v>JOELHO 90 GRAUS, PVC, SOLDÁVEL, DN 50MM, INSTALADO EM PRUMADA DE ÁGUA - FORNECIMENTO E INSTALAÇÃO. AF_06/2022</v>
      </c>
      <c r="E969" s="140" t="s">
        <v>14</v>
      </c>
      <c r="F969" s="8"/>
      <c r="G969" s="63"/>
      <c r="H969" s="33"/>
      <c r="I969" s="63"/>
      <c r="J969" s="46"/>
      <c r="K969" s="136"/>
    </row>
    <row r="970" spans="1:11" x14ac:dyDescent="0.25">
      <c r="A970" s="10"/>
      <c r="B970" s="30"/>
      <c r="C970" s="30"/>
      <c r="D970" s="36" t="s">
        <v>390</v>
      </c>
      <c r="E970" s="12"/>
      <c r="F970" s="122">
        <v>10</v>
      </c>
      <c r="G970" s="31"/>
      <c r="H970" s="31"/>
      <c r="I970" s="31"/>
      <c r="J970" s="52">
        <f>F970</f>
        <v>10</v>
      </c>
      <c r="K970" s="136"/>
    </row>
    <row r="971" spans="1:11" x14ac:dyDescent="0.25">
      <c r="A971" s="75"/>
      <c r="B971" s="65"/>
      <c r="C971" s="65"/>
      <c r="D971" s="124"/>
      <c r="E971" s="125"/>
      <c r="F971" s="126"/>
      <c r="G971" s="147"/>
      <c r="H971" s="147"/>
      <c r="I971" s="147"/>
      <c r="J971" s="127"/>
      <c r="K971" s="136"/>
    </row>
    <row r="972" spans="1:11" x14ac:dyDescent="0.25">
      <c r="A972" s="2" t="s">
        <v>1</v>
      </c>
      <c r="B972" s="21" t="s">
        <v>2</v>
      </c>
      <c r="C972" s="28" t="s">
        <v>3</v>
      </c>
      <c r="D972" s="2" t="s">
        <v>4</v>
      </c>
      <c r="E972" s="4" t="s">
        <v>5</v>
      </c>
      <c r="F972" s="3" t="s">
        <v>6</v>
      </c>
      <c r="G972" s="38" t="s">
        <v>61</v>
      </c>
      <c r="H972" s="39" t="s">
        <v>62</v>
      </c>
      <c r="I972" s="39" t="s">
        <v>63</v>
      </c>
      <c r="J972" s="69" t="s">
        <v>9</v>
      </c>
      <c r="K972" s="136"/>
    </row>
    <row r="973" spans="1:11" ht="30.75" customHeight="1" x14ac:dyDescent="0.25">
      <c r="A973" s="7" t="s">
        <v>1016</v>
      </c>
      <c r="B973" s="23">
        <f>ORÇAMENTO!B214</f>
        <v>89505</v>
      </c>
      <c r="C973" s="23" t="str">
        <f>ORÇAMENTO!C214</f>
        <v>SINAPI</v>
      </c>
      <c r="D973" s="139" t="str">
        <f>ORÇAMENTO!D214</f>
        <v>JOELHO 90 GRAUS, PVC, SOLDÁVEL, DN 60MM, INSTALADO EM PRUMADA DE ÁGUA - FORNECIMENTO E INSTALAÇÃO. AF_06/2022</v>
      </c>
      <c r="E973" s="140" t="s">
        <v>14</v>
      </c>
      <c r="F973" s="8"/>
      <c r="G973" s="63"/>
      <c r="H973" s="33"/>
      <c r="I973" s="63"/>
      <c r="J973" s="46"/>
      <c r="K973" s="136"/>
    </row>
    <row r="974" spans="1:11" x14ac:dyDescent="0.25">
      <c r="A974" s="10"/>
      <c r="B974" s="30"/>
      <c r="C974" s="30"/>
      <c r="D974" s="36" t="s">
        <v>390</v>
      </c>
      <c r="E974" s="12"/>
      <c r="F974" s="122">
        <v>2</v>
      </c>
      <c r="G974" s="31"/>
      <c r="H974" s="31"/>
      <c r="I974" s="31"/>
      <c r="J974" s="52">
        <f>F974</f>
        <v>2</v>
      </c>
      <c r="K974" s="136"/>
    </row>
    <row r="975" spans="1:11" x14ac:dyDescent="0.25">
      <c r="A975" s="75"/>
      <c r="B975" s="65"/>
      <c r="C975" s="65"/>
      <c r="D975" s="124"/>
      <c r="E975" s="125"/>
      <c r="F975" s="126"/>
      <c r="G975" s="147"/>
      <c r="H975" s="147"/>
      <c r="I975" s="147"/>
      <c r="J975" s="127"/>
      <c r="K975" s="136"/>
    </row>
    <row r="976" spans="1:11" x14ac:dyDescent="0.25">
      <c r="A976" s="2" t="s">
        <v>1</v>
      </c>
      <c r="B976" s="21" t="s">
        <v>2</v>
      </c>
      <c r="C976" s="28" t="s">
        <v>3</v>
      </c>
      <c r="D976" s="2" t="s">
        <v>4</v>
      </c>
      <c r="E976" s="4" t="s">
        <v>5</v>
      </c>
      <c r="F976" s="3" t="s">
        <v>6</v>
      </c>
      <c r="G976" s="38" t="s">
        <v>61</v>
      </c>
      <c r="H976" s="39" t="s">
        <v>62</v>
      </c>
      <c r="I976" s="39" t="s">
        <v>63</v>
      </c>
      <c r="J976" s="69" t="s">
        <v>9</v>
      </c>
      <c r="K976" s="136"/>
    </row>
    <row r="977" spans="1:11" ht="22.5" customHeight="1" x14ac:dyDescent="0.25">
      <c r="A977" s="7" t="s">
        <v>1017</v>
      </c>
      <c r="B977" s="23">
        <f>ORÇAMENTO!B215</f>
        <v>104058</v>
      </c>
      <c r="C977" s="23" t="str">
        <f>ORÇAMENTO!C215</f>
        <v>SINAPI</v>
      </c>
      <c r="D977" s="139" t="str">
        <f>ORÇAMENTO!D215</f>
        <v>LUVA, PVC, ROSCÁVEL, 1/2", PARA LIGAÇÃO PREDIAL DE ÁGUA. AF_06/2022</v>
      </c>
      <c r="E977" s="140" t="s">
        <v>14</v>
      </c>
      <c r="F977" s="8"/>
      <c r="G977" s="63"/>
      <c r="H977" s="33"/>
      <c r="I977" s="63"/>
      <c r="J977" s="46"/>
      <c r="K977" s="136"/>
    </row>
    <row r="978" spans="1:11" x14ac:dyDescent="0.25">
      <c r="A978" s="10"/>
      <c r="B978" s="30"/>
      <c r="C978" s="30"/>
      <c r="D978" s="36" t="s">
        <v>390</v>
      </c>
      <c r="E978" s="12"/>
      <c r="F978" s="122">
        <v>1</v>
      </c>
      <c r="G978" s="31"/>
      <c r="H978" s="31"/>
      <c r="I978" s="31"/>
      <c r="J978" s="52">
        <f>F978</f>
        <v>1</v>
      </c>
      <c r="K978" s="136"/>
    </row>
    <row r="979" spans="1:11" x14ac:dyDescent="0.25">
      <c r="A979" s="75"/>
      <c r="B979" s="65"/>
      <c r="C979" s="65"/>
      <c r="D979" s="124"/>
      <c r="E979" s="125"/>
      <c r="F979" s="126"/>
      <c r="G979" s="147"/>
      <c r="H979" s="147"/>
      <c r="I979" s="147"/>
      <c r="J979" s="127"/>
      <c r="K979" s="136"/>
    </row>
    <row r="980" spans="1:11" x14ac:dyDescent="0.25">
      <c r="A980" s="2" t="s">
        <v>1</v>
      </c>
      <c r="B980" s="21" t="s">
        <v>2</v>
      </c>
      <c r="C980" s="28" t="s">
        <v>3</v>
      </c>
      <c r="D980" s="2" t="s">
        <v>4</v>
      </c>
      <c r="E980" s="4" t="s">
        <v>5</v>
      </c>
      <c r="F980" s="3" t="s">
        <v>6</v>
      </c>
      <c r="G980" s="38" t="s">
        <v>61</v>
      </c>
      <c r="H980" s="39" t="s">
        <v>62</v>
      </c>
      <c r="I980" s="39" t="s">
        <v>63</v>
      </c>
      <c r="J980" s="69" t="s">
        <v>9</v>
      </c>
      <c r="K980" s="136"/>
    </row>
    <row r="981" spans="1:11" ht="34.5" customHeight="1" x14ac:dyDescent="0.25">
      <c r="A981" s="7" t="s">
        <v>1018</v>
      </c>
      <c r="B981" s="23">
        <f>ORÇAMENTO!B216</f>
        <v>89385</v>
      </c>
      <c r="C981" s="23" t="str">
        <f>ORÇAMENTO!C216</f>
        <v>SINAPI</v>
      </c>
      <c r="D981" s="139" t="str">
        <f>ORÇAMENTO!D216</f>
        <v>LUVA SOLDÁVEL E COM ROSCA, PVC, SOLDÁVEL, DN 25MM X 3/4 , INSTALADO EM RAMAL OU SUB-RAMAL DE ÁGUA - FORNECIMENTO E INSTALAÇÃO. AF_06/2022</v>
      </c>
      <c r="E981" s="140" t="s">
        <v>14</v>
      </c>
      <c r="F981" s="8"/>
      <c r="G981" s="63"/>
      <c r="H981" s="33"/>
      <c r="I981" s="63"/>
      <c r="J981" s="46"/>
      <c r="K981" s="136"/>
    </row>
    <row r="982" spans="1:11" x14ac:dyDescent="0.25">
      <c r="A982" s="10"/>
      <c r="B982" s="30"/>
      <c r="C982" s="30"/>
      <c r="D982" s="36" t="s">
        <v>390</v>
      </c>
      <c r="E982" s="12"/>
      <c r="F982" s="122">
        <v>2</v>
      </c>
      <c r="G982" s="31"/>
      <c r="H982" s="31"/>
      <c r="I982" s="31"/>
      <c r="J982" s="52">
        <f>F982</f>
        <v>2</v>
      </c>
      <c r="K982" s="136"/>
    </row>
    <row r="983" spans="1:11" x14ac:dyDescent="0.25">
      <c r="A983" s="75"/>
      <c r="B983" s="65"/>
      <c r="C983" s="65"/>
      <c r="D983" s="124"/>
      <c r="E983" s="125"/>
      <c r="F983" s="126"/>
      <c r="G983" s="147"/>
      <c r="H983" s="147"/>
      <c r="I983" s="147"/>
      <c r="J983" s="127"/>
      <c r="K983" s="136"/>
    </row>
    <row r="984" spans="1:11" x14ac:dyDescent="0.25">
      <c r="A984" s="2" t="s">
        <v>1</v>
      </c>
      <c r="B984" s="21" t="s">
        <v>2</v>
      </c>
      <c r="C984" s="28" t="s">
        <v>3</v>
      </c>
      <c r="D984" s="2" t="s">
        <v>4</v>
      </c>
      <c r="E984" s="4" t="s">
        <v>5</v>
      </c>
      <c r="F984" s="3" t="s">
        <v>6</v>
      </c>
      <c r="G984" s="38" t="s">
        <v>61</v>
      </c>
      <c r="H984" s="39" t="s">
        <v>62</v>
      </c>
      <c r="I984" s="39" t="s">
        <v>63</v>
      </c>
      <c r="J984" s="69" t="s">
        <v>9</v>
      </c>
      <c r="K984" s="136"/>
    </row>
    <row r="985" spans="1:11" ht="31.5" customHeight="1" x14ac:dyDescent="0.25">
      <c r="A985" s="7" t="s">
        <v>1019</v>
      </c>
      <c r="B985" s="23">
        <f>ORÇAMENTO!B217</f>
        <v>94497</v>
      </c>
      <c r="C985" s="23" t="str">
        <f>ORÇAMENTO!C217</f>
        <v>SINAPI</v>
      </c>
      <c r="D985" s="139" t="str">
        <f>ORÇAMENTO!D217</f>
        <v>REGISTRO DE GAVETA BRUTO, LATÃO, ROSCÁVEL, 1 1/2" - FORNECIMENTO E INSTALAÇÃO. AF_08/2021</v>
      </c>
      <c r="E985" s="140" t="s">
        <v>14</v>
      </c>
      <c r="F985" s="8"/>
      <c r="G985" s="63"/>
      <c r="H985" s="33"/>
      <c r="I985" s="63"/>
      <c r="J985" s="46"/>
      <c r="K985" s="136"/>
    </row>
    <row r="986" spans="1:11" x14ac:dyDescent="0.25">
      <c r="A986" s="10"/>
      <c r="B986" s="30"/>
      <c r="C986" s="30"/>
      <c r="D986" s="36" t="s">
        <v>390</v>
      </c>
      <c r="E986" s="12"/>
      <c r="F986" s="122">
        <v>12</v>
      </c>
      <c r="G986" s="31"/>
      <c r="H986" s="31"/>
      <c r="I986" s="31"/>
      <c r="J986" s="52">
        <f>F986</f>
        <v>12</v>
      </c>
      <c r="K986" s="136"/>
    </row>
    <row r="987" spans="1:11" x14ac:dyDescent="0.25">
      <c r="A987" s="75"/>
      <c r="B987" s="65"/>
      <c r="C987" s="65"/>
      <c r="D987" s="124"/>
      <c r="E987" s="125"/>
      <c r="F987" s="126"/>
      <c r="G987" s="147"/>
      <c r="H987" s="147"/>
      <c r="I987" s="147"/>
      <c r="J987" s="127"/>
      <c r="K987" s="136"/>
    </row>
    <row r="988" spans="1:11" x14ac:dyDescent="0.25">
      <c r="A988" s="2" t="s">
        <v>1</v>
      </c>
      <c r="B988" s="21" t="s">
        <v>2</v>
      </c>
      <c r="C988" s="28" t="s">
        <v>3</v>
      </c>
      <c r="D988" s="2" t="s">
        <v>4</v>
      </c>
      <c r="E988" s="4" t="s">
        <v>5</v>
      </c>
      <c r="F988" s="3" t="s">
        <v>6</v>
      </c>
      <c r="G988" s="38" t="s">
        <v>61</v>
      </c>
      <c r="H988" s="39" t="s">
        <v>62</v>
      </c>
      <c r="I988" s="39" t="s">
        <v>63</v>
      </c>
      <c r="J988" s="69" t="s">
        <v>9</v>
      </c>
      <c r="K988" s="136"/>
    </row>
    <row r="989" spans="1:11" ht="33.75" customHeight="1" x14ac:dyDescent="0.25">
      <c r="A989" s="7" t="s">
        <v>1020</v>
      </c>
      <c r="B989" s="23">
        <f>ORÇAMENTO!B218</f>
        <v>94496</v>
      </c>
      <c r="C989" s="23" t="str">
        <f>ORÇAMENTO!C218</f>
        <v>SINAPI</v>
      </c>
      <c r="D989" s="139" t="str">
        <f>ORÇAMENTO!D218</f>
        <v>REGISTRO DE GAVETA BRUTO, LATÃO, ROSCÁVEL, 1 1/4" - FORNECIMENTO E INSTALAÇÃO. AF_08/2021</v>
      </c>
      <c r="E989" s="140" t="s">
        <v>14</v>
      </c>
      <c r="F989" s="8"/>
      <c r="G989" s="63"/>
      <c r="H989" s="33"/>
      <c r="I989" s="63"/>
      <c r="J989" s="46"/>
      <c r="K989" s="136"/>
    </row>
    <row r="990" spans="1:11" x14ac:dyDescent="0.25">
      <c r="A990" s="10"/>
      <c r="B990" s="30"/>
      <c r="C990" s="30"/>
      <c r="D990" s="36" t="s">
        <v>390</v>
      </c>
      <c r="E990" s="12"/>
      <c r="F990" s="122">
        <v>7</v>
      </c>
      <c r="G990" s="31"/>
      <c r="H990" s="31"/>
      <c r="I990" s="31"/>
      <c r="J990" s="52">
        <f>F990</f>
        <v>7</v>
      </c>
      <c r="K990" s="136"/>
    </row>
    <row r="991" spans="1:11" x14ac:dyDescent="0.25">
      <c r="A991" s="75"/>
      <c r="B991" s="65"/>
      <c r="C991" s="65"/>
      <c r="D991" s="124"/>
      <c r="E991" s="125"/>
      <c r="F991" s="126"/>
      <c r="G991" s="147"/>
      <c r="H991" s="147"/>
      <c r="I991" s="147"/>
      <c r="J991" s="127"/>
      <c r="K991" s="136"/>
    </row>
    <row r="992" spans="1:11" x14ac:dyDescent="0.25">
      <c r="A992" s="2" t="s">
        <v>1</v>
      </c>
      <c r="B992" s="21" t="s">
        <v>2</v>
      </c>
      <c r="C992" s="28" t="s">
        <v>3</v>
      </c>
      <c r="D992" s="2" t="s">
        <v>4</v>
      </c>
      <c r="E992" s="4" t="s">
        <v>5</v>
      </c>
      <c r="F992" s="3" t="s">
        <v>6</v>
      </c>
      <c r="G992" s="38" t="s">
        <v>61</v>
      </c>
      <c r="H992" s="39" t="s">
        <v>62</v>
      </c>
      <c r="I992" s="39" t="s">
        <v>63</v>
      </c>
      <c r="J992" s="69" t="s">
        <v>9</v>
      </c>
      <c r="K992" s="136"/>
    </row>
    <row r="993" spans="1:11" ht="30.75" customHeight="1" x14ac:dyDescent="0.25">
      <c r="A993" s="7" t="s">
        <v>1021</v>
      </c>
      <c r="B993" s="23">
        <f>ORÇAMENTO!B219</f>
        <v>89986</v>
      </c>
      <c r="C993" s="23" t="str">
        <f>ORÇAMENTO!C219</f>
        <v>SINAPI</v>
      </c>
      <c r="D993" s="139" t="str">
        <f>ORÇAMENTO!D219</f>
        <v>REGISTRO DE GAVETA BRUTO, LATÃO, ROSCÁVEL, 1/2", COM ACABAMENTO E CANOPLA CROMADOS - FORNECIMENTO E INSTALAÇÃO. AF_08/2021</v>
      </c>
      <c r="E993" s="140" t="s">
        <v>14</v>
      </c>
      <c r="F993" s="8"/>
      <c r="G993" s="63"/>
      <c r="H993" s="33"/>
      <c r="I993" s="63"/>
      <c r="J993" s="46"/>
      <c r="K993" s="136"/>
    </row>
    <row r="994" spans="1:11" x14ac:dyDescent="0.25">
      <c r="A994" s="10"/>
      <c r="B994" s="30"/>
      <c r="C994" s="30"/>
      <c r="D994" s="36" t="s">
        <v>390</v>
      </c>
      <c r="E994" s="12"/>
      <c r="F994" s="122">
        <v>1</v>
      </c>
      <c r="G994" s="31"/>
      <c r="H994" s="31"/>
      <c r="I994" s="31"/>
      <c r="J994" s="52">
        <f>F994</f>
        <v>1</v>
      </c>
      <c r="K994" s="136"/>
    </row>
    <row r="995" spans="1:11" x14ac:dyDescent="0.25">
      <c r="A995" s="75"/>
      <c r="B995" s="65"/>
      <c r="C995" s="65"/>
      <c r="D995" s="124"/>
      <c r="E995" s="125"/>
      <c r="F995" s="126"/>
      <c r="G995" s="147"/>
      <c r="H995" s="147"/>
      <c r="I995" s="147"/>
      <c r="J995" s="127"/>
      <c r="K995" s="136"/>
    </row>
    <row r="996" spans="1:11" x14ac:dyDescent="0.25">
      <c r="A996" s="2" t="s">
        <v>1</v>
      </c>
      <c r="B996" s="21" t="s">
        <v>2</v>
      </c>
      <c r="C996" s="28" t="s">
        <v>3</v>
      </c>
      <c r="D996" s="2" t="s">
        <v>4</v>
      </c>
      <c r="E996" s="4" t="s">
        <v>5</v>
      </c>
      <c r="F996" s="3" t="s">
        <v>6</v>
      </c>
      <c r="G996" s="38" t="s">
        <v>61</v>
      </c>
      <c r="H996" s="39" t="s">
        <v>62</v>
      </c>
      <c r="I996" s="39" t="s">
        <v>63</v>
      </c>
      <c r="J996" s="69" t="s">
        <v>9</v>
      </c>
      <c r="K996" s="136"/>
    </row>
    <row r="997" spans="1:11" ht="31.5" customHeight="1" x14ac:dyDescent="0.25">
      <c r="A997" s="7" t="s">
        <v>1022</v>
      </c>
      <c r="B997" s="23" t="str">
        <f>ORÇAMENTO!B220</f>
        <v>COMPOSIÇÃO 07</v>
      </c>
      <c r="C997" s="23" t="str">
        <f>ORÇAMENTO!C220</f>
        <v>PRÓPRIO</v>
      </c>
      <c r="D997" s="139" t="str">
        <f>ORÇAMENTO!D220</f>
        <v>RESERVATORIO RETANGULAR, EM ALVENARIA COM BLOCOS CONCRETO 14X19X39, DIMENSÕES INTERNAS: 3 X 2.5X 2 M, VOLUME ÚTIL: 15000 L</v>
      </c>
      <c r="E997" s="140" t="s">
        <v>14</v>
      </c>
      <c r="F997" s="8"/>
      <c r="G997" s="63"/>
      <c r="H997" s="33"/>
      <c r="I997" s="63"/>
      <c r="J997" s="46"/>
      <c r="K997" s="136"/>
    </row>
    <row r="998" spans="1:11" x14ac:dyDescent="0.25">
      <c r="A998" s="10"/>
      <c r="B998" s="30"/>
      <c r="C998" s="30"/>
      <c r="D998" s="36" t="s">
        <v>427</v>
      </c>
      <c r="E998" s="12"/>
      <c r="F998" s="122">
        <v>1</v>
      </c>
      <c r="G998" s="31"/>
      <c r="H998" s="31"/>
      <c r="I998" s="31"/>
      <c r="J998" s="52">
        <f>F998</f>
        <v>1</v>
      </c>
      <c r="K998" s="136"/>
    </row>
    <row r="999" spans="1:11" x14ac:dyDescent="0.25">
      <c r="A999" s="75"/>
      <c r="B999" s="65"/>
      <c r="C999" s="65"/>
      <c r="D999" s="124"/>
      <c r="E999" s="125"/>
      <c r="F999" s="126"/>
      <c r="G999" s="147"/>
      <c r="H999" s="147"/>
      <c r="I999" s="147"/>
      <c r="J999" s="127"/>
      <c r="K999" s="136"/>
    </row>
    <row r="1000" spans="1:11" x14ac:dyDescent="0.25">
      <c r="A1000" s="2" t="s">
        <v>1</v>
      </c>
      <c r="B1000" s="21" t="s">
        <v>2</v>
      </c>
      <c r="C1000" s="28" t="s">
        <v>3</v>
      </c>
      <c r="D1000" s="2" t="s">
        <v>4</v>
      </c>
      <c r="E1000" s="4" t="s">
        <v>5</v>
      </c>
      <c r="F1000" s="3" t="s">
        <v>6</v>
      </c>
      <c r="G1000" s="38" t="s">
        <v>61</v>
      </c>
      <c r="H1000" s="39" t="s">
        <v>62</v>
      </c>
      <c r="I1000" s="39" t="s">
        <v>63</v>
      </c>
      <c r="J1000" s="69" t="s">
        <v>9</v>
      </c>
      <c r="K1000" s="136"/>
    </row>
    <row r="1001" spans="1:11" ht="29.25" customHeight="1" x14ac:dyDescent="0.25">
      <c r="A1001" s="7" t="s">
        <v>1023</v>
      </c>
      <c r="B1001" s="23">
        <f>ORÇAMENTO!B221</f>
        <v>89395</v>
      </c>
      <c r="C1001" s="23" t="str">
        <f>ORÇAMENTO!C221</f>
        <v>SINAPI</v>
      </c>
      <c r="D1001" s="139" t="str">
        <f>ORÇAMENTO!D221</f>
        <v>TE, PVC, SOLDÁVEL, DN 25MM, INSTALADO EM RAMAL OU SUB-RAMAL DE ÁGUA - FORNECIMENTO E INSTALAÇÃO. AF_06/2022</v>
      </c>
      <c r="E1001" s="140" t="s">
        <v>14</v>
      </c>
      <c r="F1001" s="8"/>
      <c r="G1001" s="63"/>
      <c r="H1001" s="33"/>
      <c r="I1001" s="63"/>
      <c r="J1001" s="46"/>
      <c r="K1001" s="136"/>
    </row>
    <row r="1002" spans="1:11" x14ac:dyDescent="0.25">
      <c r="A1002" s="10"/>
      <c r="B1002" s="30"/>
      <c r="C1002" s="30"/>
      <c r="D1002" s="36" t="s">
        <v>390</v>
      </c>
      <c r="E1002" s="12"/>
      <c r="F1002" s="122">
        <v>21</v>
      </c>
      <c r="G1002" s="31"/>
      <c r="H1002" s="31"/>
      <c r="I1002" s="31"/>
      <c r="J1002" s="52">
        <f>F1002</f>
        <v>21</v>
      </c>
      <c r="K1002" s="136"/>
    </row>
    <row r="1003" spans="1:11" x14ac:dyDescent="0.25">
      <c r="A1003" s="75"/>
      <c r="B1003" s="65"/>
      <c r="C1003" s="65"/>
      <c r="D1003" s="124"/>
      <c r="E1003" s="125"/>
      <c r="F1003" s="126"/>
      <c r="G1003" s="147"/>
      <c r="H1003" s="147"/>
      <c r="I1003" s="147"/>
      <c r="J1003" s="127"/>
      <c r="K1003" s="136"/>
    </row>
    <row r="1004" spans="1:11" x14ac:dyDescent="0.25">
      <c r="A1004" s="2" t="s">
        <v>1</v>
      </c>
      <c r="B1004" s="21" t="s">
        <v>2</v>
      </c>
      <c r="C1004" s="28" t="s">
        <v>3</v>
      </c>
      <c r="D1004" s="2" t="s">
        <v>4</v>
      </c>
      <c r="E1004" s="4" t="s">
        <v>5</v>
      </c>
      <c r="F1004" s="3" t="s">
        <v>6</v>
      </c>
      <c r="G1004" s="38" t="s">
        <v>61</v>
      </c>
      <c r="H1004" s="39" t="s">
        <v>62</v>
      </c>
      <c r="I1004" s="39" t="s">
        <v>63</v>
      </c>
      <c r="J1004" s="69" t="s">
        <v>9</v>
      </c>
      <c r="K1004" s="136"/>
    </row>
    <row r="1005" spans="1:11" ht="33.75" customHeight="1" x14ac:dyDescent="0.25">
      <c r="A1005" s="7" t="s">
        <v>1024</v>
      </c>
      <c r="B1005" s="23">
        <f>ORÇAMENTO!B222</f>
        <v>104011</v>
      </c>
      <c r="C1005" s="23" t="str">
        <f>ORÇAMENTO!C222</f>
        <v>SINAPI</v>
      </c>
      <c r="D1005" s="139" t="str">
        <f>ORÇAMENTO!D222</f>
        <v>TE, PVC, SOLDÁVEL, DN 40MM, INSTALADO EM RAMAL DE DISTRIBUIÇÃO DE ÁGUA - FORNECIMENTO E INSTALAÇÃO. AF_06/2022</v>
      </c>
      <c r="E1005" s="140" t="s">
        <v>14</v>
      </c>
      <c r="F1005" s="8"/>
      <c r="G1005" s="63"/>
      <c r="H1005" s="33"/>
      <c r="I1005" s="63"/>
      <c r="J1005" s="46"/>
      <c r="K1005" s="136"/>
    </row>
    <row r="1006" spans="1:11" x14ac:dyDescent="0.25">
      <c r="A1006" s="10"/>
      <c r="B1006" s="30"/>
      <c r="C1006" s="30"/>
      <c r="D1006" s="36" t="s">
        <v>390</v>
      </c>
      <c r="E1006" s="12"/>
      <c r="F1006" s="122">
        <v>2</v>
      </c>
      <c r="G1006" s="31"/>
      <c r="H1006" s="31"/>
      <c r="I1006" s="31"/>
      <c r="J1006" s="52">
        <f>F1006</f>
        <v>2</v>
      </c>
      <c r="K1006" s="136"/>
    </row>
    <row r="1007" spans="1:11" x14ac:dyDescent="0.25">
      <c r="A1007" s="75"/>
      <c r="B1007" s="65"/>
      <c r="C1007" s="65"/>
      <c r="D1007" s="124"/>
      <c r="E1007" s="125"/>
      <c r="F1007" s="126"/>
      <c r="G1007" s="147"/>
      <c r="H1007" s="147"/>
      <c r="I1007" s="147"/>
      <c r="J1007" s="127"/>
      <c r="K1007" s="136"/>
    </row>
    <row r="1008" spans="1:11" x14ac:dyDescent="0.25">
      <c r="A1008" s="2" t="s">
        <v>1</v>
      </c>
      <c r="B1008" s="21" t="s">
        <v>2</v>
      </c>
      <c r="C1008" s="28" t="s">
        <v>3</v>
      </c>
      <c r="D1008" s="2" t="s">
        <v>4</v>
      </c>
      <c r="E1008" s="4" t="s">
        <v>5</v>
      </c>
      <c r="F1008" s="3" t="s">
        <v>6</v>
      </c>
      <c r="G1008" s="38" t="s">
        <v>61</v>
      </c>
      <c r="H1008" s="39" t="s">
        <v>62</v>
      </c>
      <c r="I1008" s="39" t="s">
        <v>63</v>
      </c>
      <c r="J1008" s="69" t="s">
        <v>9</v>
      </c>
      <c r="K1008" s="136"/>
    </row>
    <row r="1009" spans="1:11" ht="42" customHeight="1" x14ac:dyDescent="0.25">
      <c r="A1009" s="7" t="s">
        <v>1025</v>
      </c>
      <c r="B1009" s="23">
        <f>ORÇAMENTO!B223</f>
        <v>90374</v>
      </c>
      <c r="C1009" s="23" t="str">
        <f>ORÇAMENTO!C223</f>
        <v>SINAPI</v>
      </c>
      <c r="D1009" s="139" t="str">
        <f>ORÇAMENTO!D223</f>
        <v>TÊ COM BUCHA DE LATÃO NA BOLSA CENTRAL, PVC, SOLDÁVEL, DN 25MM X 3/4 INSTALADO EM RAMAL OU SUB-RAMAL DE ÁGUA - FORNECIMENTO E INSTALAÇÃO. AF_06/2022</v>
      </c>
      <c r="E1009" s="140" t="s">
        <v>14</v>
      </c>
      <c r="F1009" s="8"/>
      <c r="G1009" s="63"/>
      <c r="H1009" s="33"/>
      <c r="I1009" s="63"/>
      <c r="J1009" s="46"/>
      <c r="K1009" s="136"/>
    </row>
    <row r="1010" spans="1:11" x14ac:dyDescent="0.25">
      <c r="A1010" s="10"/>
      <c r="B1010" s="30"/>
      <c r="C1010" s="30"/>
      <c r="D1010" s="36" t="s">
        <v>390</v>
      </c>
      <c r="E1010" s="12"/>
      <c r="F1010" s="122">
        <v>3</v>
      </c>
      <c r="G1010" s="31"/>
      <c r="H1010" s="31"/>
      <c r="I1010" s="31"/>
      <c r="J1010" s="52">
        <f>F1010</f>
        <v>3</v>
      </c>
      <c r="K1010" s="136"/>
    </row>
    <row r="1011" spans="1:11" x14ac:dyDescent="0.25">
      <c r="A1011" s="75"/>
      <c r="B1011" s="65"/>
      <c r="C1011" s="65"/>
      <c r="D1011" s="124"/>
      <c r="E1011" s="125"/>
      <c r="F1011" s="126"/>
      <c r="G1011" s="147"/>
      <c r="H1011" s="147"/>
      <c r="I1011" s="147"/>
      <c r="J1011" s="127"/>
      <c r="K1011" s="136"/>
    </row>
    <row r="1012" spans="1:11" x14ac:dyDescent="0.25">
      <c r="A1012" s="2" t="s">
        <v>1</v>
      </c>
      <c r="B1012" s="21" t="s">
        <v>2</v>
      </c>
      <c r="C1012" s="28" t="s">
        <v>3</v>
      </c>
      <c r="D1012" s="2" t="s">
        <v>4</v>
      </c>
      <c r="E1012" s="4" t="s">
        <v>5</v>
      </c>
      <c r="F1012" s="3" t="s">
        <v>6</v>
      </c>
      <c r="G1012" s="38" t="s">
        <v>61</v>
      </c>
      <c r="H1012" s="39" t="s">
        <v>62</v>
      </c>
      <c r="I1012" s="39" t="s">
        <v>63</v>
      </c>
      <c r="J1012" s="69" t="s">
        <v>9</v>
      </c>
      <c r="K1012" s="136"/>
    </row>
    <row r="1013" spans="1:11" ht="33.75" customHeight="1" x14ac:dyDescent="0.25">
      <c r="A1013" s="7" t="s">
        <v>1026</v>
      </c>
      <c r="B1013" s="23">
        <f>ORÇAMENTO!B224</f>
        <v>89400</v>
      </c>
      <c r="C1013" s="23" t="str">
        <f>ORÇAMENTO!C224</f>
        <v>SINAPI</v>
      </c>
      <c r="D1013" s="139" t="str">
        <f>ORÇAMENTO!D224</f>
        <v>TÊ DE REDUÇÃO, PVC, SOLDÁVEL, DN 32MM X 25MM, INSTALADO EM RAMAL OU SUB-RAMAL DE ÁGUA - FORNECIMENTO E INSTALAÇÃO. AF_06/2022</v>
      </c>
      <c r="E1013" s="140" t="s">
        <v>14</v>
      </c>
      <c r="F1013" s="8"/>
      <c r="G1013" s="63"/>
      <c r="H1013" s="33"/>
      <c r="I1013" s="63"/>
      <c r="J1013" s="46"/>
      <c r="K1013" s="136"/>
    </row>
    <row r="1014" spans="1:11" x14ac:dyDescent="0.25">
      <c r="A1014" s="10"/>
      <c r="B1014" s="30"/>
      <c r="C1014" s="30"/>
      <c r="D1014" s="36" t="s">
        <v>390</v>
      </c>
      <c r="E1014" s="12"/>
      <c r="F1014" s="122">
        <v>3</v>
      </c>
      <c r="G1014" s="31"/>
      <c r="H1014" s="31"/>
      <c r="I1014" s="31"/>
      <c r="J1014" s="52">
        <f>F1014</f>
        <v>3</v>
      </c>
      <c r="K1014" s="136"/>
    </row>
    <row r="1015" spans="1:11" x14ac:dyDescent="0.25">
      <c r="A1015" s="75"/>
      <c r="B1015" s="65"/>
      <c r="C1015" s="65"/>
      <c r="D1015" s="124"/>
      <c r="E1015" s="125"/>
      <c r="F1015" s="126"/>
      <c r="G1015" s="147"/>
      <c r="H1015" s="147"/>
      <c r="I1015" s="147"/>
      <c r="J1015" s="127"/>
      <c r="K1015" s="136"/>
    </row>
    <row r="1016" spans="1:11" x14ac:dyDescent="0.25">
      <c r="A1016" s="2" t="s">
        <v>1</v>
      </c>
      <c r="B1016" s="21" t="s">
        <v>2</v>
      </c>
      <c r="C1016" s="28" t="s">
        <v>3</v>
      </c>
      <c r="D1016" s="2" t="s">
        <v>4</v>
      </c>
      <c r="E1016" s="4" t="s">
        <v>5</v>
      </c>
      <c r="F1016" s="3" t="s">
        <v>6</v>
      </c>
      <c r="G1016" s="38" t="s">
        <v>61</v>
      </c>
      <c r="H1016" s="39" t="s">
        <v>62</v>
      </c>
      <c r="I1016" s="39" t="s">
        <v>63</v>
      </c>
      <c r="J1016" s="69" t="s">
        <v>9</v>
      </c>
      <c r="K1016" s="136"/>
    </row>
    <row r="1017" spans="1:11" ht="25.5" customHeight="1" x14ac:dyDescent="0.25">
      <c r="A1017" s="7" t="s">
        <v>1027</v>
      </c>
      <c r="B1017" s="23" t="str">
        <f>ORÇAMENTO!B225</f>
        <v>COMPOSIÇÃO 08</v>
      </c>
      <c r="C1017" s="23" t="str">
        <f>ORÇAMENTO!C225</f>
        <v>PRÓPRIO</v>
      </c>
      <c r="D1017" s="139" t="str">
        <f>ORÇAMENTO!D225</f>
        <v>TÊ DE REDUÇÃO, 90° PVC RIGIDO SOLDÁVEL, D = 40 X 25 MM</v>
      </c>
      <c r="E1017" s="140" t="s">
        <v>14</v>
      </c>
      <c r="F1017" s="8"/>
      <c r="G1017" s="63"/>
      <c r="H1017" s="33"/>
      <c r="I1017" s="63"/>
      <c r="J1017" s="46"/>
      <c r="K1017" s="136"/>
    </row>
    <row r="1018" spans="1:11" x14ac:dyDescent="0.25">
      <c r="A1018" s="10"/>
      <c r="B1018" s="30"/>
      <c r="C1018" s="30"/>
      <c r="D1018" s="36" t="s">
        <v>390</v>
      </c>
      <c r="E1018" s="12"/>
      <c r="F1018" s="122">
        <v>4</v>
      </c>
      <c r="G1018" s="31"/>
      <c r="H1018" s="31"/>
      <c r="I1018" s="31"/>
      <c r="J1018" s="52">
        <f>F1018</f>
        <v>4</v>
      </c>
      <c r="K1018" s="136"/>
    </row>
    <row r="1019" spans="1:11" x14ac:dyDescent="0.25">
      <c r="A1019" s="75"/>
      <c r="B1019" s="65"/>
      <c r="C1019" s="65"/>
      <c r="D1019" s="124"/>
      <c r="E1019" s="125"/>
      <c r="F1019" s="126"/>
      <c r="G1019" s="147"/>
      <c r="H1019" s="147"/>
      <c r="I1019" s="147"/>
      <c r="J1019" s="127"/>
      <c r="K1019" s="136"/>
    </row>
    <row r="1020" spans="1:11" x14ac:dyDescent="0.25">
      <c r="A1020" s="2" t="s">
        <v>1</v>
      </c>
      <c r="B1020" s="21" t="s">
        <v>2</v>
      </c>
      <c r="C1020" s="28" t="s">
        <v>3</v>
      </c>
      <c r="D1020" s="2" t="s">
        <v>4</v>
      </c>
      <c r="E1020" s="4" t="s">
        <v>5</v>
      </c>
      <c r="F1020" s="3" t="s">
        <v>6</v>
      </c>
      <c r="G1020" s="38" t="s">
        <v>61</v>
      </c>
      <c r="H1020" s="39" t="s">
        <v>62</v>
      </c>
      <c r="I1020" s="39" t="s">
        <v>63</v>
      </c>
      <c r="J1020" s="69" t="s">
        <v>9</v>
      </c>
      <c r="K1020" s="136"/>
    </row>
    <row r="1021" spans="1:11" ht="29.25" customHeight="1" x14ac:dyDescent="0.25">
      <c r="A1021" s="7" t="s">
        <v>1028</v>
      </c>
      <c r="B1021" s="23">
        <f>ORÇAMENTO!B226</f>
        <v>104006</v>
      </c>
      <c r="C1021" s="23" t="str">
        <f>ORÇAMENTO!C226</f>
        <v>SINAPI</v>
      </c>
      <c r="D1021" s="139" t="str">
        <f>ORÇAMENTO!D226</f>
        <v>TÊ DE REDUÇÃO, PVC, SOLDÁVEL, DN 50MM X 25MM, INSTALADO EM RAMAL DE DISTRIBUIÇÃO DE ÁGUA - FORNECIMENTO E INSTALAÇÃO. AF_06/2022</v>
      </c>
      <c r="E1021" s="140" t="s">
        <v>14</v>
      </c>
      <c r="F1021" s="8"/>
      <c r="G1021" s="63"/>
      <c r="H1021" s="33"/>
      <c r="I1021" s="63"/>
      <c r="J1021" s="46"/>
      <c r="K1021" s="136"/>
    </row>
    <row r="1022" spans="1:11" x14ac:dyDescent="0.25">
      <c r="A1022" s="10"/>
      <c r="B1022" s="30"/>
      <c r="C1022" s="30"/>
      <c r="D1022" s="36" t="s">
        <v>390</v>
      </c>
      <c r="E1022" s="12"/>
      <c r="F1022" s="122">
        <v>10</v>
      </c>
      <c r="G1022" s="31"/>
      <c r="H1022" s="31"/>
      <c r="I1022" s="31"/>
      <c r="J1022" s="52">
        <f>F1022</f>
        <v>10</v>
      </c>
      <c r="K1022" s="136"/>
    </row>
    <row r="1023" spans="1:11" x14ac:dyDescent="0.25">
      <c r="A1023" s="75"/>
      <c r="B1023" s="65"/>
      <c r="C1023" s="65"/>
      <c r="D1023" s="124"/>
      <c r="E1023" s="125"/>
      <c r="F1023" s="126"/>
      <c r="G1023" s="147"/>
      <c r="H1023" s="147"/>
      <c r="I1023" s="147"/>
      <c r="J1023" s="127"/>
      <c r="K1023" s="136"/>
    </row>
    <row r="1024" spans="1:11" x14ac:dyDescent="0.25">
      <c r="A1024" s="2" t="s">
        <v>1</v>
      </c>
      <c r="B1024" s="21" t="s">
        <v>2</v>
      </c>
      <c r="C1024" s="28" t="s">
        <v>3</v>
      </c>
      <c r="D1024" s="2" t="s">
        <v>4</v>
      </c>
      <c r="E1024" s="4" t="s">
        <v>5</v>
      </c>
      <c r="F1024" s="3" t="s">
        <v>6</v>
      </c>
      <c r="G1024" s="38" t="s">
        <v>61</v>
      </c>
      <c r="H1024" s="39" t="s">
        <v>62</v>
      </c>
      <c r="I1024" s="39" t="s">
        <v>63</v>
      </c>
      <c r="J1024" s="69" t="s">
        <v>9</v>
      </c>
      <c r="K1024" s="136"/>
    </row>
    <row r="1025" spans="1:11" ht="29.25" customHeight="1" x14ac:dyDescent="0.25">
      <c r="A1025" s="7" t="s">
        <v>1029</v>
      </c>
      <c r="B1025" s="23">
        <f>ORÇAMENTO!B227</f>
        <v>94795</v>
      </c>
      <c r="C1025" s="23" t="str">
        <f>ORÇAMENTO!C227</f>
        <v>SINAPI</v>
      </c>
      <c r="D1025" s="139" t="str">
        <f>ORÇAMENTO!D227</f>
        <v>TORNEIRA DE BOIA PARA CAIXA D'ÁGUA, ROSCÁVEL, 1/2" - FORNECIMENTO E INSTALAÇÃO. AF_08/2021</v>
      </c>
      <c r="E1025" s="140" t="s">
        <v>14</v>
      </c>
      <c r="F1025" s="8"/>
      <c r="G1025" s="63"/>
      <c r="H1025" s="33"/>
      <c r="I1025" s="63"/>
      <c r="J1025" s="46"/>
      <c r="K1025" s="136"/>
    </row>
    <row r="1026" spans="1:11" x14ac:dyDescent="0.25">
      <c r="A1026" s="10"/>
      <c r="B1026" s="30"/>
      <c r="C1026" s="30"/>
      <c r="D1026" s="36" t="s">
        <v>390</v>
      </c>
      <c r="E1026" s="12"/>
      <c r="F1026" s="122">
        <v>3</v>
      </c>
      <c r="G1026" s="31"/>
      <c r="H1026" s="31"/>
      <c r="I1026" s="31"/>
      <c r="J1026" s="52">
        <f>F1026</f>
        <v>3</v>
      </c>
      <c r="K1026" s="136"/>
    </row>
    <row r="1027" spans="1:11" x14ac:dyDescent="0.25">
      <c r="A1027" s="75"/>
      <c r="B1027" s="65"/>
      <c r="C1027" s="65"/>
      <c r="D1027" s="124"/>
      <c r="E1027" s="125"/>
      <c r="F1027" s="126"/>
      <c r="G1027" s="147"/>
      <c r="H1027" s="147"/>
      <c r="I1027" s="147"/>
      <c r="J1027" s="127"/>
      <c r="K1027" s="136"/>
    </row>
    <row r="1028" spans="1:11" x14ac:dyDescent="0.25">
      <c r="A1028" s="2" t="s">
        <v>1</v>
      </c>
      <c r="B1028" s="21" t="s">
        <v>2</v>
      </c>
      <c r="C1028" s="28" t="s">
        <v>3</v>
      </c>
      <c r="D1028" s="2" t="s">
        <v>4</v>
      </c>
      <c r="E1028" s="4" t="s">
        <v>5</v>
      </c>
      <c r="F1028" s="3" t="s">
        <v>6</v>
      </c>
      <c r="G1028" s="38" t="s">
        <v>61</v>
      </c>
      <c r="H1028" s="39" t="s">
        <v>62</v>
      </c>
      <c r="I1028" s="39" t="s">
        <v>63</v>
      </c>
      <c r="J1028" s="69" t="s">
        <v>9</v>
      </c>
      <c r="K1028" s="136"/>
    </row>
    <row r="1029" spans="1:11" ht="29.25" customHeight="1" x14ac:dyDescent="0.25">
      <c r="A1029" s="7" t="s">
        <v>1030</v>
      </c>
      <c r="B1029" s="23">
        <f>ORÇAMENTO!B228</f>
        <v>89355</v>
      </c>
      <c r="C1029" s="23" t="str">
        <f>ORÇAMENTO!C228</f>
        <v>SINAPI</v>
      </c>
      <c r="D1029" s="139" t="str">
        <f>ORÇAMENTO!D228</f>
        <v>TUBO, PVC, SOLDÁVEL, DN 20MM, INSTALADO EM RAMAL OU SUB-RAMAL DE ÁGUA - FORNECIMENTO E INSTALAÇÃO. AF_06/2022</v>
      </c>
      <c r="E1029" s="140" t="s">
        <v>16</v>
      </c>
      <c r="F1029" s="8"/>
      <c r="G1029" s="63"/>
      <c r="H1029" s="33"/>
      <c r="I1029" s="63"/>
      <c r="J1029" s="46"/>
      <c r="K1029" s="136"/>
    </row>
    <row r="1030" spans="1:11" x14ac:dyDescent="0.25">
      <c r="A1030" s="10"/>
      <c r="B1030" s="30"/>
      <c r="C1030" s="30"/>
      <c r="D1030" s="36" t="s">
        <v>390</v>
      </c>
      <c r="E1030" s="12"/>
      <c r="F1030" s="122">
        <v>87.55</v>
      </c>
      <c r="G1030" s="31"/>
      <c r="H1030" s="31"/>
      <c r="I1030" s="31"/>
      <c r="J1030" s="52">
        <f>F1030</f>
        <v>87.55</v>
      </c>
      <c r="K1030" s="136"/>
    </row>
    <row r="1031" spans="1:11" x14ac:dyDescent="0.25">
      <c r="A1031" s="75"/>
      <c r="B1031" s="65"/>
      <c r="C1031" s="65"/>
      <c r="D1031" s="124"/>
      <c r="E1031" s="125"/>
      <c r="F1031" s="126"/>
      <c r="G1031" s="147"/>
      <c r="H1031" s="147"/>
      <c r="I1031" s="147"/>
      <c r="J1031" s="127"/>
      <c r="K1031" s="136"/>
    </row>
    <row r="1032" spans="1:11" x14ac:dyDescent="0.25">
      <c r="A1032" s="2" t="s">
        <v>1</v>
      </c>
      <c r="B1032" s="21" t="s">
        <v>2</v>
      </c>
      <c r="C1032" s="28" t="s">
        <v>3</v>
      </c>
      <c r="D1032" s="2" t="s">
        <v>4</v>
      </c>
      <c r="E1032" s="4" t="s">
        <v>5</v>
      </c>
      <c r="F1032" s="3" t="s">
        <v>6</v>
      </c>
      <c r="G1032" s="38" t="s">
        <v>61</v>
      </c>
      <c r="H1032" s="39" t="s">
        <v>62</v>
      </c>
      <c r="I1032" s="39" t="s">
        <v>63</v>
      </c>
      <c r="J1032" s="69" t="s">
        <v>9</v>
      </c>
      <c r="K1032" s="136"/>
    </row>
    <row r="1033" spans="1:11" ht="29.25" customHeight="1" x14ac:dyDescent="0.25">
      <c r="A1033" s="7" t="s">
        <v>1031</v>
      </c>
      <c r="B1033" s="23">
        <f>ORÇAMENTO!B229</f>
        <v>89356</v>
      </c>
      <c r="C1033" s="23" t="str">
        <f>ORÇAMENTO!C229</f>
        <v>SINAPI</v>
      </c>
      <c r="D1033" s="139" t="str">
        <f>ORÇAMENTO!D229</f>
        <v>TUBO, PVC, SOLDÁVEL, DN 25MM, INSTALADO EM RAMAL OU SUB-RAMAL DE ÁGUA - FORNECIMENTO E INSTALAÇÃO. AF_06/2022</v>
      </c>
      <c r="E1033" s="140" t="s">
        <v>16</v>
      </c>
      <c r="F1033" s="8"/>
      <c r="G1033" s="63"/>
      <c r="H1033" s="33"/>
      <c r="I1033" s="63"/>
      <c r="J1033" s="46"/>
      <c r="K1033" s="136"/>
    </row>
    <row r="1034" spans="1:11" x14ac:dyDescent="0.25">
      <c r="A1034" s="10"/>
      <c r="B1034" s="30"/>
      <c r="C1034" s="30"/>
      <c r="D1034" s="36" t="s">
        <v>390</v>
      </c>
      <c r="E1034" s="12"/>
      <c r="F1034" s="122">
        <v>167.1</v>
      </c>
      <c r="G1034" s="31"/>
      <c r="H1034" s="31"/>
      <c r="I1034" s="31"/>
      <c r="J1034" s="52">
        <f>F1034</f>
        <v>167.1</v>
      </c>
      <c r="K1034" s="136"/>
    </row>
    <row r="1035" spans="1:11" x14ac:dyDescent="0.25">
      <c r="A1035" s="75"/>
      <c r="B1035" s="65"/>
      <c r="C1035" s="65"/>
      <c r="D1035" s="124"/>
      <c r="E1035" s="125"/>
      <c r="F1035" s="126"/>
      <c r="G1035" s="147"/>
      <c r="H1035" s="147"/>
      <c r="I1035" s="147"/>
      <c r="J1035" s="127"/>
      <c r="K1035" s="136"/>
    </row>
    <row r="1036" spans="1:11" x14ac:dyDescent="0.25">
      <c r="A1036" s="2" t="s">
        <v>1</v>
      </c>
      <c r="B1036" s="21" t="s">
        <v>2</v>
      </c>
      <c r="C1036" s="28" t="s">
        <v>3</v>
      </c>
      <c r="D1036" s="2" t="s">
        <v>4</v>
      </c>
      <c r="E1036" s="4" t="s">
        <v>5</v>
      </c>
      <c r="F1036" s="3" t="s">
        <v>6</v>
      </c>
      <c r="G1036" s="38" t="s">
        <v>61</v>
      </c>
      <c r="H1036" s="39" t="s">
        <v>62</v>
      </c>
      <c r="I1036" s="39" t="s">
        <v>63</v>
      </c>
      <c r="J1036" s="69" t="s">
        <v>9</v>
      </c>
      <c r="K1036" s="136"/>
    </row>
    <row r="1037" spans="1:11" ht="28.5" customHeight="1" x14ac:dyDescent="0.25">
      <c r="A1037" s="7" t="s">
        <v>1032</v>
      </c>
      <c r="B1037" s="23">
        <f>ORÇAMENTO!B230</f>
        <v>89357</v>
      </c>
      <c r="C1037" s="23" t="str">
        <f>ORÇAMENTO!C230</f>
        <v>SINAPI</v>
      </c>
      <c r="D1037" s="139" t="str">
        <f>ORÇAMENTO!D230</f>
        <v>TUBO, PVC, SOLDÁVEL, DN 32MM, INSTALADO EM RAMAL OU SUB-RAMAL DE ÁGUA - FORNECIMENTO E INSTALAÇÃO. AF_06/2022</v>
      </c>
      <c r="E1037" s="140" t="s">
        <v>16</v>
      </c>
      <c r="F1037" s="8"/>
      <c r="G1037" s="63"/>
      <c r="H1037" s="33"/>
      <c r="I1037" s="63"/>
      <c r="J1037" s="46"/>
      <c r="K1037" s="136"/>
    </row>
    <row r="1038" spans="1:11" x14ac:dyDescent="0.25">
      <c r="A1038" s="10"/>
      <c r="B1038" s="30"/>
      <c r="C1038" s="30"/>
      <c r="D1038" s="36" t="s">
        <v>390</v>
      </c>
      <c r="E1038" s="12"/>
      <c r="F1038" s="141">
        <v>11.45</v>
      </c>
      <c r="G1038" s="31"/>
      <c r="H1038" s="31"/>
      <c r="I1038" s="31"/>
      <c r="J1038" s="52">
        <f>F1038</f>
        <v>11.45</v>
      </c>
      <c r="K1038" s="136"/>
    </row>
    <row r="1039" spans="1:11" x14ac:dyDescent="0.25">
      <c r="A1039" s="75"/>
      <c r="B1039" s="65"/>
      <c r="C1039" s="65"/>
      <c r="D1039" s="124"/>
      <c r="E1039" s="125"/>
      <c r="F1039" s="126"/>
      <c r="G1039" s="147"/>
      <c r="H1039" s="147"/>
      <c r="I1039" s="147"/>
      <c r="J1039" s="127"/>
      <c r="K1039" s="136"/>
    </row>
    <row r="1040" spans="1:11" x14ac:dyDescent="0.25">
      <c r="A1040" s="2" t="s">
        <v>1</v>
      </c>
      <c r="B1040" s="21" t="s">
        <v>2</v>
      </c>
      <c r="C1040" s="28" t="s">
        <v>3</v>
      </c>
      <c r="D1040" s="2" t="s">
        <v>4</v>
      </c>
      <c r="E1040" s="4" t="s">
        <v>5</v>
      </c>
      <c r="F1040" s="3" t="s">
        <v>6</v>
      </c>
      <c r="G1040" s="38" t="s">
        <v>61</v>
      </c>
      <c r="H1040" s="39" t="s">
        <v>62</v>
      </c>
      <c r="I1040" s="39" t="s">
        <v>63</v>
      </c>
      <c r="J1040" s="69" t="s">
        <v>9</v>
      </c>
      <c r="K1040" s="136"/>
    </row>
    <row r="1041" spans="1:11" ht="29.25" customHeight="1" x14ac:dyDescent="0.25">
      <c r="A1041" s="7" t="s">
        <v>1033</v>
      </c>
      <c r="B1041" s="23">
        <f>ORÇAMENTO!B231</f>
        <v>103978</v>
      </c>
      <c r="C1041" s="23" t="str">
        <f>ORÇAMENTO!C231</f>
        <v>SINAPI</v>
      </c>
      <c r="D1041" s="139" t="str">
        <f>ORÇAMENTO!D231</f>
        <v>TUBO, PVC, SOLDÁVEL, DN 40MM, INSTALADO EM RAMAL DE DISTRIBUIÇÃO DE ÁGUA - FORNECIMENTO E INSTALAÇÃO. AF_06/2022</v>
      </c>
      <c r="E1041" s="140" t="s">
        <v>16</v>
      </c>
      <c r="F1041" s="8"/>
      <c r="G1041" s="63"/>
      <c r="H1041" s="33"/>
      <c r="I1041" s="63"/>
      <c r="J1041" s="46"/>
      <c r="K1041" s="136"/>
    </row>
    <row r="1042" spans="1:11" x14ac:dyDescent="0.25">
      <c r="A1042" s="10"/>
      <c r="B1042" s="30"/>
      <c r="C1042" s="30"/>
      <c r="D1042" s="36" t="s">
        <v>390</v>
      </c>
      <c r="E1042" s="12"/>
      <c r="F1042" s="122">
        <v>22.6</v>
      </c>
      <c r="G1042" s="31"/>
      <c r="H1042" s="31"/>
      <c r="I1042" s="31"/>
      <c r="J1042" s="52">
        <f>F1042</f>
        <v>22.6</v>
      </c>
      <c r="K1042" s="136"/>
    </row>
    <row r="1043" spans="1:11" x14ac:dyDescent="0.25">
      <c r="A1043" s="75"/>
      <c r="B1043" s="65"/>
      <c r="C1043" s="65"/>
      <c r="D1043" s="124"/>
      <c r="E1043" s="125"/>
      <c r="F1043" s="126"/>
      <c r="G1043" s="147"/>
      <c r="H1043" s="147"/>
      <c r="I1043" s="147"/>
      <c r="J1043" s="127"/>
      <c r="K1043" s="136"/>
    </row>
    <row r="1044" spans="1:11" x14ac:dyDescent="0.25">
      <c r="A1044" s="2" t="s">
        <v>1</v>
      </c>
      <c r="B1044" s="21" t="s">
        <v>2</v>
      </c>
      <c r="C1044" s="28" t="s">
        <v>3</v>
      </c>
      <c r="D1044" s="2" t="s">
        <v>4</v>
      </c>
      <c r="E1044" s="4" t="s">
        <v>5</v>
      </c>
      <c r="F1044" s="3" t="s">
        <v>6</v>
      </c>
      <c r="G1044" s="38" t="s">
        <v>61</v>
      </c>
      <c r="H1044" s="39" t="s">
        <v>62</v>
      </c>
      <c r="I1044" s="39" t="s">
        <v>63</v>
      </c>
      <c r="J1044" s="69" t="s">
        <v>9</v>
      </c>
      <c r="K1044" s="136"/>
    </row>
    <row r="1045" spans="1:11" ht="29.25" customHeight="1" x14ac:dyDescent="0.25">
      <c r="A1045" s="7" t="s">
        <v>1034</v>
      </c>
      <c r="B1045" s="23">
        <f>ORÇAMENTO!B232</f>
        <v>103979</v>
      </c>
      <c r="C1045" s="23" t="str">
        <f>ORÇAMENTO!C232</f>
        <v>SINAPI</v>
      </c>
      <c r="D1045" s="139" t="str">
        <f>ORÇAMENTO!D232</f>
        <v>TUBO, PVC, SOLDÁVEL, DN 50MM, INSTALADO EM RAMAL DE DISTRIBUIÇÃO DE ÁGUA - FORNECIMENTO E INSTALAÇÃO. AF_06/2022</v>
      </c>
      <c r="E1045" s="140" t="s">
        <v>16</v>
      </c>
      <c r="F1045" s="8"/>
      <c r="G1045" s="63"/>
      <c r="H1045" s="33"/>
      <c r="I1045" s="63"/>
      <c r="J1045" s="46"/>
      <c r="K1045" s="136"/>
    </row>
    <row r="1046" spans="1:11" x14ac:dyDescent="0.25">
      <c r="A1046" s="10"/>
      <c r="B1046" s="30"/>
      <c r="C1046" s="30"/>
      <c r="D1046" s="36" t="s">
        <v>390</v>
      </c>
      <c r="E1046" s="12"/>
      <c r="F1046" s="122">
        <v>43.8</v>
      </c>
      <c r="G1046" s="31"/>
      <c r="H1046" s="31"/>
      <c r="I1046" s="31"/>
      <c r="J1046" s="52">
        <f>F1046</f>
        <v>43.8</v>
      </c>
      <c r="K1046" s="136"/>
    </row>
    <row r="1047" spans="1:11" x14ac:dyDescent="0.25">
      <c r="A1047" s="75"/>
      <c r="B1047" s="65"/>
      <c r="C1047" s="65"/>
      <c r="D1047" s="124"/>
      <c r="E1047" s="125"/>
      <c r="F1047" s="126"/>
      <c r="G1047" s="147"/>
      <c r="H1047" s="147"/>
      <c r="I1047" s="147"/>
      <c r="J1047" s="127"/>
      <c r="K1047" s="136"/>
    </row>
    <row r="1048" spans="1:11" x14ac:dyDescent="0.25">
      <c r="A1048" s="2" t="s">
        <v>1</v>
      </c>
      <c r="B1048" s="21" t="s">
        <v>2</v>
      </c>
      <c r="C1048" s="28" t="s">
        <v>3</v>
      </c>
      <c r="D1048" s="2" t="s">
        <v>4</v>
      </c>
      <c r="E1048" s="4" t="s">
        <v>5</v>
      </c>
      <c r="F1048" s="3" t="s">
        <v>6</v>
      </c>
      <c r="G1048" s="38" t="s">
        <v>61</v>
      </c>
      <c r="H1048" s="39" t="s">
        <v>62</v>
      </c>
      <c r="I1048" s="39" t="s">
        <v>63</v>
      </c>
      <c r="J1048" s="69" t="s">
        <v>9</v>
      </c>
      <c r="K1048" s="136"/>
    </row>
    <row r="1049" spans="1:11" ht="31.5" customHeight="1" x14ac:dyDescent="0.25">
      <c r="A1049" s="7" t="s">
        <v>1035</v>
      </c>
      <c r="B1049" s="23">
        <f>ORÇAMENTO!B233</f>
        <v>89450</v>
      </c>
      <c r="C1049" s="23" t="str">
        <f>ORÇAMENTO!C233</f>
        <v>SINAPI</v>
      </c>
      <c r="D1049" s="139" t="str">
        <f>ORÇAMENTO!D233</f>
        <v>TUBO, PVC, SOLDÁVEL, DN 60MM, INSTALADO EM PRUMADA DE ÁGUA - FORNECIMENTO E INSTALAÇÃO. AF_06/2022</v>
      </c>
      <c r="E1049" s="140" t="s">
        <v>16</v>
      </c>
      <c r="F1049" s="8"/>
      <c r="G1049" s="63"/>
      <c r="H1049" s="33"/>
      <c r="I1049" s="63"/>
      <c r="J1049" s="46"/>
      <c r="K1049" s="136"/>
    </row>
    <row r="1050" spans="1:11" x14ac:dyDescent="0.25">
      <c r="A1050" s="10"/>
      <c r="B1050" s="30"/>
      <c r="C1050" s="30"/>
      <c r="D1050" s="36" t="s">
        <v>390</v>
      </c>
      <c r="E1050" s="12"/>
      <c r="F1050" s="122">
        <v>6.7</v>
      </c>
      <c r="G1050" s="31"/>
      <c r="H1050" s="31"/>
      <c r="I1050" s="31"/>
      <c r="J1050" s="52">
        <f>F1050</f>
        <v>6.7</v>
      </c>
      <c r="K1050" s="136"/>
    </row>
    <row r="1051" spans="1:11" x14ac:dyDescent="0.25">
      <c r="A1051" s="430"/>
      <c r="B1051" s="431"/>
      <c r="C1051" s="431"/>
      <c r="D1051" s="432"/>
      <c r="E1051" s="433"/>
      <c r="F1051" s="434"/>
      <c r="G1051" s="477"/>
      <c r="H1051" s="477"/>
      <c r="I1051" s="477"/>
      <c r="J1051" s="436"/>
      <c r="K1051" s="136"/>
    </row>
    <row r="1052" spans="1:11" x14ac:dyDescent="0.25">
      <c r="A1052" s="2" t="s">
        <v>1</v>
      </c>
      <c r="B1052" s="21" t="s">
        <v>2</v>
      </c>
      <c r="C1052" s="28" t="s">
        <v>3</v>
      </c>
      <c r="D1052" s="2" t="s">
        <v>4</v>
      </c>
      <c r="E1052" s="4" t="s">
        <v>5</v>
      </c>
      <c r="F1052" s="3" t="s">
        <v>6</v>
      </c>
      <c r="G1052" s="38" t="s">
        <v>61</v>
      </c>
      <c r="H1052" s="39" t="s">
        <v>62</v>
      </c>
      <c r="I1052" s="39" t="s">
        <v>63</v>
      </c>
      <c r="J1052" s="69" t="s">
        <v>9</v>
      </c>
      <c r="K1052" s="136"/>
    </row>
    <row r="1053" spans="1:11" s="463" customFormat="1" ht="26.4" x14ac:dyDescent="0.25">
      <c r="A1053" s="487" t="s">
        <v>1036</v>
      </c>
      <c r="B1053" s="451" t="s">
        <v>758</v>
      </c>
      <c r="C1053" s="451" t="s">
        <v>13</v>
      </c>
      <c r="D1053" s="466" t="s">
        <v>759</v>
      </c>
      <c r="E1053" s="451" t="s">
        <v>14</v>
      </c>
      <c r="F1053" s="453"/>
      <c r="G1053" s="453"/>
      <c r="H1053" s="488"/>
      <c r="I1053" s="453"/>
    </row>
    <row r="1054" spans="1:11" x14ac:dyDescent="0.25">
      <c r="A1054" s="420"/>
      <c r="B1054" s="441"/>
      <c r="C1054" s="441"/>
      <c r="D1054" s="442" t="s">
        <v>754</v>
      </c>
      <c r="E1054" s="441"/>
      <c r="F1054" s="443">
        <v>1</v>
      </c>
      <c r="G1054" s="443"/>
      <c r="H1054" s="443"/>
      <c r="I1054" s="443"/>
      <c r="J1054" s="486">
        <f>SUM(F1054:F1055)</f>
        <v>3</v>
      </c>
    </row>
    <row r="1055" spans="1:11" x14ac:dyDescent="0.25">
      <c r="A1055" s="420"/>
      <c r="B1055" s="441"/>
      <c r="C1055" s="441"/>
      <c r="D1055" s="442" t="s">
        <v>755</v>
      </c>
      <c r="E1055" s="441"/>
      <c r="F1055" s="443">
        <v>2</v>
      </c>
      <c r="G1055" s="443"/>
      <c r="H1055" s="443"/>
      <c r="I1055" s="443"/>
      <c r="J1055" s="443"/>
    </row>
    <row r="1056" spans="1:11" x14ac:dyDescent="0.25">
      <c r="A1056" s="420"/>
      <c r="B1056" s="441"/>
      <c r="C1056" s="441"/>
      <c r="D1056" s="442"/>
      <c r="E1056" s="441"/>
      <c r="F1056" s="443"/>
      <c r="G1056" s="443"/>
      <c r="H1056" s="443"/>
      <c r="I1056" s="443"/>
      <c r="J1056" s="443"/>
    </row>
    <row r="1057" spans="1:10" x14ac:dyDescent="0.25">
      <c r="A1057" s="420"/>
      <c r="B1057" s="441"/>
      <c r="C1057" s="441"/>
      <c r="D1057" s="442"/>
      <c r="E1057" s="441"/>
      <c r="F1057" s="443"/>
      <c r="G1057" s="443"/>
      <c r="H1057" s="443"/>
      <c r="I1057" s="443"/>
      <c r="J1057" s="443"/>
    </row>
    <row r="1058" spans="1:10" s="462" customFormat="1" x14ac:dyDescent="0.25">
      <c r="A1058" s="2" t="s">
        <v>1</v>
      </c>
      <c r="B1058" s="456" t="s">
        <v>2</v>
      </c>
      <c r="C1058" s="456" t="s">
        <v>3</v>
      </c>
      <c r="D1058" s="457" t="s">
        <v>4</v>
      </c>
      <c r="E1058" s="456" t="s">
        <v>5</v>
      </c>
      <c r="F1058" s="459" t="s">
        <v>6</v>
      </c>
      <c r="G1058" s="458"/>
      <c r="H1058" s="458"/>
      <c r="I1058" s="458" t="s">
        <v>757</v>
      </c>
      <c r="J1058" s="458" t="s">
        <v>9</v>
      </c>
    </row>
    <row r="1059" spans="1:10" s="463" customFormat="1" ht="26.4" x14ac:dyDescent="0.25">
      <c r="A1059" s="487" t="s">
        <v>1037</v>
      </c>
      <c r="B1059" s="451" t="s">
        <v>760</v>
      </c>
      <c r="C1059" s="451" t="s">
        <v>13</v>
      </c>
      <c r="D1059" s="466" t="s">
        <v>761</v>
      </c>
      <c r="E1059" s="451" t="s">
        <v>14</v>
      </c>
      <c r="F1059" s="453"/>
      <c r="G1059" s="453"/>
      <c r="H1059" s="488"/>
      <c r="I1059" s="453"/>
      <c r="J1059" s="453"/>
    </row>
    <row r="1060" spans="1:10" x14ac:dyDescent="0.25">
      <c r="A1060" s="420"/>
      <c r="B1060" s="441"/>
      <c r="C1060" s="441"/>
      <c r="D1060" s="442" t="s">
        <v>755</v>
      </c>
      <c r="E1060" s="441"/>
      <c r="F1060" s="443">
        <v>1</v>
      </c>
      <c r="G1060" s="443"/>
      <c r="H1060" s="443"/>
      <c r="I1060" s="443"/>
      <c r="J1060" s="439">
        <v>1</v>
      </c>
    </row>
    <row r="1061" spans="1:10" x14ac:dyDescent="0.25">
      <c r="A1061" s="420"/>
      <c r="B1061" s="441"/>
      <c r="C1061" s="441"/>
      <c r="D1061" s="442"/>
      <c r="E1061" s="441"/>
      <c r="F1061" s="443"/>
      <c r="G1061" s="443"/>
      <c r="H1061" s="443"/>
      <c r="I1061" s="443"/>
      <c r="J1061" s="443"/>
    </row>
    <row r="1062" spans="1:10" x14ac:dyDescent="0.25">
      <c r="A1062" s="420"/>
      <c r="B1062" s="441"/>
      <c r="C1062" s="441"/>
      <c r="D1062" s="442"/>
      <c r="E1062" s="441"/>
      <c r="F1062" s="443"/>
      <c r="G1062" s="443"/>
      <c r="H1062" s="443"/>
      <c r="I1062" s="443"/>
      <c r="J1062" s="443"/>
    </row>
    <row r="1063" spans="1:10" s="492" customFormat="1" x14ac:dyDescent="0.25">
      <c r="A1063" s="491" t="s">
        <v>1</v>
      </c>
      <c r="B1063" s="456" t="s">
        <v>2</v>
      </c>
      <c r="C1063" s="456" t="s">
        <v>3</v>
      </c>
      <c r="D1063" s="457" t="s">
        <v>4</v>
      </c>
      <c r="E1063" s="456" t="s">
        <v>5</v>
      </c>
      <c r="F1063" s="459" t="s">
        <v>6</v>
      </c>
      <c r="G1063" s="458"/>
      <c r="H1063" s="458"/>
      <c r="I1063" s="458" t="s">
        <v>757</v>
      </c>
      <c r="J1063" s="458" t="s">
        <v>9</v>
      </c>
    </row>
    <row r="1064" spans="1:10" s="463" customFormat="1" ht="26.4" x14ac:dyDescent="0.25">
      <c r="A1064" s="487" t="s">
        <v>1038</v>
      </c>
      <c r="B1064" s="451" t="s">
        <v>762</v>
      </c>
      <c r="C1064" s="451" t="s">
        <v>13</v>
      </c>
      <c r="D1064" s="466" t="s">
        <v>763</v>
      </c>
      <c r="E1064" s="451" t="s">
        <v>14</v>
      </c>
      <c r="F1064" s="453"/>
      <c r="G1064" s="453"/>
      <c r="H1064" s="453"/>
      <c r="I1064" s="453"/>
      <c r="J1064" s="453"/>
    </row>
    <row r="1065" spans="1:10" x14ac:dyDescent="0.25">
      <c r="A1065" s="420"/>
      <c r="B1065" s="438"/>
      <c r="C1065" s="438"/>
      <c r="D1065" s="442" t="s">
        <v>755</v>
      </c>
      <c r="E1065" s="438"/>
      <c r="F1065" s="443">
        <v>1</v>
      </c>
      <c r="G1065" s="439"/>
      <c r="H1065" s="439"/>
      <c r="I1065" s="439"/>
      <c r="J1065" s="439">
        <v>2</v>
      </c>
    </row>
    <row r="1066" spans="1:10" x14ac:dyDescent="0.25">
      <c r="A1066" s="420"/>
      <c r="B1066" s="438"/>
      <c r="C1066" s="438"/>
      <c r="D1066" s="442" t="s">
        <v>754</v>
      </c>
      <c r="E1066" s="438"/>
      <c r="F1066" s="443">
        <v>1</v>
      </c>
      <c r="G1066" s="439"/>
      <c r="H1066" s="439"/>
      <c r="I1066" s="439"/>
      <c r="J1066" s="439"/>
    </row>
    <row r="1067" spans="1:10" x14ac:dyDescent="0.25">
      <c r="A1067" s="420"/>
      <c r="B1067" s="438"/>
      <c r="C1067" s="438"/>
      <c r="D1067" s="442"/>
      <c r="E1067" s="438"/>
      <c r="F1067" s="443"/>
      <c r="G1067" s="439"/>
      <c r="H1067" s="439"/>
      <c r="I1067" s="439"/>
      <c r="J1067" s="439"/>
    </row>
    <row r="1068" spans="1:10" x14ac:dyDescent="0.25">
      <c r="A1068" s="420"/>
      <c r="B1068" s="438"/>
      <c r="C1068" s="438"/>
      <c r="D1068" s="442"/>
      <c r="E1068" s="438"/>
      <c r="F1068" s="443"/>
      <c r="G1068" s="439"/>
      <c r="H1068" s="439"/>
      <c r="I1068" s="439"/>
      <c r="J1068" s="439"/>
    </row>
    <row r="1069" spans="1:10" s="462" customFormat="1" x14ac:dyDescent="0.25">
      <c r="A1069" s="491" t="s">
        <v>1</v>
      </c>
      <c r="B1069" s="456" t="s">
        <v>2</v>
      </c>
      <c r="C1069" s="456" t="s">
        <v>3</v>
      </c>
      <c r="D1069" s="457" t="s">
        <v>4</v>
      </c>
      <c r="E1069" s="456" t="s">
        <v>5</v>
      </c>
      <c r="F1069" s="459" t="s">
        <v>6</v>
      </c>
      <c r="G1069" s="458"/>
      <c r="H1069" s="458"/>
      <c r="I1069" s="458" t="s">
        <v>757</v>
      </c>
      <c r="J1069" s="458" t="s">
        <v>9</v>
      </c>
    </row>
    <row r="1070" spans="1:10" s="463" customFormat="1" ht="39.6" x14ac:dyDescent="0.25">
      <c r="A1070" s="487" t="s">
        <v>1039</v>
      </c>
      <c r="B1070" s="451" t="s">
        <v>764</v>
      </c>
      <c r="C1070" s="451" t="s">
        <v>13</v>
      </c>
      <c r="D1070" s="466" t="s">
        <v>765</v>
      </c>
      <c r="E1070" s="451" t="s">
        <v>14</v>
      </c>
      <c r="F1070" s="453"/>
      <c r="G1070" s="453"/>
      <c r="H1070" s="488"/>
      <c r="I1070" s="453"/>
      <c r="J1070" s="453"/>
    </row>
    <row r="1071" spans="1:10" x14ac:dyDescent="0.25">
      <c r="A1071" s="420"/>
      <c r="B1071" s="438"/>
      <c r="C1071" s="438"/>
      <c r="D1071" s="442" t="s">
        <v>755</v>
      </c>
      <c r="E1071" s="438"/>
      <c r="F1071" s="443">
        <v>42</v>
      </c>
      <c r="G1071" s="439"/>
      <c r="H1071" s="439"/>
      <c r="I1071" s="439"/>
      <c r="J1071" s="439">
        <v>48</v>
      </c>
    </row>
    <row r="1072" spans="1:10" x14ac:dyDescent="0.25">
      <c r="A1072" s="420"/>
      <c r="B1072" s="438"/>
      <c r="C1072" s="438"/>
      <c r="D1072" s="442" t="s">
        <v>754</v>
      </c>
      <c r="E1072" s="438"/>
      <c r="F1072" s="443">
        <v>6</v>
      </c>
      <c r="G1072" s="439"/>
      <c r="H1072" s="439"/>
      <c r="I1072" s="439"/>
      <c r="J1072" s="439"/>
    </row>
    <row r="1073" spans="1:11" x14ac:dyDescent="0.25">
      <c r="A1073" s="420"/>
      <c r="B1073" s="438"/>
      <c r="C1073" s="438"/>
      <c r="D1073" s="442"/>
      <c r="E1073" s="438"/>
      <c r="F1073" s="443"/>
      <c r="G1073" s="439"/>
      <c r="H1073" s="439"/>
      <c r="I1073" s="439"/>
      <c r="J1073" s="439"/>
    </row>
    <row r="1074" spans="1:11" x14ac:dyDescent="0.25">
      <c r="A1074" s="420"/>
      <c r="B1074" s="438"/>
      <c r="C1074" s="438"/>
      <c r="D1074" s="442"/>
      <c r="E1074" s="438"/>
      <c r="F1074" s="443"/>
      <c r="G1074" s="439"/>
      <c r="H1074" s="439"/>
      <c r="I1074" s="439"/>
      <c r="J1074" s="439"/>
    </row>
    <row r="1075" spans="1:11" x14ac:dyDescent="0.25">
      <c r="A1075" s="420"/>
      <c r="B1075" s="438"/>
      <c r="C1075" s="438"/>
      <c r="D1075" s="442"/>
      <c r="E1075" s="438"/>
      <c r="F1075" s="443"/>
      <c r="G1075" s="439"/>
      <c r="H1075" s="439"/>
      <c r="I1075" s="439"/>
      <c r="J1075" s="439"/>
    </row>
    <row r="1076" spans="1:11" x14ac:dyDescent="0.25">
      <c r="A1076" s="420"/>
      <c r="B1076" s="438"/>
      <c r="C1076" s="438"/>
      <c r="D1076" s="442"/>
      <c r="E1076" s="438"/>
      <c r="F1076" s="443"/>
      <c r="G1076" s="439"/>
      <c r="H1076" s="439"/>
      <c r="I1076" s="439"/>
      <c r="J1076" s="439"/>
    </row>
    <row r="1077" spans="1:11" s="462" customFormat="1" x14ac:dyDescent="0.25">
      <c r="A1077" s="491" t="s">
        <v>1</v>
      </c>
      <c r="B1077" s="456" t="s">
        <v>2</v>
      </c>
      <c r="C1077" s="456" t="s">
        <v>3</v>
      </c>
      <c r="D1077" s="457" t="s">
        <v>723</v>
      </c>
      <c r="E1077" s="456" t="s">
        <v>5</v>
      </c>
      <c r="F1077" s="459" t="s">
        <v>6</v>
      </c>
      <c r="G1077" s="458"/>
      <c r="H1077" s="458"/>
      <c r="I1077" s="458"/>
      <c r="J1077" s="458" t="s">
        <v>9</v>
      </c>
    </row>
    <row r="1078" spans="1:11" s="463" customFormat="1" ht="26.4" x14ac:dyDescent="0.25">
      <c r="A1078" s="487" t="s">
        <v>1040</v>
      </c>
      <c r="B1078" s="451" t="s">
        <v>766</v>
      </c>
      <c r="C1078" s="451" t="s">
        <v>13</v>
      </c>
      <c r="D1078" s="452" t="s">
        <v>767</v>
      </c>
      <c r="E1078" s="451" t="s">
        <v>14</v>
      </c>
      <c r="F1078" s="453"/>
      <c r="G1078" s="453"/>
      <c r="H1078" s="453"/>
      <c r="I1078" s="453"/>
      <c r="J1078" s="453"/>
    </row>
    <row r="1079" spans="1:11" x14ac:dyDescent="0.25">
      <c r="A1079" s="420"/>
      <c r="B1079" s="438"/>
      <c r="C1079" s="438"/>
      <c r="D1079" s="442" t="s">
        <v>755</v>
      </c>
      <c r="E1079" s="438"/>
      <c r="F1079" s="443">
        <v>6</v>
      </c>
      <c r="G1079" s="439"/>
      <c r="H1079" s="439"/>
      <c r="I1079" s="439"/>
      <c r="J1079" s="439">
        <v>6</v>
      </c>
    </row>
    <row r="1080" spans="1:11" x14ac:dyDescent="0.25">
      <c r="A1080" s="420"/>
      <c r="B1080" s="438"/>
      <c r="C1080" s="438"/>
      <c r="D1080" s="442"/>
      <c r="E1080" s="438"/>
      <c r="F1080" s="443"/>
      <c r="G1080" s="439"/>
      <c r="H1080" s="439"/>
      <c r="I1080" s="439"/>
      <c r="J1080" s="439"/>
    </row>
    <row r="1081" spans="1:11" x14ac:dyDescent="0.25">
      <c r="A1081" s="420"/>
      <c r="B1081" s="438"/>
      <c r="C1081" s="438"/>
      <c r="D1081" s="442"/>
      <c r="E1081" s="438"/>
      <c r="F1081" s="443"/>
      <c r="G1081" s="439"/>
      <c r="H1081" s="439"/>
      <c r="I1081" s="439"/>
      <c r="J1081" s="439"/>
    </row>
    <row r="1082" spans="1:11" s="462" customFormat="1" x14ac:dyDescent="0.25">
      <c r="A1082" s="491" t="s">
        <v>1</v>
      </c>
      <c r="B1082" s="456" t="s">
        <v>2</v>
      </c>
      <c r="C1082" s="456" t="s">
        <v>3</v>
      </c>
      <c r="D1082" s="457" t="s">
        <v>4</v>
      </c>
      <c r="E1082" s="456" t="s">
        <v>5</v>
      </c>
      <c r="F1082" s="459" t="s">
        <v>6</v>
      </c>
      <c r="G1082" s="458"/>
      <c r="H1082" s="458"/>
      <c r="I1082" s="458"/>
      <c r="J1082" s="458" t="s">
        <v>9</v>
      </c>
    </row>
    <row r="1083" spans="1:11" s="463" customFormat="1" ht="26.4" x14ac:dyDescent="0.25">
      <c r="A1083" s="487" t="s">
        <v>1041</v>
      </c>
      <c r="B1083" s="451" t="s">
        <v>768</v>
      </c>
      <c r="C1083" s="451" t="s">
        <v>13</v>
      </c>
      <c r="D1083" s="452" t="s">
        <v>769</v>
      </c>
      <c r="E1083" s="451" t="s">
        <v>14</v>
      </c>
      <c r="F1083" s="453"/>
      <c r="G1083" s="453"/>
      <c r="H1083" s="453"/>
      <c r="I1083" s="453"/>
      <c r="J1083" s="453"/>
    </row>
    <row r="1084" spans="1:11" x14ac:dyDescent="0.25">
      <c r="A1084" s="420"/>
      <c r="B1084" s="438"/>
      <c r="C1084" s="438"/>
      <c r="D1084" s="442" t="s">
        <v>755</v>
      </c>
      <c r="E1084" s="438"/>
      <c r="F1084" s="443">
        <v>3</v>
      </c>
      <c r="G1084" s="439"/>
      <c r="H1084" s="439"/>
      <c r="I1084" s="439"/>
      <c r="J1084" s="439">
        <v>3</v>
      </c>
    </row>
    <row r="1085" spans="1:11" x14ac:dyDescent="0.25">
      <c r="A1085" s="420"/>
      <c r="B1085" s="438"/>
      <c r="C1085" s="438"/>
      <c r="D1085" s="442"/>
      <c r="E1085" s="438"/>
      <c r="F1085" s="443"/>
      <c r="G1085" s="439"/>
      <c r="H1085" s="439"/>
      <c r="I1085" s="439"/>
      <c r="J1085" s="439"/>
    </row>
    <row r="1086" spans="1:11" x14ac:dyDescent="0.25">
      <c r="A1086" s="420"/>
      <c r="B1086" s="438"/>
      <c r="C1086" s="438"/>
      <c r="D1086" s="442"/>
      <c r="E1086" s="438"/>
      <c r="F1086" s="443"/>
      <c r="G1086" s="439"/>
      <c r="H1086" s="439"/>
      <c r="I1086" s="439"/>
      <c r="J1086" s="439"/>
      <c r="K1086" s="439"/>
    </row>
    <row r="1087" spans="1:11" s="462" customFormat="1" x14ac:dyDescent="0.25">
      <c r="A1087" s="491" t="s">
        <v>1</v>
      </c>
      <c r="B1087" s="456" t="s">
        <v>2</v>
      </c>
      <c r="C1087" s="456" t="s">
        <v>3</v>
      </c>
      <c r="D1087" s="457" t="s">
        <v>4</v>
      </c>
      <c r="E1087" s="456" t="s">
        <v>5</v>
      </c>
      <c r="F1087" s="459" t="s">
        <v>6</v>
      </c>
      <c r="G1087" s="458"/>
      <c r="H1087" s="458"/>
      <c r="I1087" s="458"/>
      <c r="J1087" s="458" t="s">
        <v>9</v>
      </c>
    </row>
    <row r="1088" spans="1:11" s="463" customFormat="1" ht="26.4" x14ac:dyDescent="0.25">
      <c r="A1088" s="487" t="s">
        <v>1042</v>
      </c>
      <c r="B1088" s="451" t="s">
        <v>770</v>
      </c>
      <c r="C1088" s="451" t="s">
        <v>13</v>
      </c>
      <c r="D1088" s="452" t="s">
        <v>771</v>
      </c>
      <c r="E1088" s="451" t="s">
        <v>14</v>
      </c>
      <c r="F1088" s="453"/>
      <c r="G1088" s="453"/>
      <c r="H1088" s="453"/>
      <c r="I1088" s="453"/>
      <c r="J1088" s="453"/>
    </row>
    <row r="1089" spans="1:11" x14ac:dyDescent="0.25">
      <c r="A1089" s="420"/>
      <c r="B1089" s="438"/>
      <c r="C1089" s="438"/>
      <c r="D1089" s="442" t="s">
        <v>755</v>
      </c>
      <c r="E1089" s="438"/>
      <c r="F1089" s="443">
        <v>6</v>
      </c>
      <c r="G1089" s="439"/>
      <c r="H1089" s="439"/>
      <c r="I1089" s="439"/>
      <c r="J1089" s="439">
        <v>6</v>
      </c>
      <c r="K1089" s="476"/>
    </row>
    <row r="1090" spans="1:11" x14ac:dyDescent="0.25">
      <c r="A1090" s="420"/>
      <c r="B1090" s="438"/>
      <c r="C1090" s="438"/>
      <c r="D1090" s="442"/>
      <c r="E1090" s="438"/>
      <c r="F1090" s="443"/>
      <c r="G1090" s="439"/>
      <c r="H1090" s="439"/>
      <c r="I1090" s="439"/>
      <c r="J1090" s="439"/>
      <c r="K1090" s="439"/>
    </row>
    <row r="1091" spans="1:11" x14ac:dyDescent="0.25">
      <c r="A1091" s="420"/>
      <c r="B1091" s="438"/>
      <c r="C1091" s="438"/>
      <c r="D1091" s="442"/>
      <c r="E1091" s="438"/>
      <c r="F1091" s="443"/>
      <c r="G1091" s="439"/>
      <c r="H1091" s="439"/>
      <c r="I1091" s="439"/>
      <c r="J1091" s="439"/>
      <c r="K1091" s="439"/>
    </row>
    <row r="1092" spans="1:11" s="462" customFormat="1" x14ac:dyDescent="0.25">
      <c r="A1092" s="491" t="s">
        <v>1</v>
      </c>
      <c r="B1092" s="456" t="s">
        <v>2</v>
      </c>
      <c r="C1092" s="456" t="s">
        <v>3</v>
      </c>
      <c r="D1092" s="457" t="s">
        <v>4</v>
      </c>
      <c r="E1092" s="456" t="s">
        <v>5</v>
      </c>
      <c r="F1092" s="459" t="s">
        <v>6</v>
      </c>
      <c r="G1092" s="458"/>
      <c r="H1092" s="458"/>
      <c r="I1092" s="458"/>
      <c r="J1092" s="458" t="s">
        <v>9</v>
      </c>
    </row>
    <row r="1093" spans="1:11" s="463" customFormat="1" ht="39.6" x14ac:dyDescent="0.25">
      <c r="A1093" s="487" t="s">
        <v>1043</v>
      </c>
      <c r="B1093" s="451">
        <v>90373</v>
      </c>
      <c r="C1093" s="451" t="s">
        <v>13</v>
      </c>
      <c r="D1093" s="452" t="s">
        <v>772</v>
      </c>
      <c r="E1093" s="451" t="s">
        <v>14</v>
      </c>
      <c r="F1093" s="453"/>
      <c r="G1093" s="453"/>
      <c r="H1093" s="453"/>
      <c r="I1093" s="453"/>
      <c r="J1093" s="453"/>
    </row>
    <row r="1094" spans="1:11" x14ac:dyDescent="0.25">
      <c r="A1094" s="420"/>
      <c r="B1094" s="438"/>
      <c r="C1094" s="438"/>
      <c r="D1094" s="442" t="s">
        <v>755</v>
      </c>
      <c r="E1094" s="438"/>
      <c r="F1094" s="443">
        <v>31</v>
      </c>
      <c r="G1094" s="439"/>
      <c r="H1094" s="439"/>
      <c r="I1094" s="439"/>
      <c r="J1094" s="439">
        <v>31</v>
      </c>
      <c r="K1094" s="476"/>
    </row>
    <row r="1095" spans="1:11" x14ac:dyDescent="0.25">
      <c r="A1095" s="420"/>
      <c r="B1095" s="438"/>
      <c r="C1095" s="438"/>
      <c r="D1095" s="442"/>
      <c r="E1095" s="438"/>
      <c r="F1095" s="443"/>
      <c r="G1095" s="439"/>
      <c r="H1095" s="439"/>
      <c r="I1095" s="439"/>
      <c r="J1095" s="439"/>
      <c r="K1095" s="439"/>
    </row>
    <row r="1096" spans="1:11" x14ac:dyDescent="0.25">
      <c r="A1096" s="420"/>
      <c r="B1096" s="438"/>
      <c r="C1096" s="438"/>
      <c r="D1096" s="442"/>
      <c r="E1096" s="438"/>
      <c r="F1096" s="443"/>
      <c r="G1096" s="439"/>
      <c r="H1096" s="439"/>
      <c r="I1096" s="439"/>
      <c r="J1096" s="439"/>
      <c r="K1096" s="439"/>
    </row>
    <row r="1097" spans="1:11" s="462" customFormat="1" x14ac:dyDescent="0.25">
      <c r="A1097" s="491" t="s">
        <v>1</v>
      </c>
      <c r="B1097" s="456" t="s">
        <v>2</v>
      </c>
      <c r="C1097" s="456" t="s">
        <v>3</v>
      </c>
      <c r="D1097" s="457" t="s">
        <v>4</v>
      </c>
      <c r="E1097" s="456" t="s">
        <v>5</v>
      </c>
      <c r="F1097" s="459" t="s">
        <v>6</v>
      </c>
      <c r="G1097" s="458" t="s">
        <v>62</v>
      </c>
      <c r="H1097" s="458" t="s">
        <v>61</v>
      </c>
      <c r="I1097" s="458" t="s">
        <v>189</v>
      </c>
      <c r="J1097" s="458" t="s">
        <v>9</v>
      </c>
    </row>
    <row r="1098" spans="1:11" s="463" customFormat="1" ht="26.4" x14ac:dyDescent="0.25">
      <c r="A1098" s="487" t="s">
        <v>1044</v>
      </c>
      <c r="B1098" s="451" t="s">
        <v>773</v>
      </c>
      <c r="C1098" s="451" t="s">
        <v>15</v>
      </c>
      <c r="D1098" s="452" t="s">
        <v>774</v>
      </c>
      <c r="E1098" s="451" t="s">
        <v>21</v>
      </c>
      <c r="F1098" s="453"/>
      <c r="G1098" s="453"/>
      <c r="H1098" s="453"/>
      <c r="I1098" s="453"/>
    </row>
    <row r="1099" spans="1:11" x14ac:dyDescent="0.25">
      <c r="A1099" s="420"/>
      <c r="B1099" s="438"/>
      <c r="C1099" s="438"/>
      <c r="J1099" s="486">
        <f>SUM(J1101:J1103)</f>
        <v>29.5</v>
      </c>
    </row>
    <row r="1100" spans="1:11" x14ac:dyDescent="0.25">
      <c r="A1100" s="420"/>
      <c r="B1100" s="438"/>
      <c r="C1100" s="438"/>
    </row>
    <row r="1101" spans="1:11" x14ac:dyDescent="0.25">
      <c r="A1101" s="420"/>
      <c r="B1101" s="438"/>
      <c r="C1101" s="438"/>
      <c r="D1101" s="442" t="s">
        <v>775</v>
      </c>
      <c r="E1101" s="443">
        <v>1</v>
      </c>
      <c r="F1101" s="443">
        <v>3</v>
      </c>
      <c r="G1101" s="443">
        <v>2.5</v>
      </c>
      <c r="H1101" s="443"/>
      <c r="I1101" s="443"/>
      <c r="J1101" s="443">
        <f>PRODUCT(E1101:I1101)</f>
        <v>7.5</v>
      </c>
    </row>
    <row r="1102" spans="1:11" x14ac:dyDescent="0.25">
      <c r="A1102" s="420"/>
      <c r="B1102" s="410"/>
      <c r="C1102" s="410"/>
      <c r="D1102" s="442" t="s">
        <v>776</v>
      </c>
      <c r="E1102" s="443">
        <v>2</v>
      </c>
      <c r="F1102" s="443">
        <v>3</v>
      </c>
      <c r="G1102" s="443"/>
      <c r="H1102" s="443">
        <v>2</v>
      </c>
      <c r="I1102" s="443"/>
      <c r="J1102" s="443">
        <f t="shared" ref="J1102:J1103" si="3">PRODUCT(E1102:I1102)</f>
        <v>12</v>
      </c>
      <c r="K1102" s="136"/>
    </row>
    <row r="1103" spans="1:11" x14ac:dyDescent="0.25">
      <c r="A1103" s="478"/>
      <c r="B1103" s="479"/>
      <c r="C1103" s="479"/>
      <c r="D1103" s="442" t="s">
        <v>777</v>
      </c>
      <c r="E1103" s="443">
        <v>2</v>
      </c>
      <c r="F1103" s="443">
        <v>2.5</v>
      </c>
      <c r="G1103" s="443"/>
      <c r="H1103" s="443">
        <v>2</v>
      </c>
      <c r="I1103" s="443"/>
      <c r="J1103" s="443">
        <f t="shared" si="3"/>
        <v>10</v>
      </c>
      <c r="K1103" s="136"/>
    </row>
    <row r="1104" spans="1:11" x14ac:dyDescent="0.25">
      <c r="A1104" s="75"/>
      <c r="B1104" s="65"/>
      <c r="C1104" s="65"/>
      <c r="D1104" s="124"/>
      <c r="E1104" s="125"/>
      <c r="F1104" s="146"/>
      <c r="G1104" s="147"/>
      <c r="H1104" s="147"/>
      <c r="I1104" s="147"/>
      <c r="J1104" s="127"/>
      <c r="K1104" s="136"/>
    </row>
    <row r="1105" spans="1:11" x14ac:dyDescent="0.25">
      <c r="A1105" s="75"/>
      <c r="B1105" s="65"/>
      <c r="C1105" s="65"/>
      <c r="D1105" s="124"/>
      <c r="E1105" s="125"/>
      <c r="F1105" s="146"/>
      <c r="G1105" s="147"/>
      <c r="H1105" s="147"/>
      <c r="I1105" s="147"/>
      <c r="J1105" s="127"/>
      <c r="K1105" s="136"/>
    </row>
    <row r="1106" spans="1:11" x14ac:dyDescent="0.25">
      <c r="A1106" s="55" t="s">
        <v>227</v>
      </c>
      <c r="B1106" s="56"/>
      <c r="C1106" s="56"/>
      <c r="D1106" s="55" t="s">
        <v>280</v>
      </c>
      <c r="E1106" s="55"/>
      <c r="F1106" s="57"/>
      <c r="G1106" s="58"/>
      <c r="H1106" s="59"/>
      <c r="I1106" s="60"/>
      <c r="J1106" s="62"/>
      <c r="K1106" s="136"/>
    </row>
    <row r="1107" spans="1:11" x14ac:dyDescent="0.25">
      <c r="A1107" s="143" t="s">
        <v>1</v>
      </c>
      <c r="B1107" s="21" t="s">
        <v>2</v>
      </c>
      <c r="C1107" s="28" t="s">
        <v>3</v>
      </c>
      <c r="D1107" s="2" t="s">
        <v>4</v>
      </c>
      <c r="E1107" s="4" t="s">
        <v>5</v>
      </c>
      <c r="F1107" s="3" t="s">
        <v>6</v>
      </c>
      <c r="G1107" s="38" t="s">
        <v>61</v>
      </c>
      <c r="H1107" s="39" t="s">
        <v>62</v>
      </c>
      <c r="I1107" s="39" t="s">
        <v>63</v>
      </c>
      <c r="J1107" s="69" t="s">
        <v>9</v>
      </c>
      <c r="K1107" s="136"/>
    </row>
    <row r="1108" spans="1:11" ht="42.75" customHeight="1" x14ac:dyDescent="0.25">
      <c r="A1108" s="7" t="s">
        <v>1045</v>
      </c>
      <c r="B1108" s="23">
        <f>ORÇAMENTO!B244</f>
        <v>104341</v>
      </c>
      <c r="C1108" s="23" t="str">
        <f>ORÇAMENTO!C244</f>
        <v>SINAPI</v>
      </c>
      <c r="D1108" s="139" t="str">
        <f>ORÇAMENTO!D244</f>
        <v>BUCHA DE REDUÇÃO LONGA, PVC, SÉRIE NORMAL, ESGOTO PREDIAL, DN 50 X 40 MM, JUNTA SOLDÁVEL E ELÁSTICA, FORNECIDO E INSTALADO EM RAMAL DE DESCARGA OU RAMAL DE ESGOTO SANITÁRIO. AF_08/2022</v>
      </c>
      <c r="E1108" s="140" t="s">
        <v>14</v>
      </c>
      <c r="F1108" s="8"/>
      <c r="G1108" s="63"/>
      <c r="H1108" s="33"/>
      <c r="I1108" s="63"/>
      <c r="J1108" s="46"/>
      <c r="K1108" s="136"/>
    </row>
    <row r="1109" spans="1:11" x14ac:dyDescent="0.25">
      <c r="A1109" s="10"/>
      <c r="B1109" s="30"/>
      <c r="C1109" s="30"/>
      <c r="D1109" s="36" t="s">
        <v>390</v>
      </c>
      <c r="E1109" s="12"/>
      <c r="F1109" s="122">
        <v>1</v>
      </c>
      <c r="G1109" s="31"/>
      <c r="H1109" s="31"/>
      <c r="I1109" s="31"/>
      <c r="J1109" s="52">
        <f>F1109</f>
        <v>1</v>
      </c>
      <c r="K1109" s="136"/>
    </row>
    <row r="1110" spans="1:11" x14ac:dyDescent="0.25">
      <c r="A1110" s="75"/>
      <c r="B1110" s="65"/>
      <c r="C1110" s="65"/>
      <c r="D1110" s="124"/>
      <c r="E1110" s="125"/>
      <c r="F1110" s="126"/>
      <c r="G1110" s="147"/>
      <c r="H1110" s="147"/>
      <c r="I1110" s="147"/>
      <c r="J1110" s="127"/>
      <c r="K1110" s="136"/>
    </row>
    <row r="1111" spans="1:11" x14ac:dyDescent="0.25">
      <c r="A1111" s="2" t="s">
        <v>1</v>
      </c>
      <c r="B1111" s="21" t="s">
        <v>2</v>
      </c>
      <c r="C1111" s="28" t="s">
        <v>3</v>
      </c>
      <c r="D1111" s="2" t="s">
        <v>4</v>
      </c>
      <c r="E1111" s="4" t="s">
        <v>5</v>
      </c>
      <c r="F1111" s="3" t="s">
        <v>6</v>
      </c>
      <c r="G1111" s="38" t="s">
        <v>61</v>
      </c>
      <c r="H1111" s="39" t="s">
        <v>62</v>
      </c>
      <c r="I1111" s="39" t="s">
        <v>63</v>
      </c>
      <c r="J1111" s="69" t="s">
        <v>9</v>
      </c>
      <c r="K1111" s="136"/>
    </row>
    <row r="1112" spans="1:11" ht="33.75" customHeight="1" x14ac:dyDescent="0.25">
      <c r="A1112" s="7" t="s">
        <v>1046</v>
      </c>
      <c r="B1112" s="23" t="str">
        <f>ORÇAMENTO!B245</f>
        <v>COMPOSIÇÃO 09</v>
      </c>
      <c r="C1112" s="23" t="str">
        <f>ORÇAMENTO!C245</f>
        <v>PRÓPRIO</v>
      </c>
      <c r="D1112" s="139" t="str">
        <f>ORÇAMENTO!D245</f>
        <v>CAIXA DE GORDURA SIMPLES RETANGULAR EM ALVENARIA COM TIJOLOS CERÂMICOS MACIÇOS, DIMENSÕES INTERNAS: 0,4X0,4X0,4 M PARA REDE DE ESGOTO. AF_12/2020</v>
      </c>
      <c r="E1112" s="140" t="s">
        <v>14</v>
      </c>
      <c r="F1112" s="8"/>
      <c r="G1112" s="63"/>
      <c r="H1112" s="33"/>
      <c r="I1112" s="63"/>
      <c r="J1112" s="46"/>
      <c r="K1112" s="136"/>
    </row>
    <row r="1113" spans="1:11" x14ac:dyDescent="0.25">
      <c r="A1113" s="10"/>
      <c r="B1113" s="30"/>
      <c r="C1113" s="30"/>
      <c r="D1113" s="36" t="s">
        <v>390</v>
      </c>
      <c r="E1113" s="12"/>
      <c r="F1113" s="122">
        <v>1</v>
      </c>
      <c r="G1113" s="31"/>
      <c r="H1113" s="31"/>
      <c r="I1113" s="31"/>
      <c r="J1113" s="52">
        <f>F1113</f>
        <v>1</v>
      </c>
      <c r="K1113" s="136"/>
    </row>
    <row r="1114" spans="1:11" x14ac:dyDescent="0.25">
      <c r="A1114" s="75"/>
      <c r="B1114" s="65"/>
      <c r="C1114" s="65"/>
      <c r="D1114" s="124"/>
      <c r="E1114" s="125"/>
      <c r="F1114" s="146"/>
      <c r="G1114" s="147"/>
      <c r="H1114" s="147"/>
      <c r="I1114" s="147"/>
      <c r="J1114" s="127"/>
      <c r="K1114" s="136"/>
    </row>
    <row r="1115" spans="1:11" x14ac:dyDescent="0.25">
      <c r="A1115" s="2" t="s">
        <v>1</v>
      </c>
      <c r="B1115" s="21" t="s">
        <v>2</v>
      </c>
      <c r="C1115" s="28" t="s">
        <v>3</v>
      </c>
      <c r="D1115" s="2" t="s">
        <v>4</v>
      </c>
      <c r="E1115" s="4" t="s">
        <v>5</v>
      </c>
      <c r="F1115" s="3" t="s">
        <v>6</v>
      </c>
      <c r="G1115" s="38" t="s">
        <v>61</v>
      </c>
      <c r="H1115" s="39" t="s">
        <v>62</v>
      </c>
      <c r="I1115" s="39" t="s">
        <v>63</v>
      </c>
      <c r="J1115" s="69" t="s">
        <v>9</v>
      </c>
      <c r="K1115" s="136"/>
    </row>
    <row r="1116" spans="1:11" ht="41.25" customHeight="1" x14ac:dyDescent="0.25">
      <c r="A1116" s="7" t="s">
        <v>1047</v>
      </c>
      <c r="B1116" s="23">
        <f>ORÇAMENTO!B246</f>
        <v>97902</v>
      </c>
      <c r="C1116" s="23" t="str">
        <f>ORÇAMENTO!C246</f>
        <v>SINAPI</v>
      </c>
      <c r="D1116" s="139" t="str">
        <f>ORÇAMENTO!D246</f>
        <v>CAIXA ENTERRADA HIDRÁULICA RETANGULAR EM ALVENARIA COM TIJOLOS CERÂMICOS MACIÇOS, DIMENSÕES INTERNAS: 0,6X0,6X0,6 M PARA REDE DE ESGOTO. AF_12/2020</v>
      </c>
      <c r="E1116" s="140" t="s">
        <v>14</v>
      </c>
      <c r="F1116" s="8"/>
      <c r="G1116" s="63"/>
      <c r="H1116" s="33"/>
      <c r="I1116" s="63"/>
      <c r="J1116" s="46"/>
      <c r="K1116" s="136"/>
    </row>
    <row r="1117" spans="1:11" x14ac:dyDescent="0.25">
      <c r="A1117" s="10"/>
      <c r="B1117" s="30"/>
      <c r="C1117" s="30"/>
      <c r="D1117" s="36" t="s">
        <v>390</v>
      </c>
      <c r="E1117" s="12"/>
      <c r="F1117" s="122">
        <v>8</v>
      </c>
      <c r="G1117" s="31"/>
      <c r="H1117" s="31"/>
      <c r="I1117" s="31"/>
      <c r="J1117" s="52">
        <f>F1117</f>
        <v>8</v>
      </c>
      <c r="K1117" s="136"/>
    </row>
    <row r="1118" spans="1:11" x14ac:dyDescent="0.25">
      <c r="A1118" s="75"/>
      <c r="B1118" s="65"/>
      <c r="C1118" s="65"/>
      <c r="D1118" s="124"/>
      <c r="E1118" s="125"/>
      <c r="F1118" s="146"/>
      <c r="G1118" s="147"/>
      <c r="H1118" s="147"/>
      <c r="I1118" s="147"/>
      <c r="J1118" s="127"/>
      <c r="K1118" s="136"/>
    </row>
    <row r="1119" spans="1:11" x14ac:dyDescent="0.25">
      <c r="A1119" s="2" t="s">
        <v>1</v>
      </c>
      <c r="B1119" s="21" t="s">
        <v>2</v>
      </c>
      <c r="C1119" s="28" t="s">
        <v>3</v>
      </c>
      <c r="D1119" s="2" t="s">
        <v>4</v>
      </c>
      <c r="E1119" s="4" t="s">
        <v>5</v>
      </c>
      <c r="F1119" s="3" t="s">
        <v>6</v>
      </c>
      <c r="G1119" s="38" t="s">
        <v>61</v>
      </c>
      <c r="H1119" s="39" t="s">
        <v>62</v>
      </c>
      <c r="I1119" s="39" t="s">
        <v>63</v>
      </c>
      <c r="J1119" s="69" t="s">
        <v>9</v>
      </c>
      <c r="K1119" s="136"/>
    </row>
    <row r="1120" spans="1:11" ht="42.75" customHeight="1" x14ac:dyDescent="0.25">
      <c r="A1120" s="7" t="s">
        <v>1048</v>
      </c>
      <c r="B1120" s="23">
        <f>ORÇAMENTO!B247</f>
        <v>104329</v>
      </c>
      <c r="C1120" s="23" t="str">
        <f>ORÇAMENTO!C247</f>
        <v>SINAPI</v>
      </c>
      <c r="D1120" s="139" t="str">
        <f>ORÇAMENTO!D247</f>
        <v>CAIXA SIFONADA, COM GRELHA REDONDA, PVC, DN 150 X 150 X 50 MM, JUNTA SOLDÁVEL, FORNECIDA E INSTALADA EM RAMAL DE DESCARGA OU EM RAMAL DE ESGOTO SANITÁRIO. AF_08/2022</v>
      </c>
      <c r="E1120" s="140" t="s">
        <v>14</v>
      </c>
      <c r="F1120" s="8"/>
      <c r="G1120" s="63"/>
      <c r="H1120" s="33"/>
      <c r="I1120" s="63"/>
      <c r="J1120" s="46"/>
      <c r="K1120" s="136"/>
    </row>
    <row r="1121" spans="1:11" x14ac:dyDescent="0.25">
      <c r="A1121" s="10"/>
      <c r="B1121" s="30"/>
      <c r="C1121" s="30"/>
      <c r="D1121" s="36" t="s">
        <v>390</v>
      </c>
      <c r="E1121" s="12"/>
      <c r="F1121" s="122">
        <v>13</v>
      </c>
      <c r="G1121" s="31"/>
      <c r="H1121" s="31"/>
      <c r="I1121" s="31"/>
      <c r="J1121" s="52">
        <f>F1121</f>
        <v>13</v>
      </c>
      <c r="K1121" s="136"/>
    </row>
    <row r="1122" spans="1:11" x14ac:dyDescent="0.25">
      <c r="A1122" s="75"/>
      <c r="B1122" s="65"/>
      <c r="C1122" s="65"/>
      <c r="D1122" s="124"/>
      <c r="E1122" s="125"/>
      <c r="F1122" s="146"/>
      <c r="G1122" s="147"/>
      <c r="H1122" s="147"/>
      <c r="I1122" s="147"/>
      <c r="J1122" s="127"/>
      <c r="K1122" s="136"/>
    </row>
    <row r="1123" spans="1:11" x14ac:dyDescent="0.25">
      <c r="A1123" s="2" t="s">
        <v>1</v>
      </c>
      <c r="B1123" s="21" t="s">
        <v>2</v>
      </c>
      <c r="C1123" s="28" t="s">
        <v>3</v>
      </c>
      <c r="D1123" s="2" t="s">
        <v>4</v>
      </c>
      <c r="E1123" s="4" t="s">
        <v>5</v>
      </c>
      <c r="F1123" s="3" t="s">
        <v>6</v>
      </c>
      <c r="G1123" s="38" t="s">
        <v>61</v>
      </c>
      <c r="H1123" s="39" t="s">
        <v>62</v>
      </c>
      <c r="I1123" s="39" t="s">
        <v>63</v>
      </c>
      <c r="J1123" s="69" t="s">
        <v>9</v>
      </c>
      <c r="K1123" s="136"/>
    </row>
    <row r="1124" spans="1:11" ht="42" customHeight="1" x14ac:dyDescent="0.25">
      <c r="A1124" s="7" t="s">
        <v>1049</v>
      </c>
      <c r="B1124" s="23">
        <f>ORÇAMENTO!B248</f>
        <v>89750</v>
      </c>
      <c r="C1124" s="23" t="str">
        <f>ORÇAMENTO!C248</f>
        <v>SINAPI</v>
      </c>
      <c r="D1124" s="139" t="str">
        <f>ORÇAMENTO!D248</f>
        <v>CURVA LONGA 90 GRAUS, PVC, SERIE NORMAL, ESGOTO PREDIAL, DN 100 MM, JUNTA ELÁSTICA, FORNECIDO E INSTALADO EM RAMAL DE DESCARGA OU RAMAL DE ESGOTO SANITÁRIO. AF_08/2022</v>
      </c>
      <c r="E1124" s="140" t="s">
        <v>14</v>
      </c>
      <c r="F1124" s="8"/>
      <c r="G1124" s="63"/>
      <c r="H1124" s="33"/>
      <c r="I1124" s="63"/>
      <c r="J1124" s="46"/>
      <c r="K1124" s="136"/>
    </row>
    <row r="1125" spans="1:11" x14ac:dyDescent="0.25">
      <c r="A1125" s="10"/>
      <c r="B1125" s="30"/>
      <c r="C1125" s="30"/>
      <c r="D1125" s="36" t="s">
        <v>390</v>
      </c>
      <c r="E1125" s="12"/>
      <c r="F1125" s="122">
        <v>7</v>
      </c>
      <c r="G1125" s="31"/>
      <c r="H1125" s="31"/>
      <c r="I1125" s="31"/>
      <c r="J1125" s="52">
        <f>F1125</f>
        <v>7</v>
      </c>
      <c r="K1125" s="136"/>
    </row>
    <row r="1126" spans="1:11" x14ac:dyDescent="0.25">
      <c r="A1126" s="75"/>
      <c r="B1126" s="65"/>
      <c r="C1126" s="65"/>
      <c r="D1126" s="124"/>
      <c r="E1126" s="125"/>
      <c r="F1126" s="146"/>
      <c r="G1126" s="147"/>
      <c r="H1126" s="147"/>
      <c r="I1126" s="147"/>
      <c r="J1126" s="127"/>
      <c r="K1126" s="136"/>
    </row>
    <row r="1127" spans="1:11" x14ac:dyDescent="0.25">
      <c r="A1127" s="2" t="s">
        <v>1</v>
      </c>
      <c r="B1127" s="21" t="s">
        <v>2</v>
      </c>
      <c r="C1127" s="28" t="s">
        <v>3</v>
      </c>
      <c r="D1127" s="2" t="s">
        <v>4</v>
      </c>
      <c r="E1127" s="4" t="s">
        <v>5</v>
      </c>
      <c r="F1127" s="3" t="s">
        <v>6</v>
      </c>
      <c r="G1127" s="38" t="s">
        <v>61</v>
      </c>
      <c r="H1127" s="39" t="s">
        <v>62</v>
      </c>
      <c r="I1127" s="39" t="s">
        <v>63</v>
      </c>
      <c r="J1127" s="69" t="s">
        <v>9</v>
      </c>
      <c r="K1127" s="136"/>
    </row>
    <row r="1128" spans="1:11" ht="42" customHeight="1" x14ac:dyDescent="0.25">
      <c r="A1128" s="7" t="s">
        <v>1050</v>
      </c>
      <c r="B1128" s="23">
        <f>ORÇAMENTO!B249</f>
        <v>89746</v>
      </c>
      <c r="C1128" s="23" t="str">
        <f>ORÇAMENTO!C249</f>
        <v>SINAPI</v>
      </c>
      <c r="D1128" s="139" t="str">
        <f>ORÇAMENTO!D249</f>
        <v>JOELHO 45 GRAUS, PVC, SERIE NORMAL, ESGOTO PREDIAL, DN 100 MM, JUNTA ELÁSTICA, FORNECIDO E INSTALADO EM RAMAL DE DESCARGA OU RAMAL DE ESGOTO SANITÁRIO. AF_08/2022</v>
      </c>
      <c r="E1128" s="140" t="s">
        <v>14</v>
      </c>
      <c r="F1128" s="8"/>
      <c r="G1128" s="63"/>
      <c r="H1128" s="33"/>
      <c r="I1128" s="63"/>
      <c r="J1128" s="46"/>
      <c r="K1128" s="136"/>
    </row>
    <row r="1129" spans="1:11" x14ac:dyDescent="0.25">
      <c r="A1129" s="10"/>
      <c r="B1129" s="30"/>
      <c r="C1129" s="30"/>
      <c r="D1129" s="36" t="s">
        <v>390</v>
      </c>
      <c r="E1129" s="12"/>
      <c r="F1129" s="122">
        <v>7</v>
      </c>
      <c r="G1129" s="31"/>
      <c r="H1129" s="31"/>
      <c r="I1129" s="31"/>
      <c r="J1129" s="52">
        <f>F1129</f>
        <v>7</v>
      </c>
      <c r="K1129" s="136"/>
    </row>
    <row r="1130" spans="1:11" x14ac:dyDescent="0.25">
      <c r="A1130" s="75"/>
      <c r="B1130" s="65"/>
      <c r="C1130" s="65"/>
      <c r="D1130" s="124"/>
      <c r="E1130" s="125"/>
      <c r="F1130" s="146"/>
      <c r="G1130" s="147"/>
      <c r="H1130" s="147"/>
      <c r="I1130" s="147"/>
      <c r="J1130" s="127"/>
      <c r="K1130" s="136"/>
    </row>
    <row r="1131" spans="1:11" x14ac:dyDescent="0.25">
      <c r="A1131" s="2" t="s">
        <v>1</v>
      </c>
      <c r="B1131" s="21" t="s">
        <v>2</v>
      </c>
      <c r="C1131" s="28" t="s">
        <v>3</v>
      </c>
      <c r="D1131" s="2" t="s">
        <v>4</v>
      </c>
      <c r="E1131" s="4" t="s">
        <v>5</v>
      </c>
      <c r="F1131" s="3" t="s">
        <v>6</v>
      </c>
      <c r="G1131" s="38" t="s">
        <v>61</v>
      </c>
      <c r="H1131" s="39" t="s">
        <v>62</v>
      </c>
      <c r="I1131" s="39" t="s">
        <v>63</v>
      </c>
      <c r="J1131" s="69" t="s">
        <v>9</v>
      </c>
      <c r="K1131" s="136"/>
    </row>
    <row r="1132" spans="1:11" ht="42.75" customHeight="1" x14ac:dyDescent="0.25">
      <c r="A1132" s="7" t="s">
        <v>1051</v>
      </c>
      <c r="B1132" s="23">
        <f>ORÇAMENTO!B250</f>
        <v>89726</v>
      </c>
      <c r="C1132" s="23" t="str">
        <f>ORÇAMENTO!C250</f>
        <v>SINAPI</v>
      </c>
      <c r="D1132" s="139" t="str">
        <f>ORÇAMENTO!D250</f>
        <v>JOELHO 45 GRAUS, PVC, SERIE NORMAL, ESGOTO PREDIAL, DN 40 MM, JUNTA SOLDÁVEL, FORNECIDO E INSTALADO EM RAMAL DE DESCARGA OU RAMAL DE ESGOTO SANITÁRIO. AF_08/2022</v>
      </c>
      <c r="E1132" s="140" t="s">
        <v>14</v>
      </c>
      <c r="F1132" s="8"/>
      <c r="G1132" s="63"/>
      <c r="H1132" s="33"/>
      <c r="I1132" s="63"/>
      <c r="J1132" s="46"/>
      <c r="K1132" s="136"/>
    </row>
    <row r="1133" spans="1:11" x14ac:dyDescent="0.25">
      <c r="A1133" s="10"/>
      <c r="B1133" s="30"/>
      <c r="C1133" s="30"/>
      <c r="D1133" s="36" t="s">
        <v>390</v>
      </c>
      <c r="E1133" s="12"/>
      <c r="F1133" s="122">
        <v>49</v>
      </c>
      <c r="G1133" s="31"/>
      <c r="H1133" s="31"/>
      <c r="I1133" s="31"/>
      <c r="J1133" s="52">
        <f>F1133</f>
        <v>49</v>
      </c>
      <c r="K1133" s="136"/>
    </row>
    <row r="1134" spans="1:11" x14ac:dyDescent="0.25">
      <c r="A1134" s="75"/>
      <c r="B1134" s="65"/>
      <c r="C1134" s="65"/>
      <c r="D1134" s="124"/>
      <c r="E1134" s="125"/>
      <c r="F1134" s="146"/>
      <c r="G1134" s="147"/>
      <c r="H1134" s="147"/>
      <c r="I1134" s="147"/>
      <c r="J1134" s="127"/>
      <c r="K1134" s="136"/>
    </row>
    <row r="1135" spans="1:11" x14ac:dyDescent="0.25">
      <c r="A1135" s="2" t="s">
        <v>1</v>
      </c>
      <c r="B1135" s="21" t="s">
        <v>2</v>
      </c>
      <c r="C1135" s="28" t="s">
        <v>3</v>
      </c>
      <c r="D1135" s="2" t="s">
        <v>4</v>
      </c>
      <c r="E1135" s="4" t="s">
        <v>5</v>
      </c>
      <c r="F1135" s="3" t="s">
        <v>6</v>
      </c>
      <c r="G1135" s="38" t="s">
        <v>61</v>
      </c>
      <c r="H1135" s="39" t="s">
        <v>62</v>
      </c>
      <c r="I1135" s="39" t="s">
        <v>63</v>
      </c>
      <c r="J1135" s="69" t="s">
        <v>9</v>
      </c>
      <c r="K1135" s="136"/>
    </row>
    <row r="1136" spans="1:11" ht="45.75" customHeight="1" x14ac:dyDescent="0.25">
      <c r="A1136" s="7" t="s">
        <v>1052</v>
      </c>
      <c r="B1136" s="23">
        <f>ORÇAMENTO!B251</f>
        <v>89732</v>
      </c>
      <c r="C1136" s="23" t="str">
        <f>ORÇAMENTO!C251</f>
        <v>SINAPI</v>
      </c>
      <c r="D1136" s="139" t="str">
        <f>ORÇAMENTO!D251</f>
        <v>JOELHO 45 GRAUS, PVC, SERIE NORMAL, ESGOTO PREDIAL, DN 50 MM, JUNTA ELÁSTICA, FORNECIDO E INSTALADO EM RAMAL DE DESCARGA OU RAMAL DE ESGOTO SANITÁRIO. AF_08/2022</v>
      </c>
      <c r="E1136" s="140" t="s">
        <v>14</v>
      </c>
      <c r="F1136" s="8"/>
      <c r="G1136" s="63"/>
      <c r="H1136" s="33"/>
      <c r="I1136" s="63"/>
      <c r="J1136" s="46"/>
      <c r="K1136" s="136"/>
    </row>
    <row r="1137" spans="1:11" x14ac:dyDescent="0.25">
      <c r="A1137" s="10"/>
      <c r="B1137" s="30"/>
      <c r="C1137" s="30"/>
      <c r="D1137" s="36" t="s">
        <v>390</v>
      </c>
      <c r="E1137" s="12"/>
      <c r="F1137" s="122">
        <v>17</v>
      </c>
      <c r="G1137" s="31"/>
      <c r="H1137" s="31"/>
      <c r="I1137" s="31"/>
      <c r="J1137" s="52">
        <f>F1137</f>
        <v>17</v>
      </c>
      <c r="K1137" s="136"/>
    </row>
    <row r="1138" spans="1:11" x14ac:dyDescent="0.25">
      <c r="A1138" s="75"/>
      <c r="B1138" s="65"/>
      <c r="C1138" s="65"/>
      <c r="D1138" s="124"/>
      <c r="E1138" s="125"/>
      <c r="F1138" s="146"/>
      <c r="G1138" s="147"/>
      <c r="H1138" s="147"/>
      <c r="I1138" s="147"/>
      <c r="J1138" s="127"/>
      <c r="K1138" s="136"/>
    </row>
    <row r="1139" spans="1:11" x14ac:dyDescent="0.25">
      <c r="A1139" s="2" t="s">
        <v>1</v>
      </c>
      <c r="B1139" s="21" t="s">
        <v>2</v>
      </c>
      <c r="C1139" s="28" t="s">
        <v>3</v>
      </c>
      <c r="D1139" s="2" t="s">
        <v>4</v>
      </c>
      <c r="E1139" s="4" t="s">
        <v>5</v>
      </c>
      <c r="F1139" s="3" t="s">
        <v>6</v>
      </c>
      <c r="G1139" s="38" t="s">
        <v>61</v>
      </c>
      <c r="H1139" s="39" t="s">
        <v>62</v>
      </c>
      <c r="I1139" s="39" t="s">
        <v>63</v>
      </c>
      <c r="J1139" s="69" t="s">
        <v>9</v>
      </c>
      <c r="K1139" s="136"/>
    </row>
    <row r="1140" spans="1:11" ht="43.5" customHeight="1" x14ac:dyDescent="0.25">
      <c r="A1140" s="7" t="s">
        <v>1053</v>
      </c>
      <c r="B1140" s="23">
        <f>ORÇAMENTO!B252</f>
        <v>89724</v>
      </c>
      <c r="C1140" s="23" t="str">
        <f>ORÇAMENTO!C252</f>
        <v>SINAPI</v>
      </c>
      <c r="D1140" s="139" t="str">
        <f>ORÇAMENTO!D252</f>
        <v>JOELHO 90 GRAUS, PVC, SERIE NORMAL, ESGOTO PREDIAL, DN 40 MM, JUNTA SOLDÁVEL, FORNECIDO E INSTALADO EM RAMAL DE DESCARGA OU RAMAL DE ESGOTO SANITÁRIO. AF_08/2022</v>
      </c>
      <c r="E1140" s="140" t="s">
        <v>14</v>
      </c>
      <c r="F1140" s="8"/>
      <c r="G1140" s="63"/>
      <c r="H1140" s="33"/>
      <c r="I1140" s="63"/>
      <c r="J1140" s="46"/>
      <c r="K1140" s="136"/>
    </row>
    <row r="1141" spans="1:11" x14ac:dyDescent="0.25">
      <c r="A1141" s="10"/>
      <c r="B1141" s="30"/>
      <c r="C1141" s="30"/>
      <c r="D1141" s="36" t="s">
        <v>390</v>
      </c>
      <c r="E1141" s="12"/>
      <c r="F1141" s="122">
        <v>11</v>
      </c>
      <c r="G1141" s="31"/>
      <c r="H1141" s="31"/>
      <c r="I1141" s="31"/>
      <c r="J1141" s="52">
        <f>F1141</f>
        <v>11</v>
      </c>
      <c r="K1141" s="136"/>
    </row>
    <row r="1142" spans="1:11" x14ac:dyDescent="0.25">
      <c r="A1142" s="75"/>
      <c r="B1142" s="65"/>
      <c r="C1142" s="65"/>
      <c r="D1142" s="124"/>
      <c r="E1142" s="125"/>
      <c r="F1142" s="146"/>
      <c r="G1142" s="147"/>
      <c r="H1142" s="147"/>
      <c r="I1142" s="147"/>
      <c r="J1142" s="127"/>
      <c r="K1142" s="136"/>
    </row>
    <row r="1143" spans="1:11" x14ac:dyDescent="0.25">
      <c r="A1143" s="2" t="s">
        <v>1</v>
      </c>
      <c r="B1143" s="21" t="s">
        <v>2</v>
      </c>
      <c r="C1143" s="28" t="s">
        <v>3</v>
      </c>
      <c r="D1143" s="2" t="s">
        <v>4</v>
      </c>
      <c r="E1143" s="4" t="s">
        <v>5</v>
      </c>
      <c r="F1143" s="3" t="s">
        <v>6</v>
      </c>
      <c r="G1143" s="38" t="s">
        <v>61</v>
      </c>
      <c r="H1143" s="39" t="s">
        <v>62</v>
      </c>
      <c r="I1143" s="39" t="s">
        <v>63</v>
      </c>
      <c r="J1143" s="69" t="s">
        <v>9</v>
      </c>
      <c r="K1143" s="136"/>
    </row>
    <row r="1144" spans="1:11" ht="41.25" customHeight="1" x14ac:dyDescent="0.25">
      <c r="A1144" s="7" t="s">
        <v>1054</v>
      </c>
      <c r="B1144" s="23">
        <f>ORÇAMENTO!B253</f>
        <v>89731</v>
      </c>
      <c r="C1144" s="23" t="str">
        <f>ORÇAMENTO!C253</f>
        <v>SINAPI</v>
      </c>
      <c r="D1144" s="139" t="str">
        <f>ORÇAMENTO!D253</f>
        <v>JOELHO 90 GRAUS, PVC, SERIE NORMAL, ESGOTO PREDIAL, DN 50 MM, JUNTA ELÁSTICA, FORNECIDO E INSTALADO EM RAMAL DE DESCARGA OU RAMAL DE ESGOTO SANITÁRIO. AF_08/2022</v>
      </c>
      <c r="E1144" s="140" t="s">
        <v>14</v>
      </c>
      <c r="F1144" s="8"/>
      <c r="G1144" s="63"/>
      <c r="H1144" s="33"/>
      <c r="I1144" s="63"/>
      <c r="J1144" s="46"/>
      <c r="K1144" s="136"/>
    </row>
    <row r="1145" spans="1:11" x14ac:dyDescent="0.25">
      <c r="A1145" s="10"/>
      <c r="B1145" s="30"/>
      <c r="C1145" s="30"/>
      <c r="D1145" s="36" t="s">
        <v>390</v>
      </c>
      <c r="E1145" s="12"/>
      <c r="F1145" s="122">
        <v>9</v>
      </c>
      <c r="G1145" s="31"/>
      <c r="H1145" s="31"/>
      <c r="I1145" s="31"/>
      <c r="J1145" s="52">
        <f>F1145</f>
        <v>9</v>
      </c>
      <c r="K1145" s="136"/>
    </row>
    <row r="1146" spans="1:11" x14ac:dyDescent="0.25">
      <c r="A1146" s="75"/>
      <c r="B1146" s="65"/>
      <c r="C1146" s="65"/>
      <c r="D1146" s="124"/>
      <c r="E1146" s="125"/>
      <c r="F1146" s="146"/>
      <c r="G1146" s="147"/>
      <c r="H1146" s="147"/>
      <c r="I1146" s="147"/>
      <c r="J1146" s="127"/>
      <c r="K1146" s="136"/>
    </row>
    <row r="1147" spans="1:11" x14ac:dyDescent="0.25">
      <c r="A1147" s="2" t="s">
        <v>1</v>
      </c>
      <c r="B1147" s="21" t="s">
        <v>2</v>
      </c>
      <c r="C1147" s="28" t="s">
        <v>3</v>
      </c>
      <c r="D1147" s="2" t="s">
        <v>4</v>
      </c>
      <c r="E1147" s="4" t="s">
        <v>5</v>
      </c>
      <c r="F1147" s="3" t="s">
        <v>6</v>
      </c>
      <c r="G1147" s="38" t="s">
        <v>61</v>
      </c>
      <c r="H1147" s="39" t="s">
        <v>62</v>
      </c>
      <c r="I1147" s="39" t="s">
        <v>63</v>
      </c>
      <c r="J1147" s="69" t="s">
        <v>9</v>
      </c>
      <c r="K1147" s="136"/>
    </row>
    <row r="1148" spans="1:11" ht="45" customHeight="1" x14ac:dyDescent="0.25">
      <c r="A1148" s="7" t="s">
        <v>1055</v>
      </c>
      <c r="B1148" s="23">
        <f>ORÇAMENTO!B254</f>
        <v>89801</v>
      </c>
      <c r="C1148" s="23" t="str">
        <f>ORÇAMENTO!C254</f>
        <v>SINAPI</v>
      </c>
      <c r="D1148" s="139" t="str">
        <f>ORÇAMENTO!D254</f>
        <v>JOELHO 90 GRAUS, PVC, SERIE NORMAL, ESGOTO PREDIAL, DN 50 MM, JUNTA ELÁSTICA, FORNECIDO E INSTALADO EM PRUMADA DE ESGOTO SANITÁRIO OU VENTILAÇÃO. AF_08/2022</v>
      </c>
      <c r="E1148" s="140" t="s">
        <v>14</v>
      </c>
      <c r="F1148" s="8"/>
      <c r="G1148" s="63"/>
      <c r="H1148" s="33"/>
      <c r="I1148" s="63"/>
      <c r="J1148" s="46"/>
      <c r="K1148" s="136"/>
    </row>
    <row r="1149" spans="1:11" x14ac:dyDescent="0.25">
      <c r="A1149" s="10"/>
      <c r="B1149" s="30"/>
      <c r="C1149" s="30"/>
      <c r="D1149" s="36" t="s">
        <v>390</v>
      </c>
      <c r="E1149" s="12"/>
      <c r="F1149" s="122">
        <v>25</v>
      </c>
      <c r="G1149" s="31"/>
      <c r="H1149" s="31"/>
      <c r="I1149" s="31"/>
      <c r="J1149" s="52">
        <f>F1149</f>
        <v>25</v>
      </c>
      <c r="K1149" s="136"/>
    </row>
    <row r="1150" spans="1:11" x14ac:dyDescent="0.25">
      <c r="A1150" s="75"/>
      <c r="B1150" s="65"/>
      <c r="C1150" s="65"/>
      <c r="D1150" s="124"/>
      <c r="E1150" s="125"/>
      <c r="F1150" s="146"/>
      <c r="G1150" s="147"/>
      <c r="H1150" s="147"/>
      <c r="I1150" s="147"/>
      <c r="J1150" s="127"/>
      <c r="K1150" s="136"/>
    </row>
    <row r="1151" spans="1:11" x14ac:dyDescent="0.25">
      <c r="A1151" s="2" t="s">
        <v>1</v>
      </c>
      <c r="B1151" s="21" t="s">
        <v>2</v>
      </c>
      <c r="C1151" s="28" t="s">
        <v>3</v>
      </c>
      <c r="D1151" s="2" t="s">
        <v>4</v>
      </c>
      <c r="E1151" s="4" t="s">
        <v>5</v>
      </c>
      <c r="F1151" s="3" t="s">
        <v>6</v>
      </c>
      <c r="G1151" s="38" t="s">
        <v>61</v>
      </c>
      <c r="H1151" s="39" t="s">
        <v>62</v>
      </c>
      <c r="I1151" s="39" t="s">
        <v>63</v>
      </c>
      <c r="J1151" s="69" t="s">
        <v>9</v>
      </c>
      <c r="K1151" s="136"/>
    </row>
    <row r="1152" spans="1:11" ht="42.75" customHeight="1" x14ac:dyDescent="0.25">
      <c r="A1152" s="7" t="s">
        <v>1056</v>
      </c>
      <c r="B1152" s="23">
        <f>ORÇAMENTO!B255</f>
        <v>89834</v>
      </c>
      <c r="C1152" s="23" t="str">
        <f>ORÇAMENTO!C255</f>
        <v>SINAPI</v>
      </c>
      <c r="D1152" s="139" t="str">
        <f>ORÇAMENTO!D255</f>
        <v>JUNÇÃO SIMPLES, PVC, SERIE NORMAL, ESGOTO PREDIAL, DN 100 X 100 MM, JUNTA ELÁSTICA, FORNECIDO E INSTALADO EM PRUMADA DE ESGOTO SANITÁRIO OU VENTILAÇÃO. AF_08/2022</v>
      </c>
      <c r="E1152" s="140" t="s">
        <v>14</v>
      </c>
      <c r="F1152" s="8"/>
      <c r="G1152" s="63"/>
      <c r="H1152" s="33"/>
      <c r="I1152" s="63"/>
      <c r="J1152" s="46"/>
      <c r="K1152" s="136"/>
    </row>
    <row r="1153" spans="1:11" x14ac:dyDescent="0.25">
      <c r="A1153" s="10"/>
      <c r="B1153" s="30"/>
      <c r="C1153" s="30"/>
      <c r="D1153" s="36" t="s">
        <v>390</v>
      </c>
      <c r="E1153" s="12"/>
      <c r="F1153" s="122">
        <v>5</v>
      </c>
      <c r="G1153" s="31"/>
      <c r="H1153" s="31"/>
      <c r="I1153" s="31"/>
      <c r="J1153" s="52">
        <f>F1153</f>
        <v>5</v>
      </c>
      <c r="K1153" s="136"/>
    </row>
    <row r="1154" spans="1:11" x14ac:dyDescent="0.25">
      <c r="A1154" s="75"/>
      <c r="B1154" s="65"/>
      <c r="C1154" s="65"/>
      <c r="D1154" s="124"/>
      <c r="E1154" s="125"/>
      <c r="F1154" s="146"/>
      <c r="G1154" s="147"/>
      <c r="H1154" s="147"/>
      <c r="I1154" s="147"/>
      <c r="J1154" s="127"/>
      <c r="K1154" s="136"/>
    </row>
    <row r="1155" spans="1:11" x14ac:dyDescent="0.25">
      <c r="A1155" s="2" t="s">
        <v>1</v>
      </c>
      <c r="B1155" s="21" t="s">
        <v>2</v>
      </c>
      <c r="C1155" s="28" t="s">
        <v>3</v>
      </c>
      <c r="D1155" s="2" t="s">
        <v>4</v>
      </c>
      <c r="E1155" s="4" t="s">
        <v>5</v>
      </c>
      <c r="F1155" s="3" t="s">
        <v>6</v>
      </c>
      <c r="G1155" s="38" t="s">
        <v>61</v>
      </c>
      <c r="H1155" s="39" t="s">
        <v>62</v>
      </c>
      <c r="I1155" s="39" t="s">
        <v>63</v>
      </c>
      <c r="J1155" s="69" t="s">
        <v>9</v>
      </c>
      <c r="K1155" s="136"/>
    </row>
    <row r="1156" spans="1:11" ht="42.75" customHeight="1" x14ac:dyDescent="0.25">
      <c r="A1156" s="7" t="s">
        <v>1057</v>
      </c>
      <c r="B1156" s="23">
        <f>ORÇAMENTO!B256</f>
        <v>104345</v>
      </c>
      <c r="C1156" s="23" t="str">
        <f>ORÇAMENTO!C256</f>
        <v>SINAPI</v>
      </c>
      <c r="D1156" s="139" t="str">
        <f>ORÇAMENTO!D256</f>
        <v>JUNÇÃO DE REDUÇÃO INVERTIDA, PVC, SÉRIE NORMAL, ESGOTO PREDIAL, DN 100 X 50 MM, JUNTA ELÁSTICA, FORNECIDO E INSTALADO EM RAMAL DE DESCARGA OU RAMAL DE ESGOTO SANITÁRIO. AF_08/2022</v>
      </c>
      <c r="E1156" s="140" t="s">
        <v>14</v>
      </c>
      <c r="F1156" s="8"/>
      <c r="G1156" s="63"/>
      <c r="H1156" s="33"/>
      <c r="I1156" s="63"/>
      <c r="J1156" s="46"/>
      <c r="K1156" s="136"/>
    </row>
    <row r="1157" spans="1:11" x14ac:dyDescent="0.25">
      <c r="A1157" s="10"/>
      <c r="B1157" s="30"/>
      <c r="C1157" s="30"/>
      <c r="D1157" s="36" t="s">
        <v>390</v>
      </c>
      <c r="E1157" s="12"/>
      <c r="F1157" s="122">
        <v>33</v>
      </c>
      <c r="G1157" s="31"/>
      <c r="H1157" s="31"/>
      <c r="I1157" s="31"/>
      <c r="J1157" s="52">
        <f>F1157</f>
        <v>33</v>
      </c>
      <c r="K1157" s="136"/>
    </row>
    <row r="1158" spans="1:11" x14ac:dyDescent="0.25">
      <c r="A1158" s="75"/>
      <c r="B1158" s="65"/>
      <c r="C1158" s="65"/>
      <c r="D1158" s="124"/>
      <c r="E1158" s="125"/>
      <c r="F1158" s="146"/>
      <c r="G1158" s="147"/>
      <c r="H1158" s="147"/>
      <c r="I1158" s="147"/>
      <c r="J1158" s="127"/>
      <c r="K1158" s="136"/>
    </row>
    <row r="1159" spans="1:11" x14ac:dyDescent="0.25">
      <c r="A1159" s="2" t="s">
        <v>1</v>
      </c>
      <c r="B1159" s="21" t="s">
        <v>2</v>
      </c>
      <c r="C1159" s="28" t="s">
        <v>3</v>
      </c>
      <c r="D1159" s="2" t="s">
        <v>4</v>
      </c>
      <c r="E1159" s="4" t="s">
        <v>5</v>
      </c>
      <c r="F1159" s="3" t="s">
        <v>6</v>
      </c>
      <c r="G1159" s="38" t="s">
        <v>61</v>
      </c>
      <c r="H1159" s="39" t="s">
        <v>62</v>
      </c>
      <c r="I1159" s="39" t="s">
        <v>63</v>
      </c>
      <c r="J1159" s="69" t="s">
        <v>9</v>
      </c>
      <c r="K1159" s="136"/>
    </row>
    <row r="1160" spans="1:11" ht="42" customHeight="1" x14ac:dyDescent="0.25">
      <c r="A1160" s="7" t="s">
        <v>1058</v>
      </c>
      <c r="B1160" s="23">
        <f>ORÇAMENTO!B257</f>
        <v>89783</v>
      </c>
      <c r="C1160" s="23" t="str">
        <f>ORÇAMENTO!C257</f>
        <v>SINAPI</v>
      </c>
      <c r="D1160" s="139" t="str">
        <f>ORÇAMENTO!D257</f>
        <v>JUNÇÃO SIMPLES, PVC, SERIE NORMAL, ESGOTO PREDIAL, DN 40 MM, JUNTA SOL UNDÁVEL, FORNECIDO E INSTALADO EM RAMAL DE DESCARGA OU RAMAL DE ESGOTO SANITÁRIO. AF_08/2022</v>
      </c>
      <c r="E1160" s="140" t="s">
        <v>14</v>
      </c>
      <c r="F1160" s="8"/>
      <c r="G1160" s="63"/>
      <c r="H1160" s="33"/>
      <c r="I1160" s="63"/>
      <c r="J1160" s="46"/>
      <c r="K1160" s="136"/>
    </row>
    <row r="1161" spans="1:11" x14ac:dyDescent="0.25">
      <c r="A1161" s="10"/>
      <c r="B1161" s="30"/>
      <c r="C1161" s="30"/>
      <c r="D1161" s="36" t="s">
        <v>390</v>
      </c>
      <c r="E1161" s="12"/>
      <c r="F1161" s="122">
        <v>6</v>
      </c>
      <c r="G1161" s="31"/>
      <c r="H1161" s="31"/>
      <c r="I1161" s="31"/>
      <c r="J1161" s="52">
        <f>F1161</f>
        <v>6</v>
      </c>
      <c r="K1161" s="136"/>
    </row>
    <row r="1162" spans="1:11" x14ac:dyDescent="0.25">
      <c r="A1162" s="75"/>
      <c r="B1162" s="65"/>
      <c r="C1162" s="65"/>
      <c r="D1162" s="124"/>
      <c r="E1162" s="125"/>
      <c r="F1162" s="146"/>
      <c r="G1162" s="147"/>
      <c r="H1162" s="147"/>
      <c r="I1162" s="147"/>
      <c r="J1162" s="127"/>
      <c r="K1162" s="136"/>
    </row>
    <row r="1163" spans="1:11" x14ac:dyDescent="0.25">
      <c r="A1163" s="2" t="s">
        <v>1</v>
      </c>
      <c r="B1163" s="21" t="s">
        <v>2</v>
      </c>
      <c r="C1163" s="28" t="s">
        <v>3</v>
      </c>
      <c r="D1163" s="2" t="s">
        <v>4</v>
      </c>
      <c r="E1163" s="4" t="s">
        <v>5</v>
      </c>
      <c r="F1163" s="3" t="s">
        <v>6</v>
      </c>
      <c r="G1163" s="38" t="s">
        <v>61</v>
      </c>
      <c r="H1163" s="39" t="s">
        <v>62</v>
      </c>
      <c r="I1163" s="39" t="s">
        <v>63</v>
      </c>
      <c r="J1163" s="69" t="s">
        <v>9</v>
      </c>
      <c r="K1163" s="136"/>
    </row>
    <row r="1164" spans="1:11" ht="42.75" customHeight="1" x14ac:dyDescent="0.25">
      <c r="A1164" s="7" t="s">
        <v>1059</v>
      </c>
      <c r="B1164" s="23">
        <f>ORÇAMENTO!B258</f>
        <v>104327</v>
      </c>
      <c r="C1164" s="23" t="str">
        <f>ORÇAMENTO!C258</f>
        <v>SINAPI</v>
      </c>
      <c r="D1164" s="139" t="str">
        <f>ORÇAMENTO!D258</f>
        <v>RALO SIFONADO REDONDO, PVC, DN 100 X 40 MM, JUNTA SOLDÁVEL, FORNECIDOE INSTALADO EM RAMAL DE DESCARGA OU EM RAMAL DE ESGOTO SANITÁRIO. AF_08/2022</v>
      </c>
      <c r="E1164" s="140" t="s">
        <v>14</v>
      </c>
      <c r="F1164" s="8"/>
      <c r="G1164" s="63"/>
      <c r="H1164" s="33"/>
      <c r="I1164" s="63"/>
      <c r="J1164" s="46"/>
      <c r="K1164" s="136"/>
    </row>
    <row r="1165" spans="1:11" x14ac:dyDescent="0.25">
      <c r="A1165" s="10"/>
      <c r="B1165" s="30"/>
      <c r="C1165" s="30"/>
      <c r="D1165" s="36" t="s">
        <v>390</v>
      </c>
      <c r="E1165" s="12"/>
      <c r="F1165" s="122">
        <v>3</v>
      </c>
      <c r="G1165" s="31"/>
      <c r="H1165" s="31"/>
      <c r="I1165" s="31"/>
      <c r="J1165" s="52">
        <f>F1165</f>
        <v>3</v>
      </c>
      <c r="K1165" s="136"/>
    </row>
    <row r="1166" spans="1:11" x14ac:dyDescent="0.25">
      <c r="A1166" s="75"/>
      <c r="B1166" s="65"/>
      <c r="C1166" s="65"/>
      <c r="D1166" s="124"/>
      <c r="E1166" s="125"/>
      <c r="F1166" s="146"/>
      <c r="G1166" s="147"/>
      <c r="H1166" s="147"/>
      <c r="I1166" s="147"/>
      <c r="J1166" s="127"/>
      <c r="K1166" s="136"/>
    </row>
    <row r="1167" spans="1:11" x14ac:dyDescent="0.25">
      <c r="A1167" s="2" t="s">
        <v>1</v>
      </c>
      <c r="B1167" s="21" t="s">
        <v>2</v>
      </c>
      <c r="C1167" s="28" t="s">
        <v>3</v>
      </c>
      <c r="D1167" s="2" t="s">
        <v>4</v>
      </c>
      <c r="E1167" s="4" t="s">
        <v>5</v>
      </c>
      <c r="F1167" s="3" t="s">
        <v>6</v>
      </c>
      <c r="G1167" s="38" t="s">
        <v>61</v>
      </c>
      <c r="H1167" s="39" t="s">
        <v>62</v>
      </c>
      <c r="I1167" s="39" t="s">
        <v>63</v>
      </c>
      <c r="J1167" s="69" t="s">
        <v>9</v>
      </c>
      <c r="K1167" s="136"/>
    </row>
    <row r="1168" spans="1:11" ht="42.75" customHeight="1" x14ac:dyDescent="0.25">
      <c r="A1168" s="7" t="s">
        <v>1060</v>
      </c>
      <c r="B1168" s="23">
        <f>ORÇAMENTO!B259</f>
        <v>104348</v>
      </c>
      <c r="C1168" s="23" t="str">
        <f>ORÇAMENTO!C259</f>
        <v>SINAPI</v>
      </c>
      <c r="D1168" s="139" t="str">
        <f>ORÇAMENTO!D259</f>
        <v>TERMINAL DE VENTILAÇÃO, PVC, SÉRIE NORMAL, ESGOTO PREDIAL, DN 50 MM, JUNTA SOLDÁVEL, FORNECIDO E INSTALADO EM PRUMADA DE ESGOTO SANITÁRIO OU VENTILAÇÃO. AF_08/2022</v>
      </c>
      <c r="E1168" s="140" t="s">
        <v>14</v>
      </c>
      <c r="F1168" s="8"/>
      <c r="G1168" s="63"/>
      <c r="H1168" s="33"/>
      <c r="I1168" s="63"/>
      <c r="J1168" s="46"/>
      <c r="K1168" s="136"/>
    </row>
    <row r="1169" spans="1:11" x14ac:dyDescent="0.25">
      <c r="A1169" s="10"/>
      <c r="B1169" s="30"/>
      <c r="C1169" s="30"/>
      <c r="D1169" s="36" t="s">
        <v>390</v>
      </c>
      <c r="E1169" s="12"/>
      <c r="F1169" s="122">
        <v>10</v>
      </c>
      <c r="G1169" s="31"/>
      <c r="H1169" s="31"/>
      <c r="I1169" s="31"/>
      <c r="J1169" s="52">
        <f>F1169</f>
        <v>10</v>
      </c>
      <c r="K1169" s="136"/>
    </row>
    <row r="1170" spans="1:11" x14ac:dyDescent="0.25">
      <c r="A1170" s="75"/>
      <c r="B1170" s="65"/>
      <c r="C1170" s="65"/>
      <c r="D1170" s="124"/>
      <c r="E1170" s="125"/>
      <c r="F1170" s="146"/>
      <c r="G1170" s="147"/>
      <c r="H1170" s="147"/>
      <c r="I1170" s="147"/>
      <c r="J1170" s="127"/>
      <c r="K1170" s="136"/>
    </row>
    <row r="1171" spans="1:11" x14ac:dyDescent="0.25">
      <c r="A1171" s="2" t="s">
        <v>1</v>
      </c>
      <c r="B1171" s="21" t="s">
        <v>2</v>
      </c>
      <c r="C1171" s="28" t="s">
        <v>3</v>
      </c>
      <c r="D1171" s="2" t="s">
        <v>4</v>
      </c>
      <c r="E1171" s="4" t="s">
        <v>5</v>
      </c>
      <c r="F1171" s="3" t="s">
        <v>6</v>
      </c>
      <c r="G1171" s="38" t="s">
        <v>61</v>
      </c>
      <c r="H1171" s="39" t="s">
        <v>62</v>
      </c>
      <c r="I1171" s="39" t="s">
        <v>63</v>
      </c>
      <c r="J1171" s="69" t="s">
        <v>9</v>
      </c>
      <c r="K1171" s="136"/>
    </row>
    <row r="1172" spans="1:11" ht="33" customHeight="1" x14ac:dyDescent="0.25">
      <c r="A1172" s="7" t="s">
        <v>1061</v>
      </c>
      <c r="B1172" s="23">
        <f>ORÇAMENTO!B260</f>
        <v>89711</v>
      </c>
      <c r="C1172" s="23" t="str">
        <f>ORÇAMENTO!C260</f>
        <v>SINAPI</v>
      </c>
      <c r="D1172" s="139" t="str">
        <f>ORÇAMENTO!D260</f>
        <v>TUBO PVC, SERIE NORMAL, ESGOTO PREDIAL, DN 40 MM, FORNECIDO E INSTALADO EM RAMAL DE DESCARGA OU RAMAL DE ESGOTO SANITÁRIO. AF_08/2022</v>
      </c>
      <c r="E1172" s="140" t="s">
        <v>16</v>
      </c>
      <c r="F1172" s="8"/>
      <c r="G1172" s="63"/>
      <c r="H1172" s="33"/>
      <c r="I1172" s="63"/>
      <c r="J1172" s="46"/>
      <c r="K1172" s="136"/>
    </row>
    <row r="1173" spans="1:11" x14ac:dyDescent="0.25">
      <c r="A1173" s="10"/>
      <c r="B1173" s="30"/>
      <c r="C1173" s="30"/>
      <c r="D1173" s="36" t="s">
        <v>390</v>
      </c>
      <c r="E1173" s="12"/>
      <c r="F1173" s="122">
        <v>62.2</v>
      </c>
      <c r="G1173" s="31"/>
      <c r="H1173" s="31"/>
      <c r="I1173" s="31"/>
      <c r="J1173" s="52">
        <f>F1173</f>
        <v>62.2</v>
      </c>
      <c r="K1173" s="136"/>
    </row>
    <row r="1174" spans="1:11" x14ac:dyDescent="0.25">
      <c r="A1174" s="75"/>
      <c r="B1174" s="65"/>
      <c r="C1174" s="65"/>
      <c r="D1174" s="124"/>
      <c r="E1174" s="125"/>
      <c r="F1174" s="146"/>
      <c r="G1174" s="147"/>
      <c r="H1174" s="147"/>
      <c r="I1174" s="147"/>
      <c r="J1174" s="127"/>
      <c r="K1174" s="136"/>
    </row>
    <row r="1175" spans="1:11" x14ac:dyDescent="0.25">
      <c r="A1175" s="2" t="s">
        <v>1</v>
      </c>
      <c r="B1175" s="21" t="s">
        <v>2</v>
      </c>
      <c r="C1175" s="28" t="s">
        <v>3</v>
      </c>
      <c r="D1175" s="2" t="s">
        <v>4</v>
      </c>
      <c r="E1175" s="4" t="s">
        <v>5</v>
      </c>
      <c r="F1175" s="3" t="s">
        <v>6</v>
      </c>
      <c r="G1175" s="38" t="s">
        <v>61</v>
      </c>
      <c r="H1175" s="39" t="s">
        <v>62</v>
      </c>
      <c r="I1175" s="39" t="s">
        <v>63</v>
      </c>
      <c r="J1175" s="69" t="s">
        <v>9</v>
      </c>
      <c r="K1175" s="136"/>
    </row>
    <row r="1176" spans="1:11" ht="33" customHeight="1" x14ac:dyDescent="0.25">
      <c r="A1176" s="7" t="s">
        <v>1062</v>
      </c>
      <c r="B1176" s="23">
        <f>ORÇAMENTO!B261</f>
        <v>89712</v>
      </c>
      <c r="C1176" s="23" t="str">
        <f>ORÇAMENTO!C261</f>
        <v>SINAPI</v>
      </c>
      <c r="D1176" s="139" t="str">
        <f>ORÇAMENTO!D261</f>
        <v>TUBO PVC, SERIE NORMAL, ESGOTO PREDIAL, DN 50 MM, FORNECIDO E INSTALADO EM RAMAL DE DESCARGA OU RAMAL DE ESGOTO SANITÁRIO. AF_08/2022</v>
      </c>
      <c r="E1176" s="140" t="s">
        <v>16</v>
      </c>
      <c r="F1176" s="8"/>
      <c r="G1176" s="63"/>
      <c r="H1176" s="33"/>
      <c r="I1176" s="63"/>
      <c r="J1176" s="46"/>
      <c r="K1176" s="136"/>
    </row>
    <row r="1177" spans="1:11" x14ac:dyDescent="0.25">
      <c r="A1177" s="10"/>
      <c r="B1177" s="30"/>
      <c r="C1177" s="30"/>
      <c r="D1177" s="36" t="s">
        <v>390</v>
      </c>
      <c r="E1177" s="12"/>
      <c r="F1177" s="122">
        <v>21.59</v>
      </c>
      <c r="G1177" s="31"/>
      <c r="H1177" s="31"/>
      <c r="I1177" s="31"/>
      <c r="J1177" s="52">
        <f>F1177</f>
        <v>21.59</v>
      </c>
      <c r="K1177" s="136"/>
    </row>
    <row r="1178" spans="1:11" x14ac:dyDescent="0.25">
      <c r="A1178" s="75"/>
      <c r="B1178" s="65"/>
      <c r="C1178" s="65"/>
      <c r="D1178" s="76"/>
      <c r="E1178" s="125"/>
      <c r="F1178" s="146"/>
      <c r="G1178" s="147"/>
      <c r="H1178" s="147"/>
      <c r="I1178" s="147"/>
      <c r="J1178" s="127"/>
      <c r="K1178" s="136"/>
    </row>
    <row r="1179" spans="1:11" x14ac:dyDescent="0.25">
      <c r="A1179" s="2" t="s">
        <v>1</v>
      </c>
      <c r="B1179" s="21" t="s">
        <v>2</v>
      </c>
      <c r="C1179" s="28" t="s">
        <v>3</v>
      </c>
      <c r="D1179" s="2" t="s">
        <v>4</v>
      </c>
      <c r="E1179" s="4" t="s">
        <v>5</v>
      </c>
      <c r="F1179" s="3" t="s">
        <v>6</v>
      </c>
      <c r="G1179" s="38" t="s">
        <v>61</v>
      </c>
      <c r="H1179" s="39" t="s">
        <v>62</v>
      </c>
      <c r="I1179" s="39" t="s">
        <v>63</v>
      </c>
      <c r="J1179" s="69" t="s">
        <v>9</v>
      </c>
      <c r="K1179" s="136"/>
    </row>
    <row r="1180" spans="1:11" ht="30.75" customHeight="1" x14ac:dyDescent="0.25">
      <c r="A1180" s="16" t="s">
        <v>1063</v>
      </c>
      <c r="B1180" s="23">
        <f>ORÇAMENTO!B262</f>
        <v>89713</v>
      </c>
      <c r="C1180" s="23" t="str">
        <f>ORÇAMENTO!C262</f>
        <v>SINAPI</v>
      </c>
      <c r="D1180" s="139" t="str">
        <f>ORÇAMENTO!D262</f>
        <v>TUBO PVC, SERIE NORMAL, ESGOTO PREDIAL, DN 75 MM, FORNECIDO E INSTALADO EM RAMAL DE DESCARGA OU RAMAL DE ESGOTO SANITÁRIO. AF_08/2022</v>
      </c>
      <c r="E1180" s="140" t="s">
        <v>16</v>
      </c>
      <c r="F1180" s="8"/>
      <c r="G1180" s="63"/>
      <c r="H1180" s="33"/>
      <c r="I1180" s="63"/>
      <c r="J1180" s="46"/>
      <c r="K1180" s="136"/>
    </row>
    <row r="1181" spans="1:11" x14ac:dyDescent="0.25">
      <c r="A1181" s="10"/>
      <c r="B1181" s="30"/>
      <c r="C1181" s="30"/>
      <c r="D1181" s="36" t="s">
        <v>390</v>
      </c>
      <c r="E1181" s="12"/>
      <c r="F1181" s="122">
        <v>1.2</v>
      </c>
      <c r="G1181" s="31"/>
      <c r="H1181" s="31"/>
      <c r="I1181" s="31"/>
      <c r="J1181" s="52">
        <f>F1181</f>
        <v>1.2</v>
      </c>
      <c r="K1181" s="136"/>
    </row>
    <row r="1182" spans="1:11" x14ac:dyDescent="0.25">
      <c r="A1182" s="75"/>
      <c r="B1182" s="65"/>
      <c r="C1182" s="65"/>
      <c r="D1182" s="76"/>
      <c r="E1182" s="125"/>
      <c r="F1182" s="146"/>
      <c r="G1182" s="147"/>
      <c r="H1182" s="147"/>
      <c r="I1182" s="147"/>
      <c r="J1182" s="127"/>
      <c r="K1182" s="136"/>
    </row>
    <row r="1183" spans="1:11" x14ac:dyDescent="0.25">
      <c r="A1183" s="538" t="s">
        <v>1</v>
      </c>
      <c r="B1183" s="21" t="s">
        <v>2</v>
      </c>
      <c r="C1183" s="28" t="s">
        <v>3</v>
      </c>
      <c r="D1183" s="2" t="s">
        <v>4</v>
      </c>
      <c r="E1183" s="4" t="s">
        <v>5</v>
      </c>
      <c r="F1183" s="378" t="s">
        <v>6</v>
      </c>
      <c r="G1183" s="38" t="s">
        <v>61</v>
      </c>
      <c r="H1183" s="39" t="s">
        <v>62</v>
      </c>
      <c r="I1183" s="39" t="s">
        <v>63</v>
      </c>
      <c r="J1183" s="69" t="s">
        <v>9</v>
      </c>
      <c r="K1183" s="136"/>
    </row>
    <row r="1184" spans="1:11" ht="33.75" customHeight="1" x14ac:dyDescent="0.25">
      <c r="A1184" s="16" t="s">
        <v>1064</v>
      </c>
      <c r="B1184" s="23">
        <f>ORÇAMENTO!B263</f>
        <v>89714</v>
      </c>
      <c r="C1184" s="23" t="str">
        <f>ORÇAMENTO!C263</f>
        <v>SINAPI</v>
      </c>
      <c r="D1184" s="139" t="str">
        <f>ORÇAMENTO!D263</f>
        <v>TUBO PVC, SERIE NORMAL, ESGOTO PREDIAL, DN 100 MM, FORNECIDO E INSTALADO EM RAMAL DE DESCARGA OU RAMAL DE ESGOTO SANITÁRIO. AF_08/2022</v>
      </c>
      <c r="E1184" s="140" t="s">
        <v>16</v>
      </c>
      <c r="F1184" s="8"/>
      <c r="G1184" s="63"/>
      <c r="H1184" s="33"/>
      <c r="I1184" s="63"/>
      <c r="J1184" s="46"/>
      <c r="K1184" s="136"/>
    </row>
    <row r="1185" spans="1:11" x14ac:dyDescent="0.25">
      <c r="A1185" s="10"/>
      <c r="B1185" s="30"/>
      <c r="C1185" s="30"/>
      <c r="D1185" s="36" t="s">
        <v>390</v>
      </c>
      <c r="E1185" s="12"/>
      <c r="F1185" s="122">
        <v>78.150000000000006</v>
      </c>
      <c r="G1185" s="31"/>
      <c r="H1185" s="31"/>
      <c r="I1185" s="31"/>
      <c r="J1185" s="52">
        <f>F1185+F1186</f>
        <v>103.15</v>
      </c>
      <c r="K1185" s="136"/>
    </row>
    <row r="1186" spans="1:11" x14ac:dyDescent="0.25">
      <c r="A1186" s="75"/>
      <c r="B1186" s="65"/>
      <c r="C1186" s="65"/>
      <c r="D1186" s="76" t="s">
        <v>778</v>
      </c>
      <c r="E1186" s="125"/>
      <c r="F1186" s="146">
        <v>25</v>
      </c>
      <c r="G1186" s="147"/>
      <c r="H1186" s="147"/>
      <c r="I1186" s="147"/>
      <c r="J1186" s="127"/>
      <c r="K1186" s="136"/>
    </row>
    <row r="1187" spans="1:11" x14ac:dyDescent="0.25">
      <c r="A1187" s="420"/>
      <c r="B1187" s="410"/>
      <c r="C1187" s="410"/>
      <c r="D1187" s="422"/>
      <c r="E1187" s="423"/>
      <c r="F1187" s="484"/>
      <c r="G1187" s="485"/>
      <c r="H1187" s="485"/>
      <c r="I1187" s="485"/>
      <c r="J1187" s="426"/>
      <c r="K1187" s="136"/>
    </row>
    <row r="1188" spans="1:11" s="462" customFormat="1" x14ac:dyDescent="0.25">
      <c r="A1188" s="455" t="s">
        <v>1</v>
      </c>
      <c r="B1188" s="456" t="s">
        <v>2</v>
      </c>
      <c r="C1188" s="456" t="s">
        <v>3</v>
      </c>
      <c r="D1188" s="457" t="s">
        <v>4</v>
      </c>
      <c r="E1188" s="456" t="s">
        <v>5</v>
      </c>
      <c r="F1188" s="459" t="s">
        <v>6</v>
      </c>
      <c r="G1188" s="458"/>
      <c r="H1188" s="458"/>
      <c r="I1188" s="458"/>
      <c r="J1188" s="459" t="s">
        <v>9</v>
      </c>
    </row>
    <row r="1189" spans="1:11" s="463" customFormat="1" ht="26.4" x14ac:dyDescent="0.25">
      <c r="A1189" s="450" t="s">
        <v>1065</v>
      </c>
      <c r="B1189" s="451" t="s">
        <v>793</v>
      </c>
      <c r="C1189" s="451" t="s">
        <v>13</v>
      </c>
      <c r="D1189" s="466" t="s">
        <v>779</v>
      </c>
      <c r="E1189" s="451" t="s">
        <v>14</v>
      </c>
      <c r="F1189" s="453"/>
      <c r="G1189" s="453"/>
      <c r="H1189" s="488"/>
      <c r="I1189" s="453"/>
    </row>
    <row r="1190" spans="1:11" x14ac:dyDescent="0.25">
      <c r="A1190" s="440"/>
      <c r="B1190" s="441"/>
      <c r="C1190" s="441"/>
      <c r="D1190" s="447" t="s">
        <v>794</v>
      </c>
      <c r="E1190" s="441"/>
      <c r="F1190" s="443">
        <v>9</v>
      </c>
      <c r="G1190" s="443"/>
      <c r="H1190" s="496"/>
      <c r="I1190" s="443"/>
      <c r="J1190" s="465">
        <f>SUM(F1190)</f>
        <v>9</v>
      </c>
    </row>
    <row r="1191" spans="1:11" x14ac:dyDescent="0.25">
      <c r="A1191" s="440"/>
      <c r="B1191" s="441"/>
      <c r="C1191" s="441"/>
      <c r="D1191" s="447"/>
      <c r="E1191" s="441"/>
      <c r="F1191" s="443"/>
      <c r="G1191" s="443"/>
      <c r="H1191" s="496"/>
      <c r="I1191" s="443"/>
      <c r="J1191" s="443"/>
    </row>
    <row r="1192" spans="1:11" s="462" customFormat="1" x14ac:dyDescent="0.25">
      <c r="A1192" s="455" t="s">
        <v>1</v>
      </c>
      <c r="B1192" s="456" t="s">
        <v>2</v>
      </c>
      <c r="C1192" s="456" t="s">
        <v>3</v>
      </c>
      <c r="D1192" s="457" t="s">
        <v>4</v>
      </c>
      <c r="E1192" s="456" t="s">
        <v>5</v>
      </c>
      <c r="F1192" s="459" t="s">
        <v>6</v>
      </c>
      <c r="G1192" s="458"/>
      <c r="H1192" s="458"/>
      <c r="I1192" s="458"/>
      <c r="J1192" s="459" t="s">
        <v>9</v>
      </c>
    </row>
    <row r="1193" spans="1:11" s="463" customFormat="1" ht="26.4" x14ac:dyDescent="0.25">
      <c r="A1193" s="450" t="s">
        <v>1066</v>
      </c>
      <c r="B1193" s="451" t="s">
        <v>795</v>
      </c>
      <c r="C1193" s="451" t="s">
        <v>13</v>
      </c>
      <c r="D1193" s="466" t="s">
        <v>780</v>
      </c>
      <c r="E1193" s="467" t="s">
        <v>14</v>
      </c>
      <c r="F1193" s="453"/>
      <c r="G1193" s="453"/>
      <c r="H1193" s="488"/>
      <c r="I1193" s="453"/>
    </row>
    <row r="1194" spans="1:11" x14ac:dyDescent="0.25">
      <c r="A1194" s="440"/>
      <c r="B1194" s="441"/>
      <c r="C1194" s="441"/>
      <c r="D1194" s="447" t="s">
        <v>794</v>
      </c>
      <c r="E1194" s="446"/>
      <c r="F1194" s="443">
        <v>9</v>
      </c>
      <c r="G1194" s="443"/>
      <c r="H1194" s="443"/>
      <c r="I1194" s="443"/>
      <c r="J1194" s="465">
        <f>SUM(F1194:F1196)</f>
        <v>17</v>
      </c>
    </row>
    <row r="1195" spans="1:11" x14ac:dyDescent="0.25">
      <c r="A1195" s="440"/>
      <c r="B1195" s="441"/>
      <c r="C1195" s="441"/>
      <c r="D1195" s="447" t="s">
        <v>796</v>
      </c>
      <c r="E1195" s="446"/>
      <c r="F1195" s="443">
        <v>7</v>
      </c>
      <c r="G1195" s="443"/>
      <c r="H1195" s="443"/>
      <c r="I1195" s="443"/>
      <c r="J1195" s="443"/>
    </row>
    <row r="1196" spans="1:11" x14ac:dyDescent="0.25">
      <c r="A1196" s="440"/>
      <c r="B1196" s="441"/>
      <c r="C1196" s="441"/>
      <c r="D1196" s="447" t="s">
        <v>797</v>
      </c>
      <c r="E1196" s="446"/>
      <c r="F1196" s="443">
        <v>1</v>
      </c>
      <c r="G1196" s="443"/>
      <c r="H1196" s="443"/>
      <c r="I1196" s="443"/>
      <c r="J1196" s="443"/>
    </row>
    <row r="1197" spans="1:11" x14ac:dyDescent="0.25">
      <c r="A1197" s="440"/>
      <c r="B1197" s="441"/>
      <c r="C1197" s="441"/>
      <c r="D1197" s="447"/>
      <c r="E1197" s="446"/>
      <c r="F1197" s="443"/>
      <c r="G1197" s="443"/>
      <c r="H1197" s="443"/>
      <c r="I1197" s="443"/>
      <c r="J1197" s="443"/>
    </row>
    <row r="1198" spans="1:11" s="462" customFormat="1" x14ac:dyDescent="0.25">
      <c r="A1198" s="455" t="s">
        <v>1</v>
      </c>
      <c r="B1198" s="456" t="s">
        <v>2</v>
      </c>
      <c r="C1198" s="456" t="s">
        <v>3</v>
      </c>
      <c r="D1198" s="457" t="s">
        <v>4</v>
      </c>
      <c r="E1198" s="456" t="s">
        <v>5</v>
      </c>
      <c r="F1198" s="459" t="s">
        <v>6</v>
      </c>
      <c r="G1198" s="458"/>
      <c r="H1198" s="458"/>
      <c r="I1198" s="458"/>
      <c r="J1198" s="459" t="s">
        <v>9</v>
      </c>
    </row>
    <row r="1199" spans="1:11" s="463" customFormat="1" ht="39.6" x14ac:dyDescent="0.25">
      <c r="A1199" s="450" t="s">
        <v>1067</v>
      </c>
      <c r="B1199" s="451" t="s">
        <v>798</v>
      </c>
      <c r="C1199" s="451" t="s">
        <v>13</v>
      </c>
      <c r="D1199" s="466" t="s">
        <v>781</v>
      </c>
      <c r="E1199" s="451" t="s">
        <v>14</v>
      </c>
      <c r="F1199" s="453"/>
      <c r="G1199" s="453"/>
      <c r="H1199" s="453"/>
      <c r="I1199" s="453"/>
    </row>
    <row r="1200" spans="1:11" x14ac:dyDescent="0.25">
      <c r="A1200" s="440"/>
      <c r="B1200" s="441"/>
      <c r="C1200" s="441"/>
      <c r="D1200" s="442" t="s">
        <v>799</v>
      </c>
      <c r="E1200" s="441"/>
      <c r="F1200" s="443">
        <v>21</v>
      </c>
      <c r="G1200" s="443"/>
      <c r="H1200" s="443"/>
      <c r="I1200" s="443"/>
      <c r="J1200" s="465">
        <f>SUM(F1200)</f>
        <v>21</v>
      </c>
    </row>
    <row r="1201" spans="1:10" x14ac:dyDescent="0.25">
      <c r="A1201" s="440"/>
      <c r="B1201" s="441"/>
      <c r="C1201" s="441"/>
      <c r="D1201" s="442"/>
      <c r="E1201" s="441"/>
      <c r="F1201" s="443"/>
      <c r="G1201" s="443"/>
      <c r="H1201" s="443"/>
      <c r="I1201" s="443"/>
      <c r="J1201" s="443"/>
    </row>
    <row r="1202" spans="1:10" s="461" customFormat="1" x14ac:dyDescent="0.25">
      <c r="A1202" s="497" t="s">
        <v>1</v>
      </c>
      <c r="B1202" s="489" t="s">
        <v>2</v>
      </c>
      <c r="C1202" s="489" t="s">
        <v>3</v>
      </c>
      <c r="D1202" s="457" t="s">
        <v>4</v>
      </c>
      <c r="E1202" s="489" t="s">
        <v>5</v>
      </c>
      <c r="F1202" s="498" t="s">
        <v>6</v>
      </c>
      <c r="G1202" s="490"/>
      <c r="H1202" s="490"/>
      <c r="I1202" s="490"/>
      <c r="J1202" s="498" t="s">
        <v>9</v>
      </c>
    </row>
    <row r="1203" spans="1:10" s="463" customFormat="1" ht="26.4" x14ac:dyDescent="0.25">
      <c r="A1203" s="450" t="s">
        <v>1068</v>
      </c>
      <c r="B1203" s="451" t="s">
        <v>800</v>
      </c>
      <c r="C1203" s="451" t="s">
        <v>581</v>
      </c>
      <c r="D1203" s="466" t="s">
        <v>782</v>
      </c>
      <c r="E1203" s="451" t="s">
        <v>783</v>
      </c>
      <c r="F1203" s="453"/>
      <c r="G1203" s="453"/>
      <c r="H1203" s="488"/>
      <c r="I1203" s="453"/>
    </row>
    <row r="1204" spans="1:10" x14ac:dyDescent="0.25">
      <c r="A1204" s="440"/>
      <c r="B1204" s="441"/>
      <c r="C1204" s="441"/>
      <c r="D1204" s="442" t="s">
        <v>799</v>
      </c>
      <c r="E1204" s="441"/>
      <c r="F1204" s="443">
        <v>15</v>
      </c>
      <c r="G1204" s="443"/>
      <c r="H1204" s="443"/>
      <c r="I1204" s="443"/>
      <c r="J1204" s="465">
        <f>SUM(F1204)</f>
        <v>15</v>
      </c>
    </row>
    <row r="1205" spans="1:10" x14ac:dyDescent="0.25">
      <c r="A1205" s="440"/>
      <c r="B1205" s="441"/>
      <c r="C1205" s="441"/>
      <c r="D1205" s="442"/>
      <c r="E1205" s="441"/>
      <c r="F1205" s="443"/>
      <c r="G1205" s="443"/>
      <c r="H1205" s="443"/>
      <c r="I1205" s="443"/>
      <c r="J1205" s="443"/>
    </row>
    <row r="1206" spans="1:10" s="462" customFormat="1" x14ac:dyDescent="0.25">
      <c r="A1206" s="455" t="s">
        <v>1</v>
      </c>
      <c r="B1206" s="456" t="s">
        <v>2</v>
      </c>
      <c r="C1206" s="456" t="s">
        <v>3</v>
      </c>
      <c r="D1206" s="457" t="s">
        <v>4</v>
      </c>
      <c r="E1206" s="456" t="s">
        <v>5</v>
      </c>
      <c r="F1206" s="459" t="s">
        <v>6</v>
      </c>
      <c r="G1206" s="458"/>
      <c r="H1206" s="458"/>
      <c r="I1206" s="458"/>
      <c r="J1206" s="459" t="s">
        <v>9</v>
      </c>
    </row>
    <row r="1207" spans="1:10" s="463" customFormat="1" ht="39.6" x14ac:dyDescent="0.25">
      <c r="A1207" s="450" t="s">
        <v>1069</v>
      </c>
      <c r="B1207" s="451" t="s">
        <v>801</v>
      </c>
      <c r="C1207" s="451" t="s">
        <v>13</v>
      </c>
      <c r="D1207" s="466" t="s">
        <v>784</v>
      </c>
      <c r="E1207" s="451" t="s">
        <v>14</v>
      </c>
      <c r="F1207" s="453"/>
      <c r="G1207" s="453"/>
      <c r="H1207" s="453"/>
      <c r="I1207" s="453"/>
    </row>
    <row r="1208" spans="1:10" x14ac:dyDescent="0.25">
      <c r="A1208" s="437"/>
      <c r="B1208" s="438"/>
      <c r="C1208" s="438"/>
      <c r="D1208" s="442" t="s">
        <v>799</v>
      </c>
      <c r="E1208" s="438"/>
      <c r="F1208" s="443"/>
      <c r="G1208" s="439"/>
      <c r="H1208" s="439"/>
      <c r="I1208" s="439"/>
      <c r="J1208" s="465">
        <f>SUM(F1209:F1210)</f>
        <v>14</v>
      </c>
    </row>
    <row r="1209" spans="1:10" x14ac:dyDescent="0.25">
      <c r="A1209" s="437"/>
      <c r="B1209" s="438"/>
      <c r="C1209" s="438"/>
      <c r="D1209" s="442" t="s">
        <v>802</v>
      </c>
      <c r="E1209" s="438"/>
      <c r="F1209" s="443">
        <v>11</v>
      </c>
      <c r="G1209" s="439"/>
      <c r="H1209" s="439"/>
      <c r="I1209" s="439"/>
      <c r="J1209" s="439"/>
    </row>
    <row r="1210" spans="1:10" x14ac:dyDescent="0.25">
      <c r="A1210" s="437"/>
      <c r="B1210" s="438"/>
      <c r="C1210" s="438"/>
      <c r="D1210" s="442" t="s">
        <v>803</v>
      </c>
      <c r="E1210" s="438"/>
      <c r="F1210" s="443">
        <v>3</v>
      </c>
      <c r="G1210" s="439"/>
      <c r="H1210" s="439"/>
      <c r="I1210" s="439"/>
      <c r="J1210" s="439"/>
    </row>
    <row r="1211" spans="1:10" x14ac:dyDescent="0.25">
      <c r="A1211" s="437"/>
      <c r="B1211" s="438"/>
      <c r="C1211" s="438"/>
      <c r="D1211" s="442"/>
      <c r="E1211" s="438"/>
      <c r="F1211" s="443"/>
      <c r="G1211" s="439"/>
      <c r="H1211" s="439"/>
      <c r="I1211" s="439"/>
      <c r="J1211" s="439"/>
    </row>
    <row r="1212" spans="1:10" s="462" customFormat="1" x14ac:dyDescent="0.25">
      <c r="A1212" s="455" t="s">
        <v>1</v>
      </c>
      <c r="B1212" s="456" t="s">
        <v>2</v>
      </c>
      <c r="C1212" s="456" t="s">
        <v>3</v>
      </c>
      <c r="D1212" s="457" t="s">
        <v>4</v>
      </c>
      <c r="E1212" s="456" t="s">
        <v>5</v>
      </c>
      <c r="F1212" s="459" t="s">
        <v>6</v>
      </c>
      <c r="G1212" s="458"/>
      <c r="H1212" s="458"/>
      <c r="I1212" s="458"/>
      <c r="J1212" s="459" t="s">
        <v>9</v>
      </c>
    </row>
    <row r="1213" spans="1:10" s="463" customFormat="1" ht="39.6" x14ac:dyDescent="0.25">
      <c r="A1213" s="450" t="s">
        <v>1070</v>
      </c>
      <c r="B1213" s="451" t="s">
        <v>804</v>
      </c>
      <c r="C1213" s="451" t="s">
        <v>13</v>
      </c>
      <c r="D1213" s="452" t="s">
        <v>785</v>
      </c>
      <c r="E1213" s="451" t="s">
        <v>14</v>
      </c>
      <c r="F1213" s="453"/>
      <c r="G1213" s="453"/>
      <c r="H1213" s="453"/>
      <c r="I1213" s="453"/>
    </row>
    <row r="1214" spans="1:10" x14ac:dyDescent="0.25">
      <c r="A1214" s="440"/>
      <c r="B1214" s="441"/>
      <c r="C1214" s="441"/>
      <c r="D1214" s="442" t="s">
        <v>799</v>
      </c>
      <c r="E1214" s="441"/>
      <c r="F1214" s="443">
        <v>4</v>
      </c>
      <c r="G1214" s="443"/>
      <c r="H1214" s="443"/>
      <c r="I1214" s="443"/>
      <c r="J1214" s="465">
        <f>SUM(F1214)</f>
        <v>4</v>
      </c>
    </row>
    <row r="1215" spans="1:10" x14ac:dyDescent="0.25">
      <c r="A1215" s="440"/>
      <c r="B1215" s="441"/>
      <c r="C1215" s="441"/>
      <c r="D1215" s="442"/>
      <c r="E1215" s="441"/>
      <c r="F1215" s="443"/>
      <c r="G1215" s="443"/>
      <c r="H1215" s="443"/>
      <c r="I1215" s="443"/>
      <c r="J1215" s="443"/>
    </row>
    <row r="1216" spans="1:10" s="462" customFormat="1" x14ac:dyDescent="0.25">
      <c r="A1216" s="455" t="s">
        <v>1</v>
      </c>
      <c r="B1216" s="456" t="s">
        <v>2</v>
      </c>
      <c r="C1216" s="456" t="s">
        <v>3</v>
      </c>
      <c r="D1216" s="457" t="s">
        <v>4</v>
      </c>
      <c r="E1216" s="456" t="s">
        <v>5</v>
      </c>
      <c r="F1216" s="459" t="s">
        <v>6</v>
      </c>
      <c r="G1216" s="458"/>
      <c r="H1216" s="458" t="s">
        <v>61</v>
      </c>
      <c r="I1216" s="458"/>
      <c r="J1216" s="459" t="s">
        <v>9</v>
      </c>
    </row>
    <row r="1217" spans="1:10" s="463" customFormat="1" ht="26.4" x14ac:dyDescent="0.25">
      <c r="A1217" s="450" t="s">
        <v>1071</v>
      </c>
      <c r="B1217" s="451">
        <v>89849</v>
      </c>
      <c r="C1217" s="451" t="s">
        <v>13</v>
      </c>
      <c r="D1217" s="466" t="s">
        <v>786</v>
      </c>
      <c r="E1217" s="451" t="s">
        <v>16</v>
      </c>
      <c r="F1217" s="453"/>
      <c r="G1217" s="453"/>
      <c r="H1217" s="488"/>
      <c r="I1217" s="453"/>
    </row>
    <row r="1218" spans="1:10" x14ac:dyDescent="0.25">
      <c r="A1218" s="440"/>
      <c r="B1218" s="441"/>
      <c r="C1218" s="441"/>
      <c r="D1218" s="442" t="s">
        <v>799</v>
      </c>
      <c r="E1218" s="441"/>
      <c r="F1218" s="443"/>
      <c r="G1218" s="443"/>
      <c r="H1218" s="443">
        <v>4.91</v>
      </c>
      <c r="I1218" s="443"/>
      <c r="J1218" s="465">
        <f>SUM(H1218)</f>
        <v>4.91</v>
      </c>
    </row>
    <row r="1219" spans="1:10" x14ac:dyDescent="0.25">
      <c r="A1219" s="440"/>
      <c r="B1219" s="441"/>
      <c r="C1219" s="441"/>
      <c r="D1219" s="442"/>
      <c r="E1219" s="441"/>
      <c r="F1219" s="443"/>
      <c r="G1219" s="443"/>
      <c r="H1219" s="443"/>
      <c r="I1219" s="443"/>
      <c r="J1219" s="443"/>
    </row>
    <row r="1220" spans="1:10" s="462" customFormat="1" x14ac:dyDescent="0.25">
      <c r="A1220" s="455" t="s">
        <v>1</v>
      </c>
      <c r="B1220" s="456" t="s">
        <v>2</v>
      </c>
      <c r="C1220" s="456" t="s">
        <v>3</v>
      </c>
      <c r="D1220" s="457" t="s">
        <v>4</v>
      </c>
      <c r="E1220" s="456" t="s">
        <v>5</v>
      </c>
      <c r="F1220" s="459" t="s">
        <v>6</v>
      </c>
      <c r="G1220" s="458"/>
      <c r="H1220" s="458"/>
      <c r="I1220" s="458"/>
      <c r="J1220" s="459" t="s">
        <v>9</v>
      </c>
    </row>
    <row r="1221" spans="1:10" s="463" customFormat="1" ht="39.6" x14ac:dyDescent="0.25">
      <c r="A1221" s="450" t="s">
        <v>1072</v>
      </c>
      <c r="B1221" s="451" t="s">
        <v>805</v>
      </c>
      <c r="C1221" s="451" t="s">
        <v>13</v>
      </c>
      <c r="D1221" s="452" t="s">
        <v>787</v>
      </c>
      <c r="E1221" s="451" t="s">
        <v>14</v>
      </c>
      <c r="F1221" s="453"/>
      <c r="G1221" s="453"/>
      <c r="H1221" s="453"/>
      <c r="I1221" s="453"/>
    </row>
    <row r="1222" spans="1:10" x14ac:dyDescent="0.25">
      <c r="A1222" s="440"/>
      <c r="B1222" s="441"/>
      <c r="C1222" s="441"/>
      <c r="D1222" s="442" t="s">
        <v>806</v>
      </c>
      <c r="E1222" s="441"/>
      <c r="F1222" s="443"/>
      <c r="G1222" s="443"/>
      <c r="H1222" s="443"/>
      <c r="I1222" s="443"/>
      <c r="J1222" s="465">
        <f>SUM(F1223:F1227)</f>
        <v>25</v>
      </c>
    </row>
    <row r="1223" spans="1:10" x14ac:dyDescent="0.25">
      <c r="A1223" s="440"/>
      <c r="B1223" s="441" t="s">
        <v>802</v>
      </c>
      <c r="D1223" s="442" t="s">
        <v>807</v>
      </c>
      <c r="E1223" s="441"/>
      <c r="F1223" s="441">
        <v>6</v>
      </c>
      <c r="G1223" s="443"/>
      <c r="H1223" s="443"/>
      <c r="I1223" s="443"/>
      <c r="J1223" s="443"/>
    </row>
    <row r="1224" spans="1:10" x14ac:dyDescent="0.25">
      <c r="A1224" s="440"/>
      <c r="B1224" s="441" t="s">
        <v>802</v>
      </c>
      <c r="D1224" s="442" t="s">
        <v>808</v>
      </c>
      <c r="E1224" s="441"/>
      <c r="F1224" s="441">
        <v>6</v>
      </c>
      <c r="G1224" s="443"/>
      <c r="H1224" s="443"/>
      <c r="I1224" s="443"/>
      <c r="J1224" s="443"/>
    </row>
    <row r="1225" spans="1:10" x14ac:dyDescent="0.25">
      <c r="A1225" s="440"/>
      <c r="B1225" s="441" t="s">
        <v>802</v>
      </c>
      <c r="D1225" s="442" t="s">
        <v>809</v>
      </c>
      <c r="E1225" s="441"/>
      <c r="F1225" s="441">
        <v>8</v>
      </c>
      <c r="G1225" s="443"/>
      <c r="H1225" s="443"/>
      <c r="I1225" s="443"/>
      <c r="J1225" s="443"/>
    </row>
    <row r="1226" spans="1:10" x14ac:dyDescent="0.25">
      <c r="A1226" s="440"/>
      <c r="B1226" s="441" t="s">
        <v>802</v>
      </c>
      <c r="D1226" s="442" t="s">
        <v>810</v>
      </c>
      <c r="E1226" s="441"/>
      <c r="F1226" s="441">
        <v>4</v>
      </c>
      <c r="G1226" s="443"/>
      <c r="H1226" s="443"/>
      <c r="I1226" s="443"/>
      <c r="J1226" s="443"/>
    </row>
    <row r="1227" spans="1:10" x14ac:dyDescent="0.25">
      <c r="A1227" s="440"/>
      <c r="B1227" s="441" t="s">
        <v>803</v>
      </c>
      <c r="D1227" s="442" t="s">
        <v>811</v>
      </c>
      <c r="E1227" s="441"/>
      <c r="F1227" s="441">
        <v>1</v>
      </c>
      <c r="G1227" s="443"/>
      <c r="H1227" s="443"/>
      <c r="I1227" s="443"/>
      <c r="J1227" s="443"/>
    </row>
    <row r="1228" spans="1:10" x14ac:dyDescent="0.25">
      <c r="A1228" s="440"/>
      <c r="B1228" s="441"/>
      <c r="C1228" s="441"/>
      <c r="D1228" s="442"/>
      <c r="E1228" s="441"/>
      <c r="F1228" s="441"/>
      <c r="G1228" s="443"/>
      <c r="H1228" s="443"/>
      <c r="I1228" s="443"/>
      <c r="J1228" s="443"/>
    </row>
    <row r="1229" spans="1:10" s="462" customFormat="1" x14ac:dyDescent="0.25">
      <c r="A1229" s="455" t="s">
        <v>1</v>
      </c>
      <c r="B1229" s="456" t="s">
        <v>2</v>
      </c>
      <c r="C1229" s="456" t="s">
        <v>3</v>
      </c>
      <c r="D1229" s="457" t="s">
        <v>4</v>
      </c>
      <c r="E1229" s="456" t="s">
        <v>5</v>
      </c>
      <c r="F1229" s="459" t="s">
        <v>6</v>
      </c>
      <c r="G1229" s="458"/>
      <c r="H1229" s="458"/>
      <c r="I1229" s="458"/>
      <c r="J1229" s="459" t="s">
        <v>9</v>
      </c>
    </row>
    <row r="1230" spans="1:10" s="463" customFormat="1" ht="39.6" x14ac:dyDescent="0.25">
      <c r="A1230" s="450" t="s">
        <v>1073</v>
      </c>
      <c r="B1230" s="451" t="s">
        <v>812</v>
      </c>
      <c r="C1230" s="451" t="s">
        <v>13</v>
      </c>
      <c r="D1230" s="452" t="s">
        <v>788</v>
      </c>
      <c r="E1230" s="451" t="s">
        <v>14</v>
      </c>
      <c r="F1230" s="453"/>
      <c r="G1230" s="453"/>
      <c r="H1230" s="453"/>
      <c r="I1230" s="453"/>
    </row>
    <row r="1231" spans="1:10" x14ac:dyDescent="0.25">
      <c r="A1231" s="440"/>
      <c r="B1231" s="441"/>
      <c r="C1231" s="441"/>
      <c r="D1231" s="442" t="s">
        <v>806</v>
      </c>
      <c r="E1231" s="441"/>
      <c r="F1231" s="443"/>
      <c r="G1231" s="443"/>
      <c r="H1231" s="443"/>
      <c r="I1231" s="443"/>
      <c r="J1231" s="465">
        <f>SUM(F1232:F1238)</f>
        <v>65</v>
      </c>
    </row>
    <row r="1232" spans="1:10" x14ac:dyDescent="0.25">
      <c r="A1232" s="440"/>
      <c r="B1232" s="441" t="s">
        <v>802</v>
      </c>
      <c r="D1232" s="442" t="s">
        <v>813</v>
      </c>
      <c r="E1232" s="441"/>
      <c r="F1232" s="443">
        <v>11</v>
      </c>
      <c r="G1232" s="443"/>
      <c r="H1232" s="443"/>
      <c r="I1232" s="443"/>
      <c r="J1232" s="443"/>
    </row>
    <row r="1233" spans="1:10" x14ac:dyDescent="0.25">
      <c r="A1233" s="440"/>
      <c r="B1233" s="441" t="s">
        <v>802</v>
      </c>
      <c r="D1233" s="442" t="s">
        <v>814</v>
      </c>
      <c r="E1233" s="441"/>
      <c r="F1233" s="443">
        <v>4</v>
      </c>
      <c r="G1233" s="443"/>
      <c r="H1233" s="443"/>
      <c r="I1233" s="443"/>
      <c r="J1233" s="443"/>
    </row>
    <row r="1234" spans="1:10" x14ac:dyDescent="0.25">
      <c r="A1234" s="440"/>
      <c r="B1234" s="441" t="s">
        <v>802</v>
      </c>
      <c r="D1234" s="442" t="s">
        <v>815</v>
      </c>
      <c r="E1234" s="441"/>
      <c r="F1234" s="443">
        <v>4</v>
      </c>
      <c r="G1234" s="443"/>
      <c r="H1234" s="443"/>
      <c r="I1234" s="443"/>
      <c r="J1234" s="443"/>
    </row>
    <row r="1235" spans="1:10" x14ac:dyDescent="0.25">
      <c r="A1235" s="440"/>
      <c r="B1235" s="441" t="s">
        <v>803</v>
      </c>
      <c r="D1235" s="442" t="s">
        <v>816</v>
      </c>
      <c r="E1235" s="441"/>
      <c r="F1235" s="443">
        <v>2</v>
      </c>
      <c r="G1235" s="443"/>
      <c r="H1235" s="443"/>
      <c r="I1235" s="443"/>
      <c r="J1235" s="443"/>
    </row>
    <row r="1236" spans="1:10" x14ac:dyDescent="0.25">
      <c r="A1236" s="440"/>
      <c r="B1236" s="441" t="s">
        <v>803</v>
      </c>
      <c r="D1236" s="442" t="s">
        <v>813</v>
      </c>
      <c r="E1236" s="441"/>
      <c r="F1236" s="443">
        <v>3</v>
      </c>
      <c r="G1236" s="443"/>
      <c r="H1236" s="443"/>
      <c r="I1236" s="443"/>
      <c r="J1236" s="443"/>
    </row>
    <row r="1237" spans="1:10" x14ac:dyDescent="0.25">
      <c r="A1237" s="440"/>
      <c r="B1237" s="441" t="s">
        <v>803</v>
      </c>
      <c r="D1237" s="442" t="s">
        <v>814</v>
      </c>
      <c r="E1237" s="441"/>
      <c r="F1237" s="443">
        <v>25</v>
      </c>
      <c r="G1237" s="443"/>
      <c r="H1237" s="443"/>
      <c r="I1237" s="443"/>
      <c r="J1237" s="443"/>
    </row>
    <row r="1238" spans="1:10" x14ac:dyDescent="0.25">
      <c r="A1238" s="440"/>
      <c r="B1238" s="441" t="s">
        <v>803</v>
      </c>
      <c r="D1238" s="442" t="s">
        <v>817</v>
      </c>
      <c r="E1238" s="441"/>
      <c r="F1238" s="443">
        <v>16</v>
      </c>
      <c r="G1238" s="443"/>
      <c r="H1238" s="443"/>
      <c r="I1238" s="443"/>
      <c r="J1238" s="443"/>
    </row>
    <row r="1239" spans="1:10" x14ac:dyDescent="0.25">
      <c r="A1239" s="440"/>
      <c r="B1239" s="441"/>
      <c r="C1239" s="441"/>
      <c r="D1239" s="442"/>
      <c r="E1239" s="441"/>
      <c r="F1239" s="443"/>
      <c r="G1239" s="443"/>
      <c r="H1239" s="443"/>
      <c r="I1239" s="443"/>
      <c r="J1239" s="443"/>
    </row>
    <row r="1240" spans="1:10" s="461" customFormat="1" x14ac:dyDescent="0.25">
      <c r="A1240" s="497" t="s">
        <v>1</v>
      </c>
      <c r="B1240" s="489" t="s">
        <v>2</v>
      </c>
      <c r="C1240" s="489" t="s">
        <v>3</v>
      </c>
      <c r="D1240" s="457" t="s">
        <v>4</v>
      </c>
      <c r="E1240" s="489" t="s">
        <v>5</v>
      </c>
      <c r="F1240" s="498" t="s">
        <v>6</v>
      </c>
      <c r="G1240" s="490"/>
      <c r="H1240" s="490"/>
      <c r="I1240" s="490"/>
      <c r="J1240" s="498" t="s">
        <v>9</v>
      </c>
    </row>
    <row r="1241" spans="1:10" s="463" customFormat="1" ht="26.4" x14ac:dyDescent="0.25">
      <c r="A1241" s="450" t="s">
        <v>1074</v>
      </c>
      <c r="B1241" s="451" t="s">
        <v>818</v>
      </c>
      <c r="C1241" s="451" t="s">
        <v>581</v>
      </c>
      <c r="D1241" s="466" t="s">
        <v>789</v>
      </c>
      <c r="E1241" s="451" t="s">
        <v>783</v>
      </c>
      <c r="F1241" s="453"/>
      <c r="G1241" s="453"/>
      <c r="H1241" s="453"/>
      <c r="I1241" s="453"/>
    </row>
    <row r="1242" spans="1:10" x14ac:dyDescent="0.25">
      <c r="A1242" s="440"/>
      <c r="B1242" s="441"/>
      <c r="C1242" s="441"/>
      <c r="D1242" s="442" t="s">
        <v>799</v>
      </c>
      <c r="E1242" s="441"/>
      <c r="F1242" s="443">
        <v>6</v>
      </c>
      <c r="G1242" s="443"/>
      <c r="H1242" s="443"/>
      <c r="I1242" s="443"/>
      <c r="J1242" s="465">
        <f>SUM(F1242)</f>
        <v>6</v>
      </c>
    </row>
    <row r="1243" spans="1:10" x14ac:dyDescent="0.25">
      <c r="A1243" s="440"/>
      <c r="B1243" s="441"/>
      <c r="C1243" s="441"/>
      <c r="D1243" s="442"/>
      <c r="E1243" s="441"/>
      <c r="F1243" s="443"/>
      <c r="G1243" s="443"/>
      <c r="H1243" s="443"/>
      <c r="I1243" s="443"/>
      <c r="J1243" s="443"/>
    </row>
    <row r="1244" spans="1:10" s="462" customFormat="1" x14ac:dyDescent="0.25">
      <c r="A1244" s="455" t="s">
        <v>1</v>
      </c>
      <c r="B1244" s="456" t="s">
        <v>2</v>
      </c>
      <c r="C1244" s="456" t="s">
        <v>3</v>
      </c>
      <c r="D1244" s="457" t="s">
        <v>4</v>
      </c>
      <c r="E1244" s="456" t="s">
        <v>5</v>
      </c>
      <c r="F1244" s="459" t="s">
        <v>6</v>
      </c>
      <c r="G1244" s="458"/>
      <c r="H1244" s="458"/>
      <c r="I1244" s="458"/>
      <c r="J1244" s="459" t="s">
        <v>9</v>
      </c>
    </row>
    <row r="1245" spans="1:10" s="463" customFormat="1" ht="39.6" x14ac:dyDescent="0.25">
      <c r="A1245" s="450" t="s">
        <v>1075</v>
      </c>
      <c r="B1245" s="451" t="s">
        <v>819</v>
      </c>
      <c r="C1245" s="451" t="s">
        <v>13</v>
      </c>
      <c r="D1245" s="466" t="s">
        <v>790</v>
      </c>
      <c r="E1245" s="451" t="s">
        <v>14</v>
      </c>
      <c r="F1245" s="453"/>
      <c r="G1245" s="453"/>
      <c r="H1245" s="453"/>
      <c r="I1245" s="453"/>
    </row>
    <row r="1246" spans="1:10" x14ac:dyDescent="0.25">
      <c r="A1246" s="437"/>
      <c r="B1246" s="438"/>
      <c r="C1246" s="438"/>
      <c r="D1246" s="442" t="s">
        <v>799</v>
      </c>
      <c r="E1246" s="438"/>
      <c r="F1246" s="439"/>
      <c r="G1246" s="439"/>
      <c r="H1246" s="439"/>
      <c r="I1246" s="439"/>
      <c r="J1246" s="465">
        <f>SUM(F1247)</f>
        <v>2</v>
      </c>
    </row>
    <row r="1247" spans="1:10" x14ac:dyDescent="0.25">
      <c r="A1247" s="440"/>
      <c r="B1247" s="441"/>
      <c r="C1247" s="441"/>
      <c r="D1247" s="442" t="s">
        <v>803</v>
      </c>
      <c r="E1247" s="441"/>
      <c r="F1247" s="443">
        <v>2</v>
      </c>
      <c r="G1247" s="443"/>
      <c r="H1247" s="443"/>
      <c r="I1247" s="443"/>
      <c r="J1247" s="443"/>
    </row>
    <row r="1248" spans="1:10" x14ac:dyDescent="0.25">
      <c r="A1248" s="440"/>
      <c r="B1248" s="441"/>
      <c r="C1248" s="441"/>
      <c r="D1248" s="442"/>
      <c r="E1248" s="441"/>
      <c r="F1248" s="443"/>
      <c r="G1248" s="443"/>
      <c r="H1248" s="443"/>
      <c r="I1248" s="443"/>
      <c r="J1248" s="443"/>
    </row>
    <row r="1249" spans="1:11" s="462" customFormat="1" x14ac:dyDescent="0.25">
      <c r="A1249" s="455" t="s">
        <v>1</v>
      </c>
      <c r="B1249" s="456" t="s">
        <v>2</v>
      </c>
      <c r="C1249" s="456" t="s">
        <v>3</v>
      </c>
      <c r="D1249" s="457" t="s">
        <v>4</v>
      </c>
      <c r="E1249" s="456" t="s">
        <v>5</v>
      </c>
      <c r="F1249" s="459" t="s">
        <v>6</v>
      </c>
      <c r="G1249" s="458"/>
      <c r="H1249" s="458" t="s">
        <v>61</v>
      </c>
      <c r="I1249" s="458"/>
      <c r="J1249" s="459" t="s">
        <v>9</v>
      </c>
    </row>
    <row r="1250" spans="1:11" s="463" customFormat="1" ht="26.4" x14ac:dyDescent="0.25">
      <c r="A1250" s="450" t="s">
        <v>1076</v>
      </c>
      <c r="B1250" s="451" t="s">
        <v>820</v>
      </c>
      <c r="C1250" s="451" t="s">
        <v>13</v>
      </c>
      <c r="D1250" s="466" t="s">
        <v>429</v>
      </c>
      <c r="E1250" s="451" t="s">
        <v>16</v>
      </c>
      <c r="F1250" s="453"/>
      <c r="G1250" s="453"/>
      <c r="H1250" s="453"/>
      <c r="I1250" s="453"/>
    </row>
    <row r="1251" spans="1:11" x14ac:dyDescent="0.25">
      <c r="A1251" s="440"/>
      <c r="B1251" s="441"/>
      <c r="C1251" s="441"/>
      <c r="D1251" s="442" t="s">
        <v>821</v>
      </c>
      <c r="E1251" s="441"/>
      <c r="F1251" s="443"/>
      <c r="G1251" s="443"/>
      <c r="H1251" s="443">
        <v>53.86</v>
      </c>
      <c r="I1251" s="443"/>
      <c r="J1251" s="465">
        <f>SUM(H1251)</f>
        <v>53.86</v>
      </c>
    </row>
    <row r="1252" spans="1:11" x14ac:dyDescent="0.25">
      <c r="A1252" s="440"/>
      <c r="B1252" s="441"/>
      <c r="C1252" s="441"/>
      <c r="D1252" s="442"/>
      <c r="E1252" s="441"/>
      <c r="F1252" s="443"/>
      <c r="G1252" s="443"/>
      <c r="H1252" s="443"/>
      <c r="I1252" s="443"/>
      <c r="J1252" s="443"/>
    </row>
    <row r="1253" spans="1:11" s="462" customFormat="1" x14ac:dyDescent="0.25">
      <c r="A1253" s="455" t="s">
        <v>1</v>
      </c>
      <c r="B1253" s="456" t="s">
        <v>2</v>
      </c>
      <c r="C1253" s="456" t="s">
        <v>3</v>
      </c>
      <c r="D1253" s="457" t="s">
        <v>4</v>
      </c>
      <c r="E1253" s="456" t="s">
        <v>5</v>
      </c>
      <c r="F1253" s="459" t="s">
        <v>6</v>
      </c>
      <c r="G1253" s="458"/>
      <c r="H1253" s="458"/>
      <c r="I1253" s="458"/>
      <c r="J1253" s="459" t="s">
        <v>9</v>
      </c>
    </row>
    <row r="1254" spans="1:11" s="463" customFormat="1" ht="39.6" x14ac:dyDescent="0.25">
      <c r="A1254" s="450" t="s">
        <v>1077</v>
      </c>
      <c r="B1254" s="451" t="s">
        <v>822</v>
      </c>
      <c r="C1254" s="451" t="s">
        <v>13</v>
      </c>
      <c r="D1254" s="452" t="s">
        <v>791</v>
      </c>
      <c r="E1254" s="451" t="s">
        <v>14</v>
      </c>
      <c r="F1254" s="453"/>
      <c r="G1254" s="453"/>
      <c r="H1254" s="453"/>
      <c r="I1254" s="453"/>
      <c r="J1254" s="499"/>
    </row>
    <row r="1255" spans="1:11" x14ac:dyDescent="0.25">
      <c r="A1255" s="440"/>
      <c r="B1255" s="441"/>
      <c r="C1255" s="441"/>
      <c r="D1255" s="442" t="s">
        <v>821</v>
      </c>
      <c r="E1255" s="441"/>
      <c r="F1255" s="443">
        <v>1</v>
      </c>
      <c r="G1255" s="443"/>
      <c r="H1255" s="443"/>
      <c r="I1255" s="443"/>
      <c r="J1255" s="439">
        <f>SUM(F1255)</f>
        <v>1</v>
      </c>
    </row>
    <row r="1256" spans="1:11" x14ac:dyDescent="0.25">
      <c r="A1256" s="440"/>
      <c r="B1256" s="441"/>
      <c r="C1256" s="441"/>
      <c r="D1256" s="442"/>
      <c r="E1256" s="441"/>
      <c r="F1256" s="443"/>
      <c r="G1256" s="443"/>
      <c r="H1256" s="443"/>
      <c r="I1256" s="443"/>
      <c r="J1256" s="443"/>
    </row>
    <row r="1257" spans="1:11" x14ac:dyDescent="0.25">
      <c r="A1257" s="440"/>
      <c r="B1257" s="441"/>
      <c r="C1257" s="441"/>
      <c r="D1257" s="442"/>
      <c r="E1257" s="441"/>
      <c r="F1257" s="443"/>
      <c r="G1257" s="443"/>
      <c r="H1257" s="443"/>
      <c r="I1257" s="443"/>
      <c r="J1257" s="443"/>
    </row>
    <row r="1258" spans="1:11" s="492" customFormat="1" x14ac:dyDescent="0.25">
      <c r="A1258" s="455" t="s">
        <v>1</v>
      </c>
      <c r="B1258" s="456" t="s">
        <v>2</v>
      </c>
      <c r="C1258" s="456" t="s">
        <v>3</v>
      </c>
      <c r="D1258" s="457" t="s">
        <v>4</v>
      </c>
      <c r="E1258" s="456" t="s">
        <v>5</v>
      </c>
      <c r="F1258" s="459" t="s">
        <v>6</v>
      </c>
      <c r="G1258" s="458"/>
      <c r="H1258" s="458"/>
      <c r="I1258" s="458"/>
      <c r="J1258" s="459" t="s">
        <v>9</v>
      </c>
    </row>
    <row r="1259" spans="1:11" s="463" customFormat="1" ht="39.6" x14ac:dyDescent="0.25">
      <c r="A1259" s="450" t="s">
        <v>1078</v>
      </c>
      <c r="B1259" s="451" t="s">
        <v>823</v>
      </c>
      <c r="C1259" s="451" t="s">
        <v>13</v>
      </c>
      <c r="D1259" s="452" t="s">
        <v>792</v>
      </c>
      <c r="E1259" s="451" t="s">
        <v>14</v>
      </c>
      <c r="F1259" s="453"/>
      <c r="G1259" s="453"/>
      <c r="H1259" s="453"/>
      <c r="I1259" s="453"/>
    </row>
    <row r="1260" spans="1:11" x14ac:dyDescent="0.25">
      <c r="A1260" s="440"/>
      <c r="B1260" s="441"/>
      <c r="C1260" s="441"/>
      <c r="D1260" s="442" t="s">
        <v>821</v>
      </c>
      <c r="E1260" s="441"/>
      <c r="F1260" s="443">
        <v>16</v>
      </c>
      <c r="G1260" s="443"/>
      <c r="H1260" s="443"/>
      <c r="I1260" s="443"/>
      <c r="J1260" s="486">
        <f>SUM(F1260)</f>
        <v>16</v>
      </c>
    </row>
    <row r="1261" spans="1:11" x14ac:dyDescent="0.25">
      <c r="A1261" s="478"/>
      <c r="B1261" s="479"/>
      <c r="C1261" s="479"/>
      <c r="D1261" s="495"/>
      <c r="E1261" s="480"/>
      <c r="F1261" s="481"/>
      <c r="G1261" s="482"/>
      <c r="H1261" s="482"/>
      <c r="I1261" s="482"/>
      <c r="J1261" s="483"/>
      <c r="K1261" s="136"/>
    </row>
    <row r="1262" spans="1:11" x14ac:dyDescent="0.25">
      <c r="A1262" s="455" t="s">
        <v>1</v>
      </c>
      <c r="B1262" s="456" t="s">
        <v>2</v>
      </c>
      <c r="C1262" s="456" t="s">
        <v>3</v>
      </c>
      <c r="D1262" s="457" t="s">
        <v>4</v>
      </c>
      <c r="E1262" s="456" t="s">
        <v>5</v>
      </c>
      <c r="F1262" s="459" t="s">
        <v>6</v>
      </c>
      <c r="G1262" s="458"/>
      <c r="H1262" s="458"/>
      <c r="I1262" s="458"/>
      <c r="J1262" s="459" t="s">
        <v>9</v>
      </c>
      <c r="K1262" s="136"/>
    </row>
    <row r="1263" spans="1:11" ht="39.6" x14ac:dyDescent="0.25">
      <c r="A1263" s="450" t="s">
        <v>1079</v>
      </c>
      <c r="B1263" s="451">
        <f>ORÇAMENTO!B278</f>
        <v>98069</v>
      </c>
      <c r="C1263" s="451" t="str">
        <f>ORÇAMENTO!C278</f>
        <v>SINAPI</v>
      </c>
      <c r="D1263" s="452" t="str">
        <f>ORÇAMENTO!D278</f>
        <v>TANQUE SÉPTICO RETANGULAR, EM ALVENARIA COM TIJOLOS CERÂMICOS MACIÇOS, DIMENSÕES INTERNAS: 1,6 X 4,4 X H=1,8 M, VOLUME ÚTIL: 9856 L (PARA 68 CONTRIBUINTES). AF_12/2020</v>
      </c>
      <c r="E1263" s="451" t="s">
        <v>14</v>
      </c>
      <c r="F1263" s="453"/>
      <c r="G1263" s="453"/>
      <c r="H1263" s="453"/>
      <c r="I1263" s="453"/>
      <c r="J1263" s="463"/>
      <c r="K1263" s="136"/>
    </row>
    <row r="1264" spans="1:11" x14ac:dyDescent="0.25">
      <c r="A1264" s="440"/>
      <c r="B1264" s="441"/>
      <c r="C1264" s="441"/>
      <c r="D1264" s="442" t="s">
        <v>799</v>
      </c>
      <c r="E1264" s="441"/>
      <c r="F1264" s="443">
        <v>1</v>
      </c>
      <c r="G1264" s="443"/>
      <c r="H1264" s="443"/>
      <c r="I1264" s="443"/>
      <c r="J1264" s="486">
        <f>SUM(F1264)</f>
        <v>1</v>
      </c>
      <c r="K1264" s="136"/>
    </row>
    <row r="1265" spans="1:11" x14ac:dyDescent="0.25">
      <c r="A1265" s="478"/>
      <c r="B1265" s="479"/>
      <c r="C1265" s="479"/>
      <c r="D1265" s="495"/>
      <c r="E1265" s="480"/>
      <c r="F1265" s="481"/>
      <c r="G1265" s="482"/>
      <c r="H1265" s="482"/>
      <c r="I1265" s="482"/>
      <c r="J1265" s="483"/>
      <c r="K1265" s="136"/>
    </row>
    <row r="1266" spans="1:11" x14ac:dyDescent="0.25">
      <c r="A1266" s="55" t="s">
        <v>228</v>
      </c>
      <c r="B1266" s="56"/>
      <c r="C1266" s="56"/>
      <c r="D1266" s="55" t="s">
        <v>301</v>
      </c>
      <c r="E1266" s="55"/>
      <c r="F1266" s="57"/>
      <c r="G1266" s="58"/>
      <c r="H1266" s="59"/>
      <c r="I1266" s="60"/>
      <c r="J1266" s="62"/>
      <c r="K1266" s="136"/>
    </row>
    <row r="1267" spans="1:11" x14ac:dyDescent="0.25">
      <c r="A1267" s="2" t="s">
        <v>1</v>
      </c>
      <c r="B1267" s="21" t="s">
        <v>2</v>
      </c>
      <c r="C1267" s="28" t="s">
        <v>3</v>
      </c>
      <c r="D1267" s="2" t="s">
        <v>4</v>
      </c>
      <c r="E1267" s="4" t="s">
        <v>5</v>
      </c>
      <c r="F1267" s="3" t="s">
        <v>6</v>
      </c>
      <c r="G1267" s="38" t="s">
        <v>61</v>
      </c>
      <c r="H1267" s="39" t="s">
        <v>62</v>
      </c>
      <c r="I1267" s="39" t="s">
        <v>63</v>
      </c>
      <c r="J1267" s="69" t="s">
        <v>9</v>
      </c>
      <c r="K1267" s="136"/>
    </row>
    <row r="1268" spans="1:11" ht="42" customHeight="1" x14ac:dyDescent="0.25">
      <c r="A1268" s="7" t="s">
        <v>1080</v>
      </c>
      <c r="B1268" s="23">
        <f>ORÇAMENTO!B280</f>
        <v>99253</v>
      </c>
      <c r="C1268" s="23" t="s">
        <v>13</v>
      </c>
      <c r="D1268" s="139" t="str">
        <f>ORÇAMENTO!D280</f>
        <v>CAIXA ENTERRADA HIDRÁULICA RETANGULAR EM ALVENARIA COM TIJOLOS CERÂMICOS MACIÇOS, DIMENSÕES INTERNAS: 0,6X0,6X0,6 M PARA REDE DE DRENAGEM. AF_12/2020</v>
      </c>
      <c r="E1268" s="140" t="s">
        <v>14</v>
      </c>
      <c r="F1268" s="8"/>
      <c r="G1268" s="63"/>
      <c r="H1268" s="33"/>
      <c r="I1268" s="63"/>
      <c r="J1268" s="46"/>
      <c r="K1268" s="136"/>
    </row>
    <row r="1269" spans="1:11" x14ac:dyDescent="0.25">
      <c r="A1269" s="10"/>
      <c r="B1269" s="30"/>
      <c r="C1269" s="30"/>
      <c r="D1269" s="36" t="s">
        <v>390</v>
      </c>
      <c r="E1269" s="12"/>
      <c r="F1269" s="122">
        <v>7</v>
      </c>
      <c r="G1269" s="31"/>
      <c r="H1269" s="31"/>
      <c r="I1269" s="31"/>
      <c r="J1269" s="52">
        <f>F1269</f>
        <v>7</v>
      </c>
      <c r="K1269" s="136"/>
    </row>
    <row r="1270" spans="1:11" x14ac:dyDescent="0.25">
      <c r="A1270" s="75"/>
      <c r="B1270" s="65"/>
      <c r="C1270" s="65"/>
      <c r="D1270" s="124"/>
      <c r="E1270" s="125"/>
      <c r="F1270" s="126"/>
      <c r="G1270" s="147"/>
      <c r="H1270" s="147"/>
      <c r="I1270" s="147"/>
      <c r="J1270" s="127"/>
      <c r="K1270" s="136"/>
    </row>
    <row r="1271" spans="1:11" x14ac:dyDescent="0.25">
      <c r="A1271" s="2" t="s">
        <v>1</v>
      </c>
      <c r="B1271" s="21" t="s">
        <v>2</v>
      </c>
      <c r="C1271" s="28" t="s">
        <v>3</v>
      </c>
      <c r="D1271" s="2" t="s">
        <v>4</v>
      </c>
      <c r="E1271" s="4" t="s">
        <v>5</v>
      </c>
      <c r="F1271" s="3" t="s">
        <v>6</v>
      </c>
      <c r="G1271" s="38" t="s">
        <v>61</v>
      </c>
      <c r="H1271" s="39" t="s">
        <v>62</v>
      </c>
      <c r="I1271" s="39" t="s">
        <v>63</v>
      </c>
      <c r="J1271" s="69" t="s">
        <v>9</v>
      </c>
      <c r="K1271" s="136"/>
    </row>
    <row r="1272" spans="1:11" ht="45.75" customHeight="1" x14ac:dyDescent="0.25">
      <c r="A1272" s="7" t="s">
        <v>1081</v>
      </c>
      <c r="B1272" s="23">
        <f>ORÇAMENTO!B281</f>
        <v>99250</v>
      </c>
      <c r="C1272" s="23" t="s">
        <v>13</v>
      </c>
      <c r="D1272" s="139" t="str">
        <f>ORÇAMENTO!D281</f>
        <v>CAIXA ENTERRADA HIDRÁULICA RETANGULAR EM ALVENARIA COM TIJOLOS CERÂMICOS MACIÇOS, DIMENSÕES INTERNAS: 0,3X0,3X0,3 M PARA REDE DE DRENAGEM. AF_12/2020</v>
      </c>
      <c r="E1272" s="140" t="s">
        <v>14</v>
      </c>
      <c r="F1272" s="8"/>
      <c r="G1272" s="63"/>
      <c r="H1272" s="33"/>
      <c r="I1272" s="63"/>
      <c r="J1272" s="46"/>
      <c r="K1272" s="136"/>
    </row>
    <row r="1273" spans="1:11" x14ac:dyDescent="0.25">
      <c r="A1273" s="10"/>
      <c r="B1273" s="30"/>
      <c r="C1273" s="30"/>
      <c r="D1273" s="36" t="s">
        <v>390</v>
      </c>
      <c r="E1273" s="12"/>
      <c r="F1273" s="122">
        <v>2</v>
      </c>
      <c r="G1273" s="31"/>
      <c r="H1273" s="31"/>
      <c r="I1273" s="31"/>
      <c r="J1273" s="52">
        <f>F1273</f>
        <v>2</v>
      </c>
      <c r="K1273" s="136"/>
    </row>
    <row r="1274" spans="1:11" x14ac:dyDescent="0.25">
      <c r="A1274" s="75"/>
      <c r="B1274" s="65"/>
      <c r="C1274" s="65"/>
      <c r="D1274" s="124"/>
      <c r="E1274" s="125"/>
      <c r="F1274" s="126"/>
      <c r="G1274" s="147"/>
      <c r="H1274" s="147"/>
      <c r="I1274" s="147"/>
      <c r="J1274" s="127"/>
      <c r="K1274" s="136"/>
    </row>
    <row r="1275" spans="1:11" x14ac:dyDescent="0.25">
      <c r="A1275" s="2" t="s">
        <v>1</v>
      </c>
      <c r="B1275" s="21" t="s">
        <v>2</v>
      </c>
      <c r="C1275" s="28" t="s">
        <v>3</v>
      </c>
      <c r="D1275" s="2" t="s">
        <v>4</v>
      </c>
      <c r="E1275" s="4" t="s">
        <v>5</v>
      </c>
      <c r="F1275" s="3" t="s">
        <v>6</v>
      </c>
      <c r="G1275" s="38" t="s">
        <v>61</v>
      </c>
      <c r="H1275" s="39" t="s">
        <v>62</v>
      </c>
      <c r="I1275" s="39" t="s">
        <v>63</v>
      </c>
      <c r="J1275" s="69" t="s">
        <v>9</v>
      </c>
      <c r="K1275" s="136"/>
    </row>
    <row r="1276" spans="1:11" ht="42" customHeight="1" x14ac:dyDescent="0.25">
      <c r="A1276" s="7" t="s">
        <v>1082</v>
      </c>
      <c r="B1276" s="23">
        <f>ORÇAMENTO!B282</f>
        <v>104168</v>
      </c>
      <c r="C1276" s="23" t="s">
        <v>13</v>
      </c>
      <c r="D1276" s="139" t="str">
        <f>ORÇAMENTO!D282</f>
        <v>JOELHO 45 GRAUS, PVC, SERIE R, ÁGUA PLUVIAL, DN 150 MM, JUNTA ELÁSTICA, FORNECIDO E INSTALADO EM RAMAL DE ENCAMINHAMENTO. AF_06/2022</v>
      </c>
      <c r="E1276" s="140" t="s">
        <v>14</v>
      </c>
      <c r="F1276" s="8"/>
      <c r="G1276" s="63"/>
      <c r="H1276" s="33"/>
      <c r="I1276" s="63"/>
      <c r="J1276" s="46"/>
      <c r="K1276" s="136"/>
    </row>
    <row r="1277" spans="1:11" x14ac:dyDescent="0.25">
      <c r="A1277" s="10"/>
      <c r="B1277" s="30"/>
      <c r="C1277" s="30"/>
      <c r="D1277" s="36" t="s">
        <v>390</v>
      </c>
      <c r="E1277" s="12"/>
      <c r="F1277" s="141">
        <v>2</v>
      </c>
      <c r="G1277" s="31"/>
      <c r="H1277" s="31"/>
      <c r="I1277" s="31"/>
      <c r="J1277" s="52">
        <f>F1277</f>
        <v>2</v>
      </c>
      <c r="K1277" s="136"/>
    </row>
    <row r="1278" spans="1:11" x14ac:dyDescent="0.25">
      <c r="A1278" s="75"/>
      <c r="B1278" s="65"/>
      <c r="C1278" s="65"/>
      <c r="D1278" s="124"/>
      <c r="E1278" s="125"/>
      <c r="F1278" s="126"/>
      <c r="G1278" s="147"/>
      <c r="H1278" s="147"/>
      <c r="I1278" s="147"/>
      <c r="J1278" s="127"/>
      <c r="K1278" s="136"/>
    </row>
    <row r="1279" spans="1:11" x14ac:dyDescent="0.25">
      <c r="A1279" s="2" t="s">
        <v>1</v>
      </c>
      <c r="B1279" s="21" t="s">
        <v>2</v>
      </c>
      <c r="C1279" s="28" t="s">
        <v>3</v>
      </c>
      <c r="D1279" s="2" t="s">
        <v>4</v>
      </c>
      <c r="E1279" s="4" t="s">
        <v>5</v>
      </c>
      <c r="F1279" s="3" t="s">
        <v>6</v>
      </c>
      <c r="G1279" s="38" t="s">
        <v>61</v>
      </c>
      <c r="H1279" s="39" t="s">
        <v>62</v>
      </c>
      <c r="I1279" s="39" t="s">
        <v>63</v>
      </c>
      <c r="J1279" s="69" t="s">
        <v>9</v>
      </c>
      <c r="K1279" s="136"/>
    </row>
    <row r="1280" spans="1:11" ht="31.5" customHeight="1" x14ac:dyDescent="0.25">
      <c r="A1280" s="7" t="s">
        <v>1083</v>
      </c>
      <c r="B1280" s="23">
        <f>ORÇAMENTO!B283</f>
        <v>89531</v>
      </c>
      <c r="C1280" s="23" t="s">
        <v>13</v>
      </c>
      <c r="D1280" s="139" t="str">
        <f>ORÇAMENTO!D283</f>
        <v>JOELHO 45 GRAUS, PVC, SERIE R, ÁGUA PLUVIAL, DN 100 MM, JUNTA ELÁSTICA, FORNECIDO E INSTALADO EM RAMAL DE ENCAMINHAMENTO. AF_06/2022</v>
      </c>
      <c r="E1280" s="140" t="s">
        <v>14</v>
      </c>
      <c r="F1280" s="8"/>
      <c r="G1280" s="63"/>
      <c r="H1280" s="33"/>
      <c r="I1280" s="63"/>
      <c r="J1280" s="46"/>
      <c r="K1280" s="136"/>
    </row>
    <row r="1281" spans="1:11" x14ac:dyDescent="0.25">
      <c r="A1281" s="10"/>
      <c r="B1281" s="30"/>
      <c r="C1281" s="30"/>
      <c r="D1281" s="36" t="s">
        <v>390</v>
      </c>
      <c r="E1281" s="12"/>
      <c r="F1281" s="122">
        <v>4</v>
      </c>
      <c r="G1281" s="31"/>
      <c r="H1281" s="31"/>
      <c r="I1281" s="31"/>
      <c r="J1281" s="52">
        <f>F1281</f>
        <v>4</v>
      </c>
      <c r="K1281" s="136"/>
    </row>
    <row r="1282" spans="1:11" x14ac:dyDescent="0.25">
      <c r="A1282" s="75"/>
      <c r="B1282" s="65"/>
      <c r="C1282" s="65"/>
      <c r="D1282" s="124"/>
      <c r="E1282" s="125"/>
      <c r="F1282" s="146"/>
      <c r="G1282" s="147"/>
      <c r="H1282" s="147"/>
      <c r="I1282" s="147"/>
      <c r="J1282" s="127"/>
      <c r="K1282" s="136"/>
    </row>
    <row r="1283" spans="1:11" x14ac:dyDescent="0.25">
      <c r="A1283" s="2" t="s">
        <v>1</v>
      </c>
      <c r="B1283" s="21" t="s">
        <v>2</v>
      </c>
      <c r="C1283" s="28" t="s">
        <v>3</v>
      </c>
      <c r="D1283" s="2" t="s">
        <v>4</v>
      </c>
      <c r="E1283" s="4" t="s">
        <v>5</v>
      </c>
      <c r="F1283" s="3" t="s">
        <v>6</v>
      </c>
      <c r="G1283" s="38" t="s">
        <v>61</v>
      </c>
      <c r="H1283" s="39" t="s">
        <v>62</v>
      </c>
      <c r="I1283" s="39" t="s">
        <v>63</v>
      </c>
      <c r="J1283" s="69" t="s">
        <v>9</v>
      </c>
      <c r="K1283" s="136"/>
    </row>
    <row r="1284" spans="1:11" ht="30" customHeight="1" x14ac:dyDescent="0.25">
      <c r="A1284" s="7" t="s">
        <v>1084</v>
      </c>
      <c r="B1284" s="23">
        <f>ORÇAMENTO!B284</f>
        <v>104064</v>
      </c>
      <c r="C1284" s="23" t="s">
        <v>13</v>
      </c>
      <c r="D1284" s="139" t="str">
        <f>ORÇAMENTO!D284</f>
        <v>CURVA LONGA, 90 GRAUS, PVC OCRE, JUNTA ELÁSTICA, DN 150 MM, PARA COLETOR PREDIAL DE ESGOTO. AF_06/2022</v>
      </c>
      <c r="E1284" s="140" t="s">
        <v>14</v>
      </c>
      <c r="F1284" s="8"/>
      <c r="G1284" s="63"/>
      <c r="H1284" s="33"/>
      <c r="I1284" s="63"/>
      <c r="J1284" s="46"/>
      <c r="K1284" s="136"/>
    </row>
    <row r="1285" spans="1:11" x14ac:dyDescent="0.25">
      <c r="A1285" s="10"/>
      <c r="B1285" s="30"/>
      <c r="C1285" s="30"/>
      <c r="D1285" s="36" t="s">
        <v>390</v>
      </c>
      <c r="E1285" s="12"/>
      <c r="F1285" s="122">
        <v>1</v>
      </c>
      <c r="G1285" s="31"/>
      <c r="H1285" s="31"/>
      <c r="I1285" s="31"/>
      <c r="J1285" s="52">
        <f>F1285</f>
        <v>1</v>
      </c>
      <c r="K1285" s="136"/>
    </row>
    <row r="1286" spans="1:11" x14ac:dyDescent="0.25">
      <c r="A1286" s="75"/>
      <c r="B1286" s="65"/>
      <c r="C1286" s="65"/>
      <c r="D1286" s="124"/>
      <c r="E1286" s="125"/>
      <c r="F1286" s="146"/>
      <c r="G1286" s="147"/>
      <c r="H1286" s="147"/>
      <c r="I1286" s="147"/>
      <c r="J1286" s="127"/>
      <c r="K1286" s="136"/>
    </row>
    <row r="1287" spans="1:11" x14ac:dyDescent="0.25">
      <c r="A1287" s="2" t="s">
        <v>1</v>
      </c>
      <c r="B1287" s="21" t="s">
        <v>2</v>
      </c>
      <c r="C1287" s="28" t="s">
        <v>3</v>
      </c>
      <c r="D1287" s="2" t="s">
        <v>4</v>
      </c>
      <c r="E1287" s="4" t="s">
        <v>5</v>
      </c>
      <c r="F1287" s="3" t="s">
        <v>6</v>
      </c>
      <c r="G1287" s="38" t="s">
        <v>61</v>
      </c>
      <c r="H1287" s="39" t="s">
        <v>62</v>
      </c>
      <c r="I1287" s="39" t="s">
        <v>63</v>
      </c>
      <c r="J1287" s="69" t="s">
        <v>9</v>
      </c>
      <c r="K1287" s="136"/>
    </row>
    <row r="1288" spans="1:11" ht="41.25" customHeight="1" x14ac:dyDescent="0.25">
      <c r="A1288" s="7" t="s">
        <v>1085</v>
      </c>
      <c r="B1288" s="23">
        <f>ORÇAMENTO!B285</f>
        <v>95695</v>
      </c>
      <c r="C1288" s="23" t="s">
        <v>13</v>
      </c>
      <c r="D1288" s="139" t="str">
        <f>ORÇAMENTO!D285</f>
        <v>CURVA 90 GRAUS, PVC, SERIE R, ÁGUA PLUVIAL, DN 100 MM, JUNTA ELÁSTICA,FORNECIDO E INSTALADO EM CONDUTORES VERTICAIS DE ÁGUAS PLUVIAIS. AF_06/2022</v>
      </c>
      <c r="E1288" s="140" t="s">
        <v>14</v>
      </c>
      <c r="F1288" s="8"/>
      <c r="G1288" s="63"/>
      <c r="H1288" s="33"/>
      <c r="I1288" s="63"/>
      <c r="J1288" s="46"/>
      <c r="K1288" s="136"/>
    </row>
    <row r="1289" spans="1:11" x14ac:dyDescent="0.25">
      <c r="A1289" s="10"/>
      <c r="B1289" s="30"/>
      <c r="C1289" s="30"/>
      <c r="D1289" s="36" t="s">
        <v>390</v>
      </c>
      <c r="E1289" s="12"/>
      <c r="F1289" s="122">
        <v>3</v>
      </c>
      <c r="G1289" s="31"/>
      <c r="H1289" s="31"/>
      <c r="I1289" s="31"/>
      <c r="J1289" s="52">
        <f>F1289</f>
        <v>3</v>
      </c>
      <c r="K1289" s="136"/>
    </row>
    <row r="1290" spans="1:11" x14ac:dyDescent="0.25">
      <c r="A1290" s="75"/>
      <c r="B1290" s="65"/>
      <c r="C1290" s="65"/>
      <c r="D1290" s="124"/>
      <c r="E1290" s="125"/>
      <c r="F1290" s="146"/>
      <c r="G1290" s="147"/>
      <c r="H1290" s="147"/>
      <c r="I1290" s="147"/>
      <c r="J1290" s="127"/>
      <c r="K1290" s="136"/>
    </row>
    <row r="1291" spans="1:11" x14ac:dyDescent="0.25">
      <c r="A1291" s="2" t="s">
        <v>1</v>
      </c>
      <c r="B1291" s="21" t="s">
        <v>2</v>
      </c>
      <c r="C1291" s="28" t="s">
        <v>3</v>
      </c>
      <c r="D1291" s="2" t="s">
        <v>4</v>
      </c>
      <c r="E1291" s="4" t="s">
        <v>5</v>
      </c>
      <c r="F1291" s="3" t="s">
        <v>6</v>
      </c>
      <c r="G1291" s="38" t="s">
        <v>61</v>
      </c>
      <c r="H1291" s="39" t="s">
        <v>62</v>
      </c>
      <c r="I1291" s="39" t="s">
        <v>63</v>
      </c>
      <c r="J1291" s="69" t="s">
        <v>9</v>
      </c>
      <c r="K1291" s="136"/>
    </row>
    <row r="1292" spans="1:11" ht="39.6" x14ac:dyDescent="0.25">
      <c r="A1292" s="7" t="s">
        <v>1086</v>
      </c>
      <c r="B1292" s="23" t="str">
        <f>ORÇAMENTO!B286</f>
        <v xml:space="preserve"> 89743 </v>
      </c>
      <c r="C1292" s="23" t="s">
        <v>13</v>
      </c>
      <c r="D1292" s="139" t="str">
        <f>ORÇAMENTO!D286</f>
        <v>CURVA LONGA 90 GRAUS, PVC, SERIE NORMAL, ESGOTO PREDIAL, DN 75 MM, JUNTA ELÁSTICA, FORNECIDO E INSTALADO EM RAMAL DE DESCARGA OU RAMAL DE ESGOTO SANITÁRIO. AF_08/2022</v>
      </c>
      <c r="E1292" s="140" t="s">
        <v>14</v>
      </c>
      <c r="F1292" s="8"/>
      <c r="G1292" s="63"/>
      <c r="H1292" s="33"/>
      <c r="I1292" s="63"/>
      <c r="J1292" s="46"/>
      <c r="K1292" s="136"/>
    </row>
    <row r="1293" spans="1:11" x14ac:dyDescent="0.25">
      <c r="A1293" s="10"/>
      <c r="B1293" s="30"/>
      <c r="C1293" s="30"/>
      <c r="D1293" s="36" t="s">
        <v>390</v>
      </c>
      <c r="E1293" s="12"/>
      <c r="F1293" s="122">
        <v>1</v>
      </c>
      <c r="G1293" s="31"/>
      <c r="H1293" s="31"/>
      <c r="I1293" s="31"/>
      <c r="J1293" s="52">
        <f>F1293</f>
        <v>1</v>
      </c>
      <c r="K1293" s="136"/>
    </row>
    <row r="1294" spans="1:11" x14ac:dyDescent="0.25">
      <c r="A1294" s="75"/>
      <c r="B1294" s="65"/>
      <c r="C1294" s="65"/>
      <c r="D1294" s="124"/>
      <c r="E1294" s="125"/>
      <c r="F1294" s="146"/>
      <c r="G1294" s="147"/>
      <c r="H1294" s="147"/>
      <c r="I1294" s="147"/>
      <c r="J1294" s="127"/>
      <c r="K1294" s="136"/>
    </row>
    <row r="1295" spans="1:11" x14ac:dyDescent="0.25">
      <c r="A1295" s="75"/>
      <c r="B1295" s="65"/>
      <c r="C1295" s="65"/>
      <c r="D1295" s="124"/>
      <c r="E1295" s="125"/>
      <c r="F1295" s="146"/>
      <c r="G1295" s="147"/>
      <c r="H1295" s="147"/>
      <c r="I1295" s="147"/>
      <c r="J1295" s="127"/>
      <c r="K1295" s="136"/>
    </row>
    <row r="1296" spans="1:11" x14ac:dyDescent="0.25">
      <c r="A1296" s="2" t="s">
        <v>1</v>
      </c>
      <c r="B1296" s="21" t="s">
        <v>2</v>
      </c>
      <c r="C1296" s="28" t="s">
        <v>3</v>
      </c>
      <c r="D1296" s="2" t="s">
        <v>4</v>
      </c>
      <c r="E1296" s="4" t="s">
        <v>5</v>
      </c>
      <c r="F1296" s="3" t="s">
        <v>6</v>
      </c>
      <c r="G1296" s="38" t="s">
        <v>61</v>
      </c>
      <c r="H1296" s="39" t="s">
        <v>62</v>
      </c>
      <c r="I1296" s="39" t="s">
        <v>63</v>
      </c>
      <c r="J1296" s="69" t="s">
        <v>9</v>
      </c>
      <c r="K1296" s="136"/>
    </row>
    <row r="1297" spans="1:11" ht="32.25" customHeight="1" x14ac:dyDescent="0.25">
      <c r="A1297" s="7" t="s">
        <v>1087</v>
      </c>
      <c r="B1297" s="23">
        <f>ORÇAMENTO!B287</f>
        <v>89576</v>
      </c>
      <c r="C1297" s="23" t="s">
        <v>13</v>
      </c>
      <c r="D1297" s="139" t="str">
        <f>ORÇAMENTO!D287</f>
        <v>TUBO PVC, SÉRIE R, ÁGUA PLUVIAL, DN 75 MM, FORNECIDO E INSTALADO EM CONDUTORES VERTICAIS DE ÁGUAS PLUVIAIS. AF_06/2022</v>
      </c>
      <c r="E1297" s="140" t="s">
        <v>16</v>
      </c>
      <c r="F1297" s="8"/>
      <c r="G1297" s="63"/>
      <c r="H1297" s="33"/>
      <c r="I1297" s="63"/>
      <c r="J1297" s="46"/>
      <c r="K1297" s="136"/>
    </row>
    <row r="1298" spans="1:11" x14ac:dyDescent="0.25">
      <c r="A1298" s="10"/>
      <c r="B1298" s="30"/>
      <c r="C1298" s="30"/>
      <c r="D1298" s="36" t="s">
        <v>390</v>
      </c>
      <c r="E1298" s="12"/>
      <c r="F1298" s="122">
        <v>5.5</v>
      </c>
      <c r="G1298" s="31"/>
      <c r="H1298" s="31"/>
      <c r="I1298" s="31"/>
      <c r="J1298" s="52">
        <f>F1298</f>
        <v>5.5</v>
      </c>
      <c r="K1298" s="136"/>
    </row>
    <row r="1299" spans="1:11" x14ac:dyDescent="0.25">
      <c r="A1299" s="75"/>
      <c r="B1299" s="65"/>
      <c r="C1299" s="65"/>
      <c r="D1299" s="124"/>
      <c r="E1299" s="125"/>
      <c r="F1299" s="146"/>
      <c r="G1299" s="147"/>
      <c r="H1299" s="147"/>
      <c r="I1299" s="147"/>
      <c r="J1299" s="127"/>
      <c r="K1299" s="136"/>
    </row>
    <row r="1300" spans="1:11" x14ac:dyDescent="0.25">
      <c r="A1300" s="2" t="s">
        <v>1</v>
      </c>
      <c r="B1300" s="21" t="s">
        <v>2</v>
      </c>
      <c r="C1300" s="28" t="s">
        <v>3</v>
      </c>
      <c r="D1300" s="2" t="s">
        <v>4</v>
      </c>
      <c r="E1300" s="4" t="s">
        <v>5</v>
      </c>
      <c r="F1300" s="3" t="s">
        <v>6</v>
      </c>
      <c r="G1300" s="38" t="s">
        <v>61</v>
      </c>
      <c r="H1300" s="39" t="s">
        <v>62</v>
      </c>
      <c r="I1300" s="39" t="s">
        <v>63</v>
      </c>
      <c r="J1300" s="69" t="s">
        <v>9</v>
      </c>
      <c r="K1300" s="136"/>
    </row>
    <row r="1301" spans="1:11" ht="31.5" customHeight="1" x14ac:dyDescent="0.25">
      <c r="A1301" s="7" t="s">
        <v>1088</v>
      </c>
      <c r="B1301" s="23">
        <f>ORÇAMENTO!B288</f>
        <v>89578</v>
      </c>
      <c r="C1301" s="23" t="s">
        <v>13</v>
      </c>
      <c r="D1301" s="139" t="str">
        <f>ORÇAMENTO!D288</f>
        <v>TUBO PVC, SÉRIE R, ÁGUA PLUVIAL, DN 100 MM, FORNECIDO E INSTALADO EM CONDUTORES VERTICAIS DE ÁGUAS PLUVIAIS. AF_06/2022</v>
      </c>
      <c r="E1301" s="140" t="s">
        <v>16</v>
      </c>
      <c r="F1301" s="8"/>
      <c r="G1301" s="63"/>
      <c r="H1301" s="33"/>
      <c r="I1301" s="63"/>
      <c r="J1301" s="46"/>
      <c r="K1301" s="136"/>
    </row>
    <row r="1302" spans="1:11" x14ac:dyDescent="0.25">
      <c r="A1302" s="10"/>
      <c r="B1302" s="30"/>
      <c r="C1302" s="30"/>
      <c r="D1302" s="36" t="s">
        <v>390</v>
      </c>
      <c r="E1302" s="12"/>
      <c r="G1302" s="122">
        <v>34.43</v>
      </c>
      <c r="H1302" s="31"/>
      <c r="I1302" s="31"/>
      <c r="J1302" s="52">
        <f>G1302</f>
        <v>34.43</v>
      </c>
      <c r="K1302" s="136"/>
    </row>
    <row r="1303" spans="1:11" x14ac:dyDescent="0.25">
      <c r="A1303" s="75"/>
      <c r="B1303" s="65"/>
      <c r="C1303" s="65"/>
      <c r="D1303" s="124"/>
      <c r="E1303" s="125"/>
      <c r="F1303" s="146"/>
      <c r="G1303" s="147"/>
      <c r="H1303" s="147"/>
      <c r="I1303" s="147"/>
      <c r="J1303" s="127"/>
      <c r="K1303" s="136"/>
    </row>
    <row r="1304" spans="1:11" x14ac:dyDescent="0.25">
      <c r="A1304" s="2" t="s">
        <v>1</v>
      </c>
      <c r="B1304" s="21" t="s">
        <v>2</v>
      </c>
      <c r="C1304" s="28" t="s">
        <v>3</v>
      </c>
      <c r="D1304" s="2" t="s">
        <v>4</v>
      </c>
      <c r="E1304" s="4" t="s">
        <v>5</v>
      </c>
      <c r="F1304" s="3" t="s">
        <v>6</v>
      </c>
      <c r="G1304" s="38" t="s">
        <v>61</v>
      </c>
      <c r="H1304" s="39" t="s">
        <v>62</v>
      </c>
      <c r="I1304" s="39" t="s">
        <v>63</v>
      </c>
      <c r="J1304" s="69" t="s">
        <v>9</v>
      </c>
      <c r="K1304" s="136"/>
    </row>
    <row r="1305" spans="1:11" ht="30" customHeight="1" x14ac:dyDescent="0.25">
      <c r="A1305" s="7" t="s">
        <v>1089</v>
      </c>
      <c r="B1305" s="23">
        <f>ORÇAMENTO!B289</f>
        <v>89580</v>
      </c>
      <c r="C1305" s="23" t="s">
        <v>13</v>
      </c>
      <c r="D1305" s="139" t="str">
        <f>ORÇAMENTO!D289</f>
        <v>TUBO PVC, SÉRIE R, ÁGUA PLUVIAL, DN 150 MM, FORNECIDO E INSTALADO EM CONDUTORES VERTICAIS DE ÁGUAS PLUVIAIS. AF_06/2022</v>
      </c>
      <c r="E1305" s="140" t="s">
        <v>16</v>
      </c>
      <c r="F1305" s="8"/>
      <c r="G1305" s="63"/>
      <c r="H1305" s="33"/>
      <c r="I1305" s="63"/>
      <c r="J1305" s="46"/>
      <c r="K1305" s="136"/>
    </row>
    <row r="1306" spans="1:11" x14ac:dyDescent="0.25">
      <c r="A1306" s="10"/>
      <c r="B1306" s="30"/>
      <c r="C1306" s="30"/>
      <c r="D1306" s="36" t="s">
        <v>390</v>
      </c>
      <c r="E1306" s="12"/>
      <c r="G1306" s="122">
        <v>51.73</v>
      </c>
      <c r="H1306" s="31"/>
      <c r="I1306" s="31"/>
      <c r="J1306" s="52">
        <f>G1306</f>
        <v>51.73</v>
      </c>
      <c r="K1306" s="136"/>
    </row>
    <row r="1307" spans="1:11" x14ac:dyDescent="0.25">
      <c r="A1307" s="75"/>
      <c r="B1307" s="65"/>
      <c r="C1307" s="65"/>
      <c r="D1307" s="124"/>
      <c r="E1307" s="125"/>
      <c r="F1307" s="146"/>
      <c r="G1307" s="147"/>
      <c r="H1307" s="147"/>
      <c r="I1307" s="147"/>
      <c r="J1307" s="127"/>
      <c r="K1307" s="136"/>
    </row>
    <row r="1308" spans="1:11" x14ac:dyDescent="0.25">
      <c r="A1308" s="2" t="s">
        <v>1</v>
      </c>
      <c r="B1308" s="21" t="s">
        <v>2</v>
      </c>
      <c r="C1308" s="28" t="s">
        <v>3</v>
      </c>
      <c r="D1308" s="2" t="s">
        <v>4</v>
      </c>
      <c r="E1308" s="4" t="s">
        <v>5</v>
      </c>
      <c r="F1308" s="3" t="s">
        <v>6</v>
      </c>
      <c r="G1308" s="38" t="s">
        <v>61</v>
      </c>
      <c r="H1308" s="39" t="s">
        <v>62</v>
      </c>
      <c r="I1308" s="39" t="s">
        <v>63</v>
      </c>
      <c r="J1308" s="69" t="s">
        <v>9</v>
      </c>
      <c r="K1308" s="136"/>
    </row>
    <row r="1309" spans="1:11" ht="42.75" customHeight="1" x14ac:dyDescent="0.25">
      <c r="A1309" s="7" t="s">
        <v>1090</v>
      </c>
      <c r="B1309" s="23">
        <f>ORÇAMENTO!B290</f>
        <v>89584</v>
      </c>
      <c r="C1309" s="23" t="s">
        <v>13</v>
      </c>
      <c r="D1309" s="139" t="str">
        <f>ORÇAMENTO!D290</f>
        <v>JOELHO 90 GRAUS, PVC, SERIE R, ÁGUA PLUVIAL, DN 100 MM, JUNTA ELÁSTICA, FORNECIDO E INSTALADO EM CONDUTORES VERTICAIS DE ÁGUAS PLUVIAIS. AF_06/2022</v>
      </c>
      <c r="E1309" s="140" t="s">
        <v>14</v>
      </c>
      <c r="F1309" s="8"/>
      <c r="G1309" s="63"/>
      <c r="H1309" s="33"/>
      <c r="I1309" s="63"/>
      <c r="J1309" s="46"/>
      <c r="K1309" s="136"/>
    </row>
    <row r="1310" spans="1:11" x14ac:dyDescent="0.25">
      <c r="A1310" s="10"/>
      <c r="B1310" s="30"/>
      <c r="C1310" s="30"/>
      <c r="D1310" s="36" t="s">
        <v>390</v>
      </c>
      <c r="E1310" s="12"/>
      <c r="F1310" s="122">
        <v>8</v>
      </c>
      <c r="G1310" s="31"/>
      <c r="H1310" s="31"/>
      <c r="I1310" s="31"/>
      <c r="J1310" s="52">
        <f>F1310</f>
        <v>8</v>
      </c>
      <c r="K1310" s="136"/>
    </row>
    <row r="1311" spans="1:11" x14ac:dyDescent="0.25">
      <c r="A1311" s="430"/>
      <c r="B1311" s="431"/>
      <c r="C1311" s="431"/>
      <c r="D1311" s="501"/>
      <c r="E1311" s="433"/>
      <c r="F1311" s="434"/>
      <c r="G1311" s="477"/>
      <c r="H1311" s="477"/>
      <c r="I1311" s="477"/>
      <c r="J1311" s="436"/>
      <c r="K1311" s="136"/>
    </row>
    <row r="1312" spans="1:11" s="462" customFormat="1" x14ac:dyDescent="0.25">
      <c r="A1312" s="455" t="s">
        <v>1</v>
      </c>
      <c r="B1312" s="456" t="s">
        <v>2</v>
      </c>
      <c r="C1312" s="456" t="s">
        <v>3</v>
      </c>
      <c r="D1312" s="493" t="s">
        <v>4</v>
      </c>
      <c r="E1312" s="456" t="s">
        <v>5</v>
      </c>
      <c r="F1312" s="3" t="s">
        <v>6</v>
      </c>
      <c r="G1312" s="458"/>
      <c r="H1312" s="458"/>
      <c r="I1312" s="458"/>
      <c r="J1312" s="459" t="s">
        <v>9</v>
      </c>
    </row>
    <row r="1313" spans="1:10" s="463" customFormat="1" x14ac:dyDescent="0.25">
      <c r="A1313" s="450" t="s">
        <v>1091</v>
      </c>
      <c r="B1313" s="451" t="s">
        <v>826</v>
      </c>
      <c r="C1313" s="451" t="s">
        <v>581</v>
      </c>
      <c r="D1313" s="452" t="s">
        <v>827</v>
      </c>
      <c r="E1313" s="451" t="s">
        <v>783</v>
      </c>
      <c r="F1313" s="453"/>
      <c r="G1313" s="453"/>
      <c r="H1313" s="453"/>
      <c r="I1313" s="453"/>
    </row>
    <row r="1314" spans="1:10" x14ac:dyDescent="0.25">
      <c r="A1314" s="440"/>
      <c r="B1314" s="441"/>
      <c r="C1314" s="441"/>
      <c r="D1314" s="442" t="s">
        <v>833</v>
      </c>
      <c r="E1314" s="441"/>
      <c r="F1314" s="443">
        <v>6</v>
      </c>
      <c r="G1314" s="443"/>
      <c r="H1314" s="443"/>
      <c r="I1314" s="443"/>
      <c r="J1314" s="465">
        <f>SUM(F1314)</f>
        <v>6</v>
      </c>
    </row>
    <row r="1315" spans="1:10" x14ac:dyDescent="0.25">
      <c r="A1315" s="440"/>
      <c r="B1315" s="441"/>
      <c r="C1315" s="441"/>
      <c r="D1315" s="442"/>
      <c r="E1315" s="441"/>
      <c r="F1315" s="443"/>
      <c r="G1315" s="443"/>
      <c r="H1315" s="443"/>
      <c r="I1315" s="443"/>
      <c r="J1315" s="443"/>
    </row>
    <row r="1316" spans="1:10" s="462" customFormat="1" x14ac:dyDescent="0.25">
      <c r="A1316" s="455" t="s">
        <v>1</v>
      </c>
      <c r="B1316" s="456" t="s">
        <v>2</v>
      </c>
      <c r="C1316" s="456" t="s">
        <v>3</v>
      </c>
      <c r="D1316" s="493" t="s">
        <v>4</v>
      </c>
      <c r="E1316" s="456" t="s">
        <v>5</v>
      </c>
      <c r="F1316" s="502" t="s">
        <v>6</v>
      </c>
      <c r="G1316" s="458"/>
      <c r="H1316" s="458"/>
      <c r="I1316" s="458"/>
      <c r="J1316" s="459" t="s">
        <v>9</v>
      </c>
    </row>
    <row r="1317" spans="1:10" s="463" customFormat="1" ht="26.4" x14ac:dyDescent="0.25">
      <c r="A1317" s="450" t="s">
        <v>1092</v>
      </c>
      <c r="B1317" s="451" t="s">
        <v>828</v>
      </c>
      <c r="C1317" s="451" t="s">
        <v>13</v>
      </c>
      <c r="D1317" s="452" t="s">
        <v>829</v>
      </c>
      <c r="E1317" s="451" t="s">
        <v>14</v>
      </c>
      <c r="F1317" s="453"/>
      <c r="G1317" s="453"/>
      <c r="H1317" s="453"/>
      <c r="I1317" s="453"/>
    </row>
    <row r="1318" spans="1:10" x14ac:dyDescent="0.25">
      <c r="A1318" s="440"/>
      <c r="B1318" s="441"/>
      <c r="C1318" s="441"/>
      <c r="D1318" s="442" t="s">
        <v>833</v>
      </c>
      <c r="E1318" s="441"/>
      <c r="F1318" s="443">
        <v>1</v>
      </c>
      <c r="G1318" s="443"/>
      <c r="H1318" s="443"/>
      <c r="I1318" s="443"/>
      <c r="J1318" s="465">
        <f>SUM(F1318)</f>
        <v>1</v>
      </c>
    </row>
    <row r="1319" spans="1:10" x14ac:dyDescent="0.25">
      <c r="A1319" s="440"/>
      <c r="B1319" s="441"/>
      <c r="C1319" s="441"/>
      <c r="D1319" s="442"/>
      <c r="E1319" s="441"/>
      <c r="F1319" s="443"/>
      <c r="G1319" s="443"/>
      <c r="H1319" s="443"/>
      <c r="I1319" s="443"/>
      <c r="J1319" s="443"/>
    </row>
    <row r="1320" spans="1:10" s="462" customFormat="1" x14ac:dyDescent="0.25">
      <c r="A1320" s="455" t="s">
        <v>1</v>
      </c>
      <c r="B1320" s="456" t="s">
        <v>2</v>
      </c>
      <c r="C1320" s="456" t="s">
        <v>3</v>
      </c>
      <c r="D1320" s="491" t="s">
        <v>4</v>
      </c>
      <c r="E1320" s="456" t="s">
        <v>5</v>
      </c>
      <c r="F1320" s="503" t="s">
        <v>6</v>
      </c>
      <c r="G1320" s="458"/>
      <c r="H1320" s="458"/>
      <c r="I1320" s="458"/>
      <c r="J1320" s="459" t="s">
        <v>9</v>
      </c>
    </row>
    <row r="1321" spans="1:10" s="463" customFormat="1" ht="39.6" x14ac:dyDescent="0.25">
      <c r="A1321" s="450" t="s">
        <v>1093</v>
      </c>
      <c r="B1321" s="451" t="s">
        <v>834</v>
      </c>
      <c r="C1321" s="451" t="s">
        <v>13</v>
      </c>
      <c r="D1321" s="452" t="s">
        <v>830</v>
      </c>
      <c r="E1321" s="451" t="s">
        <v>14</v>
      </c>
      <c r="F1321" s="453"/>
      <c r="G1321" s="453"/>
      <c r="H1321" s="453"/>
      <c r="I1321" s="453"/>
    </row>
    <row r="1322" spans="1:10" x14ac:dyDescent="0.25">
      <c r="A1322" s="440"/>
      <c r="B1322" s="441"/>
      <c r="C1322" s="441"/>
      <c r="D1322" s="442" t="s">
        <v>833</v>
      </c>
      <c r="E1322" s="441"/>
      <c r="F1322" s="443">
        <v>1</v>
      </c>
      <c r="G1322" s="443"/>
      <c r="H1322" s="443"/>
      <c r="I1322" s="443"/>
      <c r="J1322" s="465">
        <f>SUM(F1322)</f>
        <v>1</v>
      </c>
    </row>
    <row r="1323" spans="1:10" x14ac:dyDescent="0.25">
      <c r="A1323" s="440"/>
      <c r="B1323" s="441"/>
      <c r="C1323" s="441"/>
      <c r="D1323" s="442"/>
      <c r="E1323" s="441"/>
      <c r="F1323" s="443"/>
      <c r="G1323" s="443"/>
      <c r="H1323" s="443"/>
      <c r="I1323" s="443"/>
      <c r="J1323" s="443"/>
    </row>
    <row r="1324" spans="1:10" s="462" customFormat="1" x14ac:dyDescent="0.25">
      <c r="A1324" s="455" t="s">
        <v>1</v>
      </c>
      <c r="B1324" s="456" t="s">
        <v>2</v>
      </c>
      <c r="C1324" s="456" t="s">
        <v>3</v>
      </c>
      <c r="D1324" s="491" t="s">
        <v>4</v>
      </c>
      <c r="E1324" s="456" t="s">
        <v>5</v>
      </c>
      <c r="F1324" s="503" t="s">
        <v>6</v>
      </c>
      <c r="G1324" s="458"/>
      <c r="H1324" s="458"/>
      <c r="I1324" s="458"/>
      <c r="J1324" s="459" t="s">
        <v>9</v>
      </c>
    </row>
    <row r="1325" spans="1:10" s="463" customFormat="1" ht="39.6" x14ac:dyDescent="0.25">
      <c r="A1325" s="450" t="s">
        <v>1094</v>
      </c>
      <c r="B1325" s="451" t="s">
        <v>835</v>
      </c>
      <c r="C1325" s="451" t="s">
        <v>13</v>
      </c>
      <c r="D1325" s="452" t="s">
        <v>831</v>
      </c>
      <c r="E1325" s="451" t="s">
        <v>14</v>
      </c>
      <c r="F1325" s="453"/>
      <c r="G1325" s="453"/>
      <c r="H1325" s="453"/>
      <c r="I1325" s="453"/>
    </row>
    <row r="1326" spans="1:10" x14ac:dyDescent="0.25">
      <c r="A1326" s="440"/>
      <c r="B1326" s="441"/>
      <c r="C1326" s="441"/>
      <c r="D1326" s="442" t="s">
        <v>833</v>
      </c>
      <c r="E1326" s="441"/>
      <c r="G1326" s="443"/>
      <c r="H1326" s="443"/>
      <c r="I1326" s="443"/>
      <c r="J1326" s="465">
        <f>SUM(F1327:F1330)</f>
        <v>16</v>
      </c>
    </row>
    <row r="1327" spans="1:10" x14ac:dyDescent="0.25">
      <c r="A1327" s="440"/>
      <c r="B1327" s="441"/>
      <c r="C1327" s="441"/>
      <c r="D1327" s="442" t="s">
        <v>836</v>
      </c>
      <c r="E1327" s="441"/>
      <c r="F1327" s="443">
        <v>2</v>
      </c>
      <c r="G1327" s="443"/>
      <c r="H1327" s="443"/>
      <c r="I1327" s="443"/>
      <c r="J1327" s="443"/>
    </row>
    <row r="1328" spans="1:10" x14ac:dyDescent="0.25">
      <c r="A1328" s="440"/>
      <c r="B1328" s="441"/>
      <c r="C1328" s="441"/>
      <c r="D1328" s="442" t="s">
        <v>837</v>
      </c>
      <c r="E1328" s="441"/>
      <c r="F1328" s="443">
        <v>4</v>
      </c>
      <c r="G1328" s="443"/>
      <c r="H1328" s="443"/>
      <c r="I1328" s="443"/>
      <c r="J1328" s="443"/>
    </row>
    <row r="1329" spans="1:11" x14ac:dyDescent="0.25">
      <c r="A1329" s="440"/>
      <c r="B1329" s="441"/>
      <c r="C1329" s="441"/>
      <c r="D1329" s="442" t="s">
        <v>838</v>
      </c>
      <c r="E1329" s="441"/>
      <c r="F1329" s="443">
        <v>8</v>
      </c>
      <c r="G1329" s="443"/>
      <c r="H1329" s="443"/>
      <c r="I1329" s="443"/>
      <c r="J1329" s="443"/>
    </row>
    <row r="1330" spans="1:11" x14ac:dyDescent="0.25">
      <c r="A1330" s="440"/>
      <c r="B1330" s="441"/>
      <c r="C1330" s="441"/>
      <c r="D1330" s="442" t="s">
        <v>839</v>
      </c>
      <c r="E1330" s="441"/>
      <c r="F1330" s="443">
        <v>2</v>
      </c>
      <c r="G1330" s="443"/>
      <c r="H1330" s="443"/>
      <c r="I1330" s="443"/>
      <c r="J1330" s="443"/>
    </row>
    <row r="1331" spans="1:11" x14ac:dyDescent="0.25">
      <c r="A1331" s="440"/>
      <c r="B1331" s="441"/>
      <c r="C1331" s="441"/>
      <c r="D1331" s="442"/>
      <c r="E1331" s="441"/>
      <c r="F1331" s="443"/>
      <c r="G1331" s="443"/>
      <c r="H1331" s="443"/>
      <c r="I1331" s="443"/>
      <c r="J1331" s="443"/>
    </row>
    <row r="1332" spans="1:11" s="462" customFormat="1" x14ac:dyDescent="0.25">
      <c r="A1332" s="455" t="s">
        <v>1</v>
      </c>
      <c r="B1332" s="456" t="s">
        <v>2</v>
      </c>
      <c r="C1332" s="456" t="s">
        <v>3</v>
      </c>
      <c r="D1332" s="491" t="s">
        <v>4</v>
      </c>
      <c r="E1332" s="456" t="s">
        <v>5</v>
      </c>
      <c r="F1332" s="503" t="s">
        <v>6</v>
      </c>
      <c r="G1332" s="458"/>
      <c r="H1332" s="458"/>
      <c r="I1332" s="458"/>
      <c r="J1332" s="458" t="s">
        <v>9</v>
      </c>
    </row>
    <row r="1333" spans="1:11" s="463" customFormat="1" ht="26.4" x14ac:dyDescent="0.25">
      <c r="A1333" s="450" t="s">
        <v>1095</v>
      </c>
      <c r="B1333" s="451" t="s">
        <v>840</v>
      </c>
      <c r="C1333" s="451" t="s">
        <v>13</v>
      </c>
      <c r="D1333" s="452" t="s">
        <v>832</v>
      </c>
      <c r="E1333" s="451" t="s">
        <v>14</v>
      </c>
      <c r="F1333" s="453"/>
      <c r="G1333" s="453"/>
      <c r="H1333" s="453"/>
      <c r="I1333" s="453"/>
    </row>
    <row r="1334" spans="1:11" x14ac:dyDescent="0.25">
      <c r="A1334" s="440"/>
      <c r="B1334" s="441"/>
      <c r="C1334" s="441"/>
      <c r="D1334" s="442" t="s">
        <v>833</v>
      </c>
      <c r="E1334" s="441"/>
      <c r="F1334" s="443">
        <v>2</v>
      </c>
      <c r="G1334" s="443"/>
      <c r="H1334" s="443"/>
      <c r="I1334" s="443"/>
      <c r="J1334" s="465">
        <f>SUM(F1334)</f>
        <v>2</v>
      </c>
    </row>
    <row r="1335" spans="1:11" x14ac:dyDescent="0.25">
      <c r="A1335" s="478"/>
      <c r="B1335" s="479"/>
      <c r="C1335" s="479"/>
      <c r="D1335" s="495"/>
      <c r="E1335" s="480"/>
      <c r="F1335" s="481"/>
      <c r="G1335" s="482"/>
      <c r="H1335" s="482"/>
      <c r="I1335" s="482"/>
      <c r="J1335" s="483"/>
      <c r="K1335" s="136"/>
    </row>
    <row r="1336" spans="1:11" s="219" customFormat="1" x14ac:dyDescent="0.25">
      <c r="A1336" s="5">
        <v>10</v>
      </c>
      <c r="B1336" s="22"/>
      <c r="C1336" s="22"/>
      <c r="D1336" s="5" t="s">
        <v>371</v>
      </c>
      <c r="E1336" s="5"/>
      <c r="F1336" s="6"/>
      <c r="G1336" s="40"/>
      <c r="H1336" s="41"/>
      <c r="I1336" s="42"/>
      <c r="J1336" s="68"/>
    </row>
    <row r="1337" spans="1:11" x14ac:dyDescent="0.25">
      <c r="A1337" s="2" t="s">
        <v>1</v>
      </c>
      <c r="B1337" s="21" t="s">
        <v>2</v>
      </c>
      <c r="C1337" s="28" t="s">
        <v>3</v>
      </c>
      <c r="D1337" s="2" t="s">
        <v>4</v>
      </c>
      <c r="E1337" s="4" t="s">
        <v>5</v>
      </c>
      <c r="F1337" s="3" t="s">
        <v>6</v>
      </c>
      <c r="G1337" s="38" t="s">
        <v>61</v>
      </c>
      <c r="H1337" s="39" t="s">
        <v>62</v>
      </c>
      <c r="I1337" s="39" t="s">
        <v>63</v>
      </c>
      <c r="J1337" s="69" t="s">
        <v>9</v>
      </c>
      <c r="K1337" s="136"/>
    </row>
    <row r="1338" spans="1:11" ht="30" customHeight="1" x14ac:dyDescent="0.25">
      <c r="A1338" s="7" t="s">
        <v>116</v>
      </c>
      <c r="B1338" s="23">
        <f>ORÇAMENTO!B297</f>
        <v>103957</v>
      </c>
      <c r="C1338" s="23" t="str">
        <f>ORÇAMENTO!C297</f>
        <v>SINAPI</v>
      </c>
      <c r="D1338" s="139" t="str">
        <f>ORÇAMENTO!D297</f>
        <v>BUCHA DE REDUÇÃO, CURTA, PVC, SOLDÁVEL, DN 32 X 25 MM, INSTALADO EM PRUMADA DE ÁGUA - FORNECIMENTO E INSTALAÇÃO. AF_06/2022</v>
      </c>
      <c r="E1338" s="140" t="s">
        <v>14</v>
      </c>
      <c r="F1338" s="8"/>
      <c r="G1338" s="63"/>
      <c r="H1338" s="33"/>
      <c r="I1338" s="63"/>
      <c r="J1338" s="46"/>
      <c r="K1338" s="136"/>
    </row>
    <row r="1339" spans="1:11" x14ac:dyDescent="0.25">
      <c r="A1339" s="10"/>
      <c r="B1339" s="30"/>
      <c r="C1339" s="30"/>
      <c r="D1339" s="36" t="s">
        <v>390</v>
      </c>
      <c r="E1339" s="12"/>
      <c r="F1339" s="122">
        <v>14</v>
      </c>
      <c r="G1339" s="31"/>
      <c r="H1339" s="31"/>
      <c r="I1339" s="31"/>
      <c r="J1339" s="52">
        <f>F1339</f>
        <v>14</v>
      </c>
      <c r="K1339" s="136"/>
    </row>
    <row r="1340" spans="1:11" x14ac:dyDescent="0.25">
      <c r="A1340" s="75"/>
      <c r="B1340" s="65"/>
      <c r="C1340" s="65"/>
      <c r="D1340" s="124"/>
      <c r="E1340" s="125"/>
      <c r="F1340" s="146"/>
      <c r="G1340" s="147"/>
      <c r="H1340" s="147"/>
      <c r="I1340" s="147"/>
      <c r="J1340" s="127"/>
      <c r="K1340" s="136"/>
    </row>
    <row r="1341" spans="1:11" x14ac:dyDescent="0.25">
      <c r="A1341" s="2" t="s">
        <v>1</v>
      </c>
      <c r="B1341" s="21" t="s">
        <v>2</v>
      </c>
      <c r="C1341" s="28" t="s">
        <v>3</v>
      </c>
      <c r="D1341" s="2" t="s">
        <v>4</v>
      </c>
      <c r="E1341" s="4" t="s">
        <v>5</v>
      </c>
      <c r="F1341" s="3" t="s">
        <v>6</v>
      </c>
      <c r="G1341" s="38" t="s">
        <v>61</v>
      </c>
      <c r="H1341" s="39" t="s">
        <v>62</v>
      </c>
      <c r="I1341" s="39" t="s">
        <v>63</v>
      </c>
      <c r="J1341" s="69" t="s">
        <v>9</v>
      </c>
      <c r="K1341" s="136"/>
    </row>
    <row r="1342" spans="1:11" ht="29.25" customHeight="1" x14ac:dyDescent="0.25">
      <c r="A1342" s="7" t="s">
        <v>117</v>
      </c>
      <c r="B1342" s="23">
        <f>ORÇAMENTO!B298</f>
        <v>89867</v>
      </c>
      <c r="C1342" s="23" t="str">
        <f>ORÇAMENTO!C298</f>
        <v>SINAPI</v>
      </c>
      <c r="D1342" s="139" t="str">
        <f>ORÇAMENTO!D298</f>
        <v>JOELHO 45 GRAUS, PVC, SOLDÁVEL, DN 25MM, INSTALADO EM DRENO DE AR-CONDICIONADO - FORNECIMENTO E INSTALAÇÃO. AF_08/2022</v>
      </c>
      <c r="E1342" s="140" t="s">
        <v>14</v>
      </c>
      <c r="F1342" s="8"/>
      <c r="G1342" s="63"/>
      <c r="H1342" s="33"/>
      <c r="I1342" s="63"/>
      <c r="J1342" s="46"/>
      <c r="K1342" s="136"/>
    </row>
    <row r="1343" spans="1:11" x14ac:dyDescent="0.25">
      <c r="A1343" s="10"/>
      <c r="B1343" s="30"/>
      <c r="C1343" s="30"/>
      <c r="D1343" s="36" t="s">
        <v>390</v>
      </c>
      <c r="E1343" s="12"/>
      <c r="F1343" s="122">
        <v>11</v>
      </c>
      <c r="G1343" s="31"/>
      <c r="H1343" s="31"/>
      <c r="I1343" s="31"/>
      <c r="J1343" s="52">
        <f>F1343</f>
        <v>11</v>
      </c>
      <c r="K1343" s="136"/>
    </row>
    <row r="1344" spans="1:11" x14ac:dyDescent="0.25">
      <c r="A1344" s="75"/>
      <c r="B1344" s="65"/>
      <c r="C1344" s="65"/>
      <c r="D1344" s="124"/>
      <c r="E1344" s="125"/>
      <c r="F1344" s="146"/>
      <c r="G1344" s="147"/>
      <c r="H1344" s="147"/>
      <c r="I1344" s="147"/>
      <c r="J1344" s="127"/>
      <c r="K1344" s="136"/>
    </row>
    <row r="1345" spans="1:11" x14ac:dyDescent="0.25">
      <c r="A1345" s="2" t="s">
        <v>1</v>
      </c>
      <c r="B1345" s="21" t="s">
        <v>2</v>
      </c>
      <c r="C1345" s="28" t="s">
        <v>3</v>
      </c>
      <c r="D1345" s="2" t="s">
        <v>4</v>
      </c>
      <c r="E1345" s="4" t="s">
        <v>5</v>
      </c>
      <c r="F1345" s="3" t="s">
        <v>6</v>
      </c>
      <c r="G1345" s="38" t="s">
        <v>61</v>
      </c>
      <c r="H1345" s="39" t="s">
        <v>62</v>
      </c>
      <c r="I1345" s="39" t="s">
        <v>63</v>
      </c>
      <c r="J1345" s="69" t="s">
        <v>9</v>
      </c>
      <c r="K1345" s="136"/>
    </row>
    <row r="1346" spans="1:11" ht="29.25" customHeight="1" x14ac:dyDescent="0.25">
      <c r="A1346" s="7" t="s">
        <v>118</v>
      </c>
      <c r="B1346" s="23">
        <f>ORÇAMENTO!B299</f>
        <v>104320</v>
      </c>
      <c r="C1346" s="23" t="str">
        <f>ORÇAMENTO!C299</f>
        <v>SINAPI</v>
      </c>
      <c r="D1346" s="139" t="str">
        <f>ORÇAMENTO!D299</f>
        <v>JOELHO 45 GRAUS, PVC, SOLDÁVEL, DN 32 MM, INSTALADO EM DRENO DE AR CONDICIONADO - FORNECIMENTO E INSTALAÇÃO. AF_08/2022</v>
      </c>
      <c r="E1346" s="140" t="s">
        <v>14</v>
      </c>
      <c r="F1346" s="8"/>
      <c r="G1346" s="63"/>
      <c r="H1346" s="33"/>
      <c r="I1346" s="63"/>
      <c r="J1346" s="46"/>
      <c r="K1346" s="136"/>
    </row>
    <row r="1347" spans="1:11" x14ac:dyDescent="0.25">
      <c r="A1347" s="10"/>
      <c r="B1347" s="30"/>
      <c r="C1347" s="30"/>
      <c r="D1347" s="36" t="s">
        <v>390</v>
      </c>
      <c r="E1347" s="12"/>
      <c r="F1347" s="122">
        <v>10</v>
      </c>
      <c r="G1347" s="31"/>
      <c r="H1347" s="31"/>
      <c r="I1347" s="31"/>
      <c r="J1347" s="52">
        <f>F1347</f>
        <v>10</v>
      </c>
      <c r="K1347" s="136"/>
    </row>
    <row r="1348" spans="1:11" x14ac:dyDescent="0.25">
      <c r="A1348" s="75"/>
      <c r="B1348" s="65"/>
      <c r="C1348" s="65"/>
      <c r="D1348" s="124"/>
      <c r="E1348" s="125"/>
      <c r="F1348" s="146"/>
      <c r="G1348" s="147"/>
      <c r="H1348" s="147"/>
      <c r="I1348" s="147"/>
      <c r="J1348" s="127"/>
      <c r="K1348" s="136"/>
    </row>
    <row r="1349" spans="1:11" x14ac:dyDescent="0.25">
      <c r="A1349" s="2" t="s">
        <v>1</v>
      </c>
      <c r="B1349" s="21" t="s">
        <v>2</v>
      </c>
      <c r="C1349" s="28" t="s">
        <v>3</v>
      </c>
      <c r="D1349" s="2" t="s">
        <v>4</v>
      </c>
      <c r="E1349" s="4" t="s">
        <v>5</v>
      </c>
      <c r="F1349" s="3" t="s">
        <v>6</v>
      </c>
      <c r="G1349" s="38" t="s">
        <v>61</v>
      </c>
      <c r="H1349" s="39" t="s">
        <v>62</v>
      </c>
      <c r="I1349" s="39" t="s">
        <v>63</v>
      </c>
      <c r="J1349" s="69" t="s">
        <v>9</v>
      </c>
      <c r="K1349" s="136"/>
    </row>
    <row r="1350" spans="1:11" ht="30" customHeight="1" x14ac:dyDescent="0.25">
      <c r="A1350" s="7" t="s">
        <v>119</v>
      </c>
      <c r="B1350" s="23">
        <f>ORÇAMENTO!B300</f>
        <v>89866</v>
      </c>
      <c r="C1350" s="23" t="str">
        <f>ORÇAMENTO!C300</f>
        <v>SINAPI</v>
      </c>
      <c r="D1350" s="139" t="str">
        <f>ORÇAMENTO!D300</f>
        <v>JOELHO 90 GRAUS, PVC, SOLDÁVEL, DN 25MM, INSTALADO EM DRENO DE AR-CONDICIONADO - FORNECIMENTO E INSTALAÇÃO. AF_08/2022</v>
      </c>
      <c r="E1350" s="140" t="s">
        <v>14</v>
      </c>
      <c r="F1350" s="8"/>
      <c r="G1350" s="63"/>
      <c r="H1350" s="33"/>
      <c r="I1350" s="63"/>
      <c r="J1350" s="46"/>
      <c r="K1350" s="136"/>
    </row>
    <row r="1351" spans="1:11" x14ac:dyDescent="0.25">
      <c r="A1351" s="10"/>
      <c r="B1351" s="30"/>
      <c r="C1351" s="30"/>
      <c r="D1351" s="36" t="s">
        <v>390</v>
      </c>
      <c r="E1351" s="12"/>
      <c r="F1351" s="122">
        <v>38</v>
      </c>
      <c r="G1351" s="31"/>
      <c r="H1351" s="31"/>
      <c r="I1351" s="31"/>
      <c r="J1351" s="52">
        <f>F1351</f>
        <v>38</v>
      </c>
      <c r="K1351" s="136"/>
    </row>
    <row r="1352" spans="1:11" x14ac:dyDescent="0.25">
      <c r="A1352" s="75"/>
      <c r="B1352" s="65"/>
      <c r="C1352" s="65"/>
      <c r="D1352" s="124"/>
      <c r="E1352" s="125"/>
      <c r="F1352" s="146"/>
      <c r="G1352" s="147"/>
      <c r="H1352" s="147"/>
      <c r="I1352" s="147"/>
      <c r="J1352" s="127"/>
      <c r="K1352" s="136"/>
    </row>
    <row r="1353" spans="1:11" x14ac:dyDescent="0.25">
      <c r="A1353" s="2" t="s">
        <v>1</v>
      </c>
      <c r="B1353" s="21" t="s">
        <v>2</v>
      </c>
      <c r="C1353" s="28" t="s">
        <v>3</v>
      </c>
      <c r="D1353" s="2" t="s">
        <v>4</v>
      </c>
      <c r="E1353" s="4" t="s">
        <v>5</v>
      </c>
      <c r="F1353" s="3" t="s">
        <v>6</v>
      </c>
      <c r="G1353" s="38" t="s">
        <v>61</v>
      </c>
      <c r="H1353" s="39" t="s">
        <v>62</v>
      </c>
      <c r="I1353" s="39" t="s">
        <v>63</v>
      </c>
      <c r="J1353" s="69" t="s">
        <v>9</v>
      </c>
      <c r="K1353" s="136"/>
    </row>
    <row r="1354" spans="1:11" ht="30" customHeight="1" x14ac:dyDescent="0.25">
      <c r="A1354" s="7" t="s">
        <v>370</v>
      </c>
      <c r="B1354" s="23">
        <f>ORÇAMENTO!B301</f>
        <v>89532</v>
      </c>
      <c r="C1354" s="23" t="str">
        <f>ORÇAMENTO!C301</f>
        <v>SINAPI</v>
      </c>
      <c r="D1354" s="139" t="str">
        <f>ORÇAMENTO!D301</f>
        <v>LUVA DE REDUÇÃO, PVC, SOLDÁVEL, DN 32MM X 25MM, INSTALADO EM PRUMADA DE ÁGUA - FORNECIMENTO E INSTALAÇÃO. AF_06/2022</v>
      </c>
      <c r="E1354" s="140" t="s">
        <v>14</v>
      </c>
      <c r="F1354" s="8"/>
      <c r="G1354" s="63"/>
      <c r="H1354" s="33"/>
      <c r="I1354" s="63"/>
      <c r="J1354" s="46"/>
      <c r="K1354" s="136"/>
    </row>
    <row r="1355" spans="1:11" x14ac:dyDescent="0.25">
      <c r="A1355" s="10"/>
      <c r="B1355" s="30"/>
      <c r="C1355" s="30"/>
      <c r="D1355" s="36" t="s">
        <v>390</v>
      </c>
      <c r="E1355" s="12"/>
      <c r="F1355" s="122">
        <v>15</v>
      </c>
      <c r="G1355" s="31"/>
      <c r="H1355" s="31"/>
      <c r="I1355" s="31"/>
      <c r="J1355" s="52">
        <f>F1355</f>
        <v>15</v>
      </c>
      <c r="K1355" s="136"/>
    </row>
    <row r="1356" spans="1:11" x14ac:dyDescent="0.25">
      <c r="A1356" s="75"/>
      <c r="B1356" s="65"/>
      <c r="C1356" s="65"/>
      <c r="D1356" s="124"/>
      <c r="E1356" s="125"/>
      <c r="F1356" s="146"/>
      <c r="G1356" s="147"/>
      <c r="H1356" s="147"/>
      <c r="I1356" s="147"/>
      <c r="J1356" s="127"/>
      <c r="K1356" s="136"/>
    </row>
    <row r="1357" spans="1:11" x14ac:dyDescent="0.25">
      <c r="A1357" s="2" t="s">
        <v>1</v>
      </c>
      <c r="B1357" s="21" t="s">
        <v>2</v>
      </c>
      <c r="C1357" s="28" t="s">
        <v>3</v>
      </c>
      <c r="D1357" s="2" t="s">
        <v>4</v>
      </c>
      <c r="E1357" s="4" t="s">
        <v>5</v>
      </c>
      <c r="F1357" s="3" t="s">
        <v>6</v>
      </c>
      <c r="G1357" s="38" t="s">
        <v>61</v>
      </c>
      <c r="H1357" s="39" t="s">
        <v>62</v>
      </c>
      <c r="I1357" s="39" t="s">
        <v>63</v>
      </c>
      <c r="J1357" s="69" t="s">
        <v>9</v>
      </c>
      <c r="K1357" s="136"/>
    </row>
    <row r="1358" spans="1:11" ht="27.75" customHeight="1" x14ac:dyDescent="0.25">
      <c r="A1358" s="7" t="s">
        <v>1096</v>
      </c>
      <c r="B1358" s="23">
        <f>ORÇAMENTO!B302</f>
        <v>89869</v>
      </c>
      <c r="C1358" s="23" t="str">
        <f>ORÇAMENTO!C302</f>
        <v>SINAPI</v>
      </c>
      <c r="D1358" s="139" t="str">
        <f>ORÇAMENTO!D302</f>
        <v>TE, PVC, SOLDÁVEL, DN 25MM, INSTALADO EM DRENO DE AR-CONDICIONADO - FORNECIMENTO E INSTALAÇÃO. AF_08/2022</v>
      </c>
      <c r="E1358" s="140" t="s">
        <v>14</v>
      </c>
      <c r="F1358" s="8"/>
      <c r="G1358" s="63"/>
      <c r="H1358" s="33"/>
      <c r="I1358" s="63"/>
      <c r="J1358" s="46"/>
      <c r="K1358" s="136"/>
    </row>
    <row r="1359" spans="1:11" x14ac:dyDescent="0.25">
      <c r="A1359" s="10"/>
      <c r="B1359" s="30"/>
      <c r="C1359" s="30"/>
      <c r="D1359" s="36" t="s">
        <v>390</v>
      </c>
      <c r="E1359" s="12"/>
      <c r="F1359" s="122">
        <v>2</v>
      </c>
      <c r="G1359" s="31"/>
      <c r="H1359" s="31"/>
      <c r="I1359" s="31"/>
      <c r="J1359" s="52">
        <f>F1359</f>
        <v>2</v>
      </c>
      <c r="K1359" s="136"/>
    </row>
    <row r="1360" spans="1:11" x14ac:dyDescent="0.25">
      <c r="A1360" s="75"/>
      <c r="B1360" s="65"/>
      <c r="C1360" s="65"/>
      <c r="D1360" s="124"/>
      <c r="E1360" s="125"/>
      <c r="F1360" s="146"/>
      <c r="G1360" s="147"/>
      <c r="H1360" s="147"/>
      <c r="I1360" s="147"/>
      <c r="J1360" s="127"/>
      <c r="K1360" s="136"/>
    </row>
    <row r="1361" spans="1:11" x14ac:dyDescent="0.25">
      <c r="A1361" s="2" t="s">
        <v>1</v>
      </c>
      <c r="B1361" s="21" t="s">
        <v>2</v>
      </c>
      <c r="C1361" s="28" t="s">
        <v>3</v>
      </c>
      <c r="D1361" s="2" t="s">
        <v>4</v>
      </c>
      <c r="E1361" s="4" t="s">
        <v>5</v>
      </c>
      <c r="F1361" s="3" t="s">
        <v>6</v>
      </c>
      <c r="G1361" s="38" t="s">
        <v>61</v>
      </c>
      <c r="H1361" s="39" t="s">
        <v>62</v>
      </c>
      <c r="I1361" s="39" t="s">
        <v>63</v>
      </c>
      <c r="J1361" s="69" t="s">
        <v>9</v>
      </c>
      <c r="K1361" s="136"/>
    </row>
    <row r="1362" spans="1:11" ht="29.25" customHeight="1" x14ac:dyDescent="0.25">
      <c r="A1362" s="7" t="s">
        <v>1097</v>
      </c>
      <c r="B1362" s="23">
        <f>ORÇAMENTO!B303</f>
        <v>104324</v>
      </c>
      <c r="C1362" s="23" t="str">
        <f>ORÇAMENTO!C303</f>
        <v>SINAPI</v>
      </c>
      <c r="D1362" s="139" t="str">
        <f>ORÇAMENTO!D303</f>
        <v>TE, PVC, SOLDÁVEL, DN 32 MM, INSTALADO EM DRENO DE AR CONDICIONADO - FORNECIMENTO E INSTALAÇÃO. AF_08/2022</v>
      </c>
      <c r="E1362" s="140" t="s">
        <v>14</v>
      </c>
      <c r="F1362" s="8"/>
      <c r="G1362" s="63"/>
      <c r="H1362" s="33"/>
      <c r="I1362" s="63"/>
      <c r="J1362" s="46"/>
      <c r="K1362" s="136"/>
    </row>
    <row r="1363" spans="1:11" x14ac:dyDescent="0.25">
      <c r="A1363" s="10"/>
      <c r="B1363" s="30"/>
      <c r="C1363" s="30"/>
      <c r="D1363" s="36" t="s">
        <v>390</v>
      </c>
      <c r="E1363" s="12"/>
      <c r="F1363" s="122">
        <v>10</v>
      </c>
      <c r="G1363" s="31"/>
      <c r="H1363" s="31"/>
      <c r="I1363" s="31"/>
      <c r="J1363" s="52">
        <f>F1363</f>
        <v>10</v>
      </c>
      <c r="K1363" s="136"/>
    </row>
    <row r="1364" spans="1:11" x14ac:dyDescent="0.25">
      <c r="A1364" s="75"/>
      <c r="B1364" s="65"/>
      <c r="C1364" s="65"/>
      <c r="D1364" s="124"/>
      <c r="E1364" s="125"/>
      <c r="F1364" s="146"/>
      <c r="G1364" s="147"/>
      <c r="H1364" s="147"/>
      <c r="I1364" s="147"/>
      <c r="J1364" s="127"/>
      <c r="K1364" s="136"/>
    </row>
    <row r="1365" spans="1:11" x14ac:dyDescent="0.25">
      <c r="A1365" s="2" t="s">
        <v>1</v>
      </c>
      <c r="B1365" s="21" t="s">
        <v>2</v>
      </c>
      <c r="C1365" s="28" t="s">
        <v>3</v>
      </c>
      <c r="D1365" s="2" t="s">
        <v>4</v>
      </c>
      <c r="E1365" s="4" t="s">
        <v>5</v>
      </c>
      <c r="F1365" s="3" t="s">
        <v>6</v>
      </c>
      <c r="G1365" s="38" t="s">
        <v>61</v>
      </c>
      <c r="H1365" s="39" t="s">
        <v>62</v>
      </c>
      <c r="I1365" s="39" t="s">
        <v>63</v>
      </c>
      <c r="J1365" s="69" t="s">
        <v>9</v>
      </c>
      <c r="K1365" s="136"/>
    </row>
    <row r="1366" spans="1:11" ht="32.25" customHeight="1" x14ac:dyDescent="0.25">
      <c r="A1366" s="7" t="s">
        <v>1098</v>
      </c>
      <c r="B1366" s="23">
        <f>ORÇAMENTO!B304</f>
        <v>89400</v>
      </c>
      <c r="C1366" s="23" t="str">
        <f>ORÇAMENTO!C304</f>
        <v>SINAPI</v>
      </c>
      <c r="D1366" s="139" t="str">
        <f>ORÇAMENTO!D304</f>
        <v>TÊ DE REDUÇÃO, PVC, SOLDÁVEL, DN 32MM X 25MM, INSTALADO EM RAMAL OU SUB-RAMAL DE ÁGUA - FORNECIMENTO E INSTALAÇÃO. AF_06/2022</v>
      </c>
      <c r="E1366" s="140" t="s">
        <v>14</v>
      </c>
      <c r="F1366" s="8"/>
      <c r="G1366" s="63"/>
      <c r="H1366" s="33"/>
      <c r="I1366" s="63"/>
      <c r="J1366" s="46"/>
      <c r="K1366" s="136"/>
    </row>
    <row r="1367" spans="1:11" x14ac:dyDescent="0.25">
      <c r="A1367" s="10"/>
      <c r="B1367" s="30"/>
      <c r="C1367" s="30"/>
      <c r="D1367" s="36" t="s">
        <v>390</v>
      </c>
      <c r="E1367" s="12"/>
      <c r="F1367" s="122">
        <v>2</v>
      </c>
      <c r="G1367" s="31"/>
      <c r="H1367" s="31"/>
      <c r="I1367" s="31"/>
      <c r="J1367" s="52">
        <f>F1367</f>
        <v>2</v>
      </c>
      <c r="K1367" s="136"/>
    </row>
    <row r="1368" spans="1:11" x14ac:dyDescent="0.25">
      <c r="A1368" s="75"/>
      <c r="B1368" s="65"/>
      <c r="C1368" s="65"/>
      <c r="D1368" s="124"/>
      <c r="E1368" s="125"/>
      <c r="F1368" s="146"/>
      <c r="G1368" s="147"/>
      <c r="H1368" s="147"/>
      <c r="I1368" s="147"/>
      <c r="J1368" s="127"/>
      <c r="K1368" s="136"/>
    </row>
    <row r="1369" spans="1:11" x14ac:dyDescent="0.25">
      <c r="A1369" s="2" t="s">
        <v>1</v>
      </c>
      <c r="B1369" s="21" t="s">
        <v>2</v>
      </c>
      <c r="C1369" s="28" t="s">
        <v>3</v>
      </c>
      <c r="D1369" s="2" t="s">
        <v>4</v>
      </c>
      <c r="E1369" s="4" t="s">
        <v>5</v>
      </c>
      <c r="F1369" s="3" t="s">
        <v>6</v>
      </c>
      <c r="G1369" s="38" t="s">
        <v>61</v>
      </c>
      <c r="H1369" s="39" t="s">
        <v>62</v>
      </c>
      <c r="I1369" s="39" t="s">
        <v>63</v>
      </c>
      <c r="J1369" s="69" t="s">
        <v>9</v>
      </c>
      <c r="K1369" s="136"/>
    </row>
    <row r="1370" spans="1:11" ht="28.5" customHeight="1" x14ac:dyDescent="0.25">
      <c r="A1370" s="7" t="s">
        <v>1099</v>
      </c>
      <c r="B1370" s="23">
        <f>ORÇAMENTO!B305</f>
        <v>89865</v>
      </c>
      <c r="C1370" s="23" t="str">
        <f>ORÇAMENTO!C305</f>
        <v>SINAPI</v>
      </c>
      <c r="D1370" s="139" t="str">
        <f>ORÇAMENTO!D305</f>
        <v>TUBO, PVC, SOLDÁVEL, DN 25MM, INSTALADO EM DRENO DE AR-CONDICIONADO - FORNECIMENTO E INSTALAÇÃO. AF_08/2022</v>
      </c>
      <c r="E1370" s="140" t="s">
        <v>16</v>
      </c>
      <c r="F1370" s="8"/>
      <c r="G1370" s="63"/>
      <c r="H1370" s="33"/>
      <c r="I1370" s="63"/>
      <c r="J1370" s="46"/>
      <c r="K1370" s="136"/>
    </row>
    <row r="1371" spans="1:11" x14ac:dyDescent="0.25">
      <c r="A1371" s="10"/>
      <c r="B1371" s="30"/>
      <c r="C1371" s="30"/>
      <c r="D1371" s="36" t="s">
        <v>390</v>
      </c>
      <c r="E1371" s="12"/>
      <c r="F1371" s="122">
        <v>30.95</v>
      </c>
      <c r="G1371" s="31"/>
      <c r="H1371" s="31"/>
      <c r="I1371" s="31"/>
      <c r="J1371" s="52">
        <f>F1371</f>
        <v>30.95</v>
      </c>
      <c r="K1371" s="136"/>
    </row>
    <row r="1372" spans="1:11" x14ac:dyDescent="0.25">
      <c r="A1372" s="75"/>
      <c r="B1372" s="65"/>
      <c r="C1372" s="65"/>
      <c r="D1372" s="76"/>
      <c r="E1372" s="125"/>
      <c r="F1372" s="146"/>
      <c r="G1372" s="147"/>
      <c r="H1372" s="147"/>
      <c r="I1372" s="147"/>
      <c r="J1372" s="127"/>
      <c r="K1372" s="136"/>
    </row>
    <row r="1373" spans="1:11" x14ac:dyDescent="0.25">
      <c r="A1373" s="2" t="s">
        <v>1</v>
      </c>
      <c r="B1373" s="21" t="s">
        <v>2</v>
      </c>
      <c r="C1373" s="28" t="s">
        <v>3</v>
      </c>
      <c r="D1373" s="2" t="s">
        <v>4</v>
      </c>
      <c r="E1373" s="4" t="s">
        <v>5</v>
      </c>
      <c r="F1373" s="3" t="s">
        <v>6</v>
      </c>
      <c r="G1373" s="38" t="s">
        <v>61</v>
      </c>
      <c r="H1373" s="39" t="s">
        <v>62</v>
      </c>
      <c r="I1373" s="39" t="s">
        <v>63</v>
      </c>
      <c r="J1373" s="69" t="s">
        <v>9</v>
      </c>
      <c r="K1373" s="136"/>
    </row>
    <row r="1374" spans="1:11" ht="33" customHeight="1" x14ac:dyDescent="0.25">
      <c r="A1374" s="7" t="s">
        <v>1100</v>
      </c>
      <c r="B1374" s="23">
        <f>ORÇAMENTO!B306</f>
        <v>104316</v>
      </c>
      <c r="C1374" s="23" t="str">
        <f>ORÇAMENTO!C306</f>
        <v>SINAPI</v>
      </c>
      <c r="D1374" s="139" t="str">
        <f>ORÇAMENTO!D306</f>
        <v>TUBO, PVC, SOLDÁVEL, DN 32 MM, INSTALADO EM DRENO DE AR CONDICIONADO - FORNECIMENTO E INSTALAÇÃO. AF_08/2022</v>
      </c>
      <c r="E1374" s="140" t="s">
        <v>16</v>
      </c>
      <c r="F1374" s="8"/>
      <c r="G1374" s="63"/>
      <c r="H1374" s="33"/>
      <c r="I1374" s="63"/>
      <c r="J1374" s="46"/>
      <c r="K1374" s="136"/>
    </row>
    <row r="1375" spans="1:11" x14ac:dyDescent="0.25">
      <c r="A1375" s="10"/>
      <c r="B1375" s="30"/>
      <c r="C1375" s="30"/>
      <c r="D1375" s="36" t="s">
        <v>390</v>
      </c>
      <c r="E1375" s="12"/>
      <c r="F1375" s="122">
        <v>44.65</v>
      </c>
      <c r="G1375" s="31"/>
      <c r="H1375" s="31"/>
      <c r="I1375" s="31"/>
      <c r="J1375" s="52">
        <f>F1375</f>
        <v>44.65</v>
      </c>
      <c r="K1375" s="136"/>
    </row>
    <row r="1376" spans="1:11" x14ac:dyDescent="0.25">
      <c r="A1376" s="420"/>
      <c r="B1376" s="410"/>
      <c r="C1376" s="410"/>
      <c r="D1376" s="422"/>
      <c r="E1376" s="423"/>
      <c r="F1376" s="484"/>
      <c r="G1376" s="485"/>
      <c r="H1376" s="485"/>
      <c r="I1376" s="485"/>
      <c r="J1376" s="426"/>
      <c r="K1376" s="136"/>
    </row>
    <row r="1377" spans="1:10" s="462" customFormat="1" x14ac:dyDescent="0.25">
      <c r="A1377" s="455" t="s">
        <v>1</v>
      </c>
      <c r="B1377" s="456" t="s">
        <v>2</v>
      </c>
      <c r="C1377" s="456" t="s">
        <v>3</v>
      </c>
      <c r="D1377" s="504" t="s">
        <v>4</v>
      </c>
      <c r="E1377" s="456" t="s">
        <v>5</v>
      </c>
      <c r="F1377" s="505" t="s">
        <v>6</v>
      </c>
      <c r="G1377" s="458"/>
      <c r="H1377" s="458" t="s">
        <v>61</v>
      </c>
      <c r="I1377" s="458"/>
      <c r="J1377" s="459" t="s">
        <v>9</v>
      </c>
    </row>
    <row r="1378" spans="1:10" s="463" customFormat="1" ht="39.6" x14ac:dyDescent="0.25">
      <c r="A1378" s="450" t="s">
        <v>1101</v>
      </c>
      <c r="B1378" s="451" t="s">
        <v>841</v>
      </c>
      <c r="C1378" s="451" t="s">
        <v>13</v>
      </c>
      <c r="D1378" s="452" t="s">
        <v>842</v>
      </c>
      <c r="E1378" s="451" t="s">
        <v>16</v>
      </c>
      <c r="F1378" s="453"/>
      <c r="G1378" s="453"/>
      <c r="H1378" s="453"/>
      <c r="I1378" s="453"/>
    </row>
    <row r="1379" spans="1:10" x14ac:dyDescent="0.25">
      <c r="A1379" s="440"/>
      <c r="B1379" s="441"/>
      <c r="C1379" s="441"/>
      <c r="D1379" s="442" t="s">
        <v>851</v>
      </c>
      <c r="E1379" s="441"/>
      <c r="F1379" s="443"/>
      <c r="G1379" s="443"/>
      <c r="H1379" s="443">
        <v>52.5</v>
      </c>
      <c r="I1379" s="443"/>
      <c r="J1379" s="465">
        <f>SUM(H1379)</f>
        <v>52.5</v>
      </c>
    </row>
    <row r="1380" spans="1:10" x14ac:dyDescent="0.25">
      <c r="A1380" s="440"/>
      <c r="B1380" s="441"/>
      <c r="C1380" s="441"/>
      <c r="D1380" s="442"/>
      <c r="E1380" s="441"/>
      <c r="F1380" s="443"/>
      <c r="G1380" s="443"/>
      <c r="H1380" s="443"/>
      <c r="I1380" s="443"/>
      <c r="J1380" s="443"/>
    </row>
    <row r="1381" spans="1:10" s="462" customFormat="1" x14ac:dyDescent="0.25">
      <c r="A1381" s="455" t="s">
        <v>1</v>
      </c>
      <c r="B1381" s="456" t="s">
        <v>2</v>
      </c>
      <c r="C1381" s="456" t="s">
        <v>3</v>
      </c>
      <c r="D1381" s="504" t="s">
        <v>4</v>
      </c>
      <c r="E1381" s="456" t="s">
        <v>5</v>
      </c>
      <c r="F1381" s="505" t="s">
        <v>6</v>
      </c>
      <c r="G1381" s="458"/>
      <c r="H1381" s="458" t="s">
        <v>61</v>
      </c>
      <c r="I1381" s="458"/>
      <c r="J1381" s="459" t="s">
        <v>9</v>
      </c>
    </row>
    <row r="1382" spans="1:10" s="463" customFormat="1" ht="39.6" x14ac:dyDescent="0.25">
      <c r="A1382" s="450" t="s">
        <v>1102</v>
      </c>
      <c r="B1382" s="451" t="s">
        <v>843</v>
      </c>
      <c r="C1382" s="451" t="s">
        <v>13</v>
      </c>
      <c r="D1382" s="452" t="s">
        <v>844</v>
      </c>
      <c r="E1382" s="451" t="s">
        <v>16</v>
      </c>
      <c r="F1382" s="453"/>
      <c r="G1382" s="453"/>
      <c r="H1382" s="453"/>
      <c r="I1382" s="453"/>
    </row>
    <row r="1383" spans="1:10" x14ac:dyDescent="0.25">
      <c r="A1383" s="440"/>
      <c r="B1383" s="441"/>
      <c r="C1383" s="441"/>
      <c r="D1383" s="442" t="s">
        <v>851</v>
      </c>
      <c r="E1383" s="441"/>
      <c r="F1383" s="443"/>
      <c r="G1383" s="443"/>
      <c r="H1383" s="443">
        <v>52.5</v>
      </c>
      <c r="I1383" s="443"/>
      <c r="J1383" s="465">
        <f>SUM(H1383)</f>
        <v>52.5</v>
      </c>
    </row>
    <row r="1384" spans="1:10" x14ac:dyDescent="0.25">
      <c r="A1384" s="440"/>
      <c r="B1384" s="441"/>
      <c r="C1384" s="441"/>
      <c r="D1384" s="442"/>
      <c r="E1384" s="441"/>
      <c r="F1384" s="443"/>
      <c r="G1384" s="443"/>
      <c r="H1384" s="443"/>
      <c r="I1384" s="443"/>
      <c r="J1384" s="443"/>
    </row>
    <row r="1385" spans="1:10" s="462" customFormat="1" x14ac:dyDescent="0.25">
      <c r="A1385" s="455" t="s">
        <v>1</v>
      </c>
      <c r="B1385" s="456" t="s">
        <v>2</v>
      </c>
      <c r="C1385" s="456" t="s">
        <v>3</v>
      </c>
      <c r="D1385" s="504" t="s">
        <v>4</v>
      </c>
      <c r="E1385" s="456" t="s">
        <v>5</v>
      </c>
      <c r="F1385" s="505" t="s">
        <v>6</v>
      </c>
      <c r="G1385" s="458"/>
      <c r="H1385" s="458" t="s">
        <v>61</v>
      </c>
      <c r="I1385" s="458"/>
      <c r="J1385" s="459" t="s">
        <v>9</v>
      </c>
    </row>
    <row r="1386" spans="1:10" s="463" customFormat="1" ht="26.4" x14ac:dyDescent="0.25">
      <c r="A1386" s="450" t="s">
        <v>1103</v>
      </c>
      <c r="B1386" s="451" t="s">
        <v>845</v>
      </c>
      <c r="C1386" s="451" t="s">
        <v>581</v>
      </c>
      <c r="D1386" s="452" t="s">
        <v>846</v>
      </c>
      <c r="E1386" s="451" t="s">
        <v>16</v>
      </c>
      <c r="F1386" s="453"/>
      <c r="G1386" s="453"/>
      <c r="H1386" s="453"/>
      <c r="I1386" s="453"/>
    </row>
    <row r="1387" spans="1:10" x14ac:dyDescent="0.25">
      <c r="A1387" s="440"/>
      <c r="B1387" s="441"/>
      <c r="C1387" s="441"/>
      <c r="D1387" s="442" t="s">
        <v>851</v>
      </c>
      <c r="E1387" s="441"/>
      <c r="F1387" s="443"/>
      <c r="G1387" s="443"/>
      <c r="H1387" s="443">
        <v>57.5</v>
      </c>
      <c r="I1387" s="443"/>
      <c r="J1387" s="465">
        <f>SUM(H1387)</f>
        <v>57.5</v>
      </c>
    </row>
    <row r="1388" spans="1:10" x14ac:dyDescent="0.25">
      <c r="A1388" s="440"/>
      <c r="B1388" s="441"/>
      <c r="C1388" s="441"/>
      <c r="D1388" s="442"/>
      <c r="E1388" s="441"/>
      <c r="F1388" s="443"/>
      <c r="G1388" s="443"/>
      <c r="H1388" s="443"/>
      <c r="I1388" s="443"/>
      <c r="J1388" s="443"/>
    </row>
    <row r="1389" spans="1:10" s="462" customFormat="1" x14ac:dyDescent="0.25">
      <c r="A1389" s="455" t="s">
        <v>1</v>
      </c>
      <c r="B1389" s="456" t="s">
        <v>2</v>
      </c>
      <c r="C1389" s="456" t="s">
        <v>3</v>
      </c>
      <c r="D1389" s="504" t="s">
        <v>4</v>
      </c>
      <c r="E1389" s="456" t="s">
        <v>5</v>
      </c>
      <c r="F1389" s="505" t="s">
        <v>6</v>
      </c>
      <c r="G1389" s="458"/>
      <c r="H1389" s="458" t="s">
        <v>61</v>
      </c>
      <c r="I1389" s="458"/>
      <c r="J1389" s="459" t="s">
        <v>9</v>
      </c>
    </row>
    <row r="1390" spans="1:10" s="463" customFormat="1" x14ac:dyDescent="0.25">
      <c r="A1390" s="450" t="s">
        <v>1104</v>
      </c>
      <c r="B1390" s="451" t="s">
        <v>847</v>
      </c>
      <c r="C1390" s="451" t="s">
        <v>581</v>
      </c>
      <c r="D1390" s="452" t="s">
        <v>848</v>
      </c>
      <c r="E1390" s="451" t="s">
        <v>16</v>
      </c>
      <c r="F1390" s="453"/>
      <c r="G1390" s="453"/>
      <c r="H1390" s="453"/>
      <c r="I1390" s="453"/>
    </row>
    <row r="1391" spans="1:10" x14ac:dyDescent="0.25">
      <c r="A1391" s="440"/>
      <c r="B1391" s="441"/>
      <c r="C1391" s="441"/>
      <c r="D1391" s="442" t="s">
        <v>851</v>
      </c>
      <c r="E1391" s="441"/>
      <c r="F1391" s="443"/>
      <c r="G1391" s="443"/>
      <c r="H1391" s="443">
        <v>57.5</v>
      </c>
      <c r="I1391" s="443"/>
      <c r="J1391" s="465">
        <f>SUM(H1391)</f>
        <v>57.5</v>
      </c>
    </row>
    <row r="1392" spans="1:10" x14ac:dyDescent="0.25">
      <c r="A1392" s="440"/>
      <c r="B1392" s="441"/>
      <c r="C1392" s="441"/>
      <c r="D1392" s="442"/>
      <c r="E1392" s="441"/>
      <c r="F1392" s="443"/>
      <c r="G1392" s="443"/>
      <c r="H1392" s="443"/>
      <c r="I1392" s="443"/>
      <c r="J1392" s="443"/>
    </row>
    <row r="1393" spans="1:11" s="462" customFormat="1" x14ac:dyDescent="0.25">
      <c r="A1393" s="455" t="s">
        <v>1</v>
      </c>
      <c r="B1393" s="456" t="s">
        <v>2</v>
      </c>
      <c r="C1393" s="456" t="s">
        <v>3</v>
      </c>
      <c r="D1393" s="504" t="s">
        <v>4</v>
      </c>
      <c r="E1393" s="456" t="s">
        <v>5</v>
      </c>
      <c r="F1393" s="505" t="s">
        <v>6</v>
      </c>
      <c r="G1393" s="458"/>
      <c r="H1393" s="458"/>
      <c r="I1393" s="458"/>
      <c r="J1393" s="459" t="s">
        <v>9</v>
      </c>
    </row>
    <row r="1394" spans="1:11" s="463" customFormat="1" x14ac:dyDescent="0.25">
      <c r="A1394" s="450" t="s">
        <v>1105</v>
      </c>
      <c r="B1394" s="451" t="s">
        <v>849</v>
      </c>
      <c r="C1394" s="451" t="s">
        <v>15</v>
      </c>
      <c r="D1394" s="452" t="s">
        <v>850</v>
      </c>
      <c r="E1394" s="451" t="s">
        <v>14</v>
      </c>
      <c r="F1394" s="453"/>
      <c r="G1394" s="453"/>
      <c r="H1394" s="453"/>
      <c r="I1394" s="453"/>
    </row>
    <row r="1395" spans="1:11" ht="26.4" x14ac:dyDescent="0.25">
      <c r="A1395" s="440"/>
      <c r="B1395" s="441"/>
      <c r="C1395" s="441"/>
      <c r="D1395" s="442" t="s">
        <v>852</v>
      </c>
      <c r="E1395" s="441"/>
      <c r="F1395" s="443">
        <v>17</v>
      </c>
      <c r="G1395" s="443"/>
      <c r="H1395" s="443"/>
      <c r="I1395" s="443"/>
      <c r="J1395" s="465">
        <f>SUM(F1395)</f>
        <v>17</v>
      </c>
    </row>
    <row r="1396" spans="1:11" x14ac:dyDescent="0.25">
      <c r="A1396" s="478"/>
      <c r="B1396" s="479"/>
      <c r="C1396" s="479"/>
      <c r="D1396" s="495"/>
      <c r="E1396" s="480"/>
      <c r="F1396" s="481"/>
      <c r="G1396" s="482"/>
      <c r="H1396" s="482"/>
      <c r="I1396" s="482"/>
      <c r="J1396" s="483"/>
      <c r="K1396" s="136"/>
    </row>
    <row r="1397" spans="1:11" s="462" customFormat="1" x14ac:dyDescent="0.25">
      <c r="A1397" s="455" t="s">
        <v>1</v>
      </c>
      <c r="B1397" s="456" t="s">
        <v>2</v>
      </c>
      <c r="C1397" s="456" t="s">
        <v>3</v>
      </c>
      <c r="D1397" s="504" t="s">
        <v>4</v>
      </c>
      <c r="E1397" s="456" t="s">
        <v>5</v>
      </c>
      <c r="F1397" s="505" t="s">
        <v>6</v>
      </c>
      <c r="G1397" s="458"/>
      <c r="H1397" s="458" t="s">
        <v>61</v>
      </c>
      <c r="I1397" s="458"/>
      <c r="J1397" s="459" t="s">
        <v>9</v>
      </c>
    </row>
    <row r="1398" spans="1:11" s="463" customFormat="1" ht="26.4" x14ac:dyDescent="0.25">
      <c r="A1398" s="450" t="s">
        <v>1106</v>
      </c>
      <c r="B1398" s="451">
        <f>ORÇAMENTO!B312</f>
        <v>103247</v>
      </c>
      <c r="C1398" s="451" t="s">
        <v>13</v>
      </c>
      <c r="D1398" s="452" t="str">
        <f>ORÇAMENTO!D312</f>
        <v>AR CONDICIONADO SPLIT INVERTER, HI-WALL (PAREDE), 12000 BTU/H, CICLO FRIO - FORNECIMENTO E INSTALAÇÃO. AF_11/2021_PE</v>
      </c>
      <c r="E1398" s="451" t="str">
        <f>ORÇAMENTO!E312</f>
        <v>UN</v>
      </c>
      <c r="F1398" s="453"/>
      <c r="G1398" s="453"/>
      <c r="H1398" s="453"/>
      <c r="I1398" s="453"/>
    </row>
    <row r="1399" spans="1:11" x14ac:dyDescent="0.25">
      <c r="A1399" s="440"/>
      <c r="B1399" s="441"/>
      <c r="C1399" s="441"/>
      <c r="D1399" s="442" t="s">
        <v>851</v>
      </c>
      <c r="E1399" s="441"/>
      <c r="F1399" s="443"/>
      <c r="G1399" s="443"/>
      <c r="H1399" s="443"/>
      <c r="I1399" s="443"/>
      <c r="J1399" s="465">
        <v>13</v>
      </c>
    </row>
    <row r="1400" spans="1:11" x14ac:dyDescent="0.25">
      <c r="A1400" s="75"/>
      <c r="B1400" s="65"/>
      <c r="C1400" s="65"/>
      <c r="D1400" s="76"/>
      <c r="E1400" s="125"/>
      <c r="F1400" s="146"/>
      <c r="G1400" s="147"/>
      <c r="H1400" s="147"/>
      <c r="I1400" s="147"/>
      <c r="J1400" s="127"/>
      <c r="K1400" s="136"/>
    </row>
    <row r="1401" spans="1:11" s="462" customFormat="1" x14ac:dyDescent="0.25">
      <c r="A1401" s="455" t="s">
        <v>1</v>
      </c>
      <c r="B1401" s="456" t="s">
        <v>2</v>
      </c>
      <c r="C1401" s="456" t="s">
        <v>3</v>
      </c>
      <c r="D1401" s="504" t="s">
        <v>4</v>
      </c>
      <c r="E1401" s="456" t="s">
        <v>5</v>
      </c>
      <c r="F1401" s="505" t="s">
        <v>6</v>
      </c>
      <c r="G1401" s="458"/>
      <c r="H1401" s="458" t="s">
        <v>61</v>
      </c>
      <c r="I1401" s="458"/>
      <c r="J1401" s="459" t="s">
        <v>9</v>
      </c>
    </row>
    <row r="1402" spans="1:11" s="463" customFormat="1" ht="26.4" x14ac:dyDescent="0.25">
      <c r="A1402" s="450" t="s">
        <v>1107</v>
      </c>
      <c r="B1402" s="451">
        <f>ORÇAMENTO!B313</f>
        <v>103252</v>
      </c>
      <c r="C1402" s="451" t="s">
        <v>13</v>
      </c>
      <c r="D1402" s="452" t="str">
        <f>ORÇAMENTO!D313</f>
        <v>AR CONDICIONADO SPLIT ON/OFF, HI-WALL (PAREDE), 18000 BTUS/H, CICLO QUENTE/FRIO - FORNECIMENTO E INSTALAÇÃO. AF_11/2021_PE</v>
      </c>
      <c r="E1402" s="451" t="str">
        <f>ORÇAMENTO!E313</f>
        <v>UN</v>
      </c>
      <c r="F1402" s="453"/>
      <c r="G1402" s="453"/>
      <c r="H1402" s="453"/>
      <c r="I1402" s="453"/>
    </row>
    <row r="1403" spans="1:11" x14ac:dyDescent="0.25">
      <c r="A1403" s="440"/>
      <c r="B1403" s="441"/>
      <c r="C1403" s="441"/>
      <c r="D1403" s="442" t="s">
        <v>851</v>
      </c>
      <c r="E1403" s="441"/>
      <c r="F1403" s="443"/>
      <c r="G1403" s="443"/>
      <c r="H1403" s="443"/>
      <c r="I1403" s="443"/>
      <c r="J1403" s="465">
        <v>2</v>
      </c>
    </row>
    <row r="1404" spans="1:11" x14ac:dyDescent="0.25">
      <c r="A1404" s="75"/>
      <c r="B1404" s="65"/>
      <c r="C1404" s="65"/>
      <c r="D1404" s="76"/>
      <c r="E1404" s="125"/>
      <c r="F1404" s="146"/>
      <c r="G1404" s="147"/>
      <c r="H1404" s="147"/>
      <c r="I1404" s="147"/>
      <c r="J1404" s="127"/>
      <c r="K1404" s="136"/>
    </row>
    <row r="1405" spans="1:11" s="9" customFormat="1" x14ac:dyDescent="0.25">
      <c r="A1405" s="5">
        <v>11</v>
      </c>
      <c r="B1405" s="22"/>
      <c r="C1405" s="22"/>
      <c r="D1405" s="5" t="s">
        <v>122</v>
      </c>
      <c r="E1405" s="5"/>
      <c r="F1405" s="6"/>
      <c r="G1405" s="40"/>
      <c r="H1405" s="49"/>
      <c r="I1405" s="47"/>
      <c r="J1405" s="48"/>
      <c r="K1405" s="136"/>
    </row>
    <row r="1406" spans="1:11" s="9" customFormat="1" x14ac:dyDescent="0.25">
      <c r="A1406" s="2" t="s">
        <v>1</v>
      </c>
      <c r="B1406" s="21" t="s">
        <v>2</v>
      </c>
      <c r="C1406" s="28" t="s">
        <v>3</v>
      </c>
      <c r="D1406" s="2" t="s">
        <v>4</v>
      </c>
      <c r="E1406" s="4" t="s">
        <v>5</v>
      </c>
      <c r="F1406" s="3" t="s">
        <v>6</v>
      </c>
      <c r="G1406" s="38" t="s">
        <v>61</v>
      </c>
      <c r="H1406" s="39" t="s">
        <v>62</v>
      </c>
      <c r="I1406" s="39" t="s">
        <v>63</v>
      </c>
      <c r="J1406" s="69" t="s">
        <v>9</v>
      </c>
      <c r="K1406" s="136"/>
    </row>
    <row r="1407" spans="1:11" s="9" customFormat="1" x14ac:dyDescent="0.25">
      <c r="A1407" s="7" t="s">
        <v>149</v>
      </c>
      <c r="B1407" s="29" t="str">
        <f>ORÇAMENTO!B315</f>
        <v>COMPOSIÇÃO 10</v>
      </c>
      <c r="C1407" s="29" t="s">
        <v>179</v>
      </c>
      <c r="D1407" s="7" t="str">
        <f>ORÇAMENTO!D315</f>
        <v>BANCO DE CONCRETO CURVO</v>
      </c>
      <c r="E1407" s="140" t="s">
        <v>14</v>
      </c>
      <c r="F1407" s="8"/>
      <c r="G1407" s="53"/>
      <c r="H1407" s="50"/>
      <c r="I1407" s="53"/>
      <c r="J1407" s="46"/>
      <c r="K1407" s="136"/>
    </row>
    <row r="1408" spans="1:11" s="9" customFormat="1" x14ac:dyDescent="0.25">
      <c r="A1408" s="10"/>
      <c r="B1408" s="30"/>
      <c r="C1408" s="30"/>
      <c r="D1408" s="76" t="s">
        <v>381</v>
      </c>
      <c r="E1408" s="12"/>
      <c r="F1408" s="122">
        <v>1</v>
      </c>
      <c r="G1408" s="44"/>
      <c r="H1408" s="44"/>
      <c r="I1408" s="44"/>
      <c r="J1408" s="52">
        <f>F1408</f>
        <v>1</v>
      </c>
      <c r="K1408" s="136"/>
    </row>
    <row r="1409" spans="1:11" s="9" customFormat="1" x14ac:dyDescent="0.25">
      <c r="A1409" s="2" t="s">
        <v>1</v>
      </c>
      <c r="B1409" s="21" t="s">
        <v>2</v>
      </c>
      <c r="C1409" s="28" t="s">
        <v>3</v>
      </c>
      <c r="D1409" s="2" t="s">
        <v>4</v>
      </c>
      <c r="E1409" s="4" t="s">
        <v>5</v>
      </c>
      <c r="F1409" s="3" t="s">
        <v>6</v>
      </c>
      <c r="G1409" s="38" t="s">
        <v>61</v>
      </c>
      <c r="H1409" s="39" t="s">
        <v>62</v>
      </c>
      <c r="I1409" s="39" t="s">
        <v>63</v>
      </c>
      <c r="J1409" s="69" t="s">
        <v>9</v>
      </c>
      <c r="K1409" s="136"/>
    </row>
    <row r="1410" spans="1:11" s="9" customFormat="1" ht="59.25" customHeight="1" x14ac:dyDescent="0.25">
      <c r="A1410" s="7" t="s">
        <v>387</v>
      </c>
      <c r="B1410" s="29">
        <f>ORÇAMENTO!B316</f>
        <v>99842</v>
      </c>
      <c r="C1410" s="29" t="s">
        <v>13</v>
      </c>
      <c r="D1410" s="7" t="str">
        <f>ORÇAMENTO!D316</f>
        <v>GUARDA-CORPO DE AÇO GALVANIZADO DE 1,10M, MONTANTES TUBULARES DE 1.1/4" ESPAÇADOS 1,20M, TRAVESSA SUPERIOR DE 1.1/2", GRADIL FORMADO POR TUBOS HORIZONTAIS DE 1" E VERTICAIS DE 3/4", FIXADO COM ADESIVO ESTRUTURAL EPOXI. AF_10/2025_PS</v>
      </c>
      <c r="E1410" s="140" t="s">
        <v>16</v>
      </c>
      <c r="F1410" s="8"/>
      <c r="G1410" s="53"/>
      <c r="H1410" s="50"/>
      <c r="I1410" s="53"/>
      <c r="J1410" s="46"/>
      <c r="K1410" s="136"/>
    </row>
    <row r="1411" spans="1:11" s="9" customFormat="1" x14ac:dyDescent="0.25">
      <c r="A1411" s="10"/>
      <c r="B1411" s="30"/>
      <c r="C1411" s="30"/>
      <c r="D1411" s="36" t="s">
        <v>432</v>
      </c>
      <c r="E1411" s="12"/>
      <c r="F1411" s="122">
        <v>29</v>
      </c>
      <c r="G1411" s="44"/>
      <c r="H1411" s="44"/>
      <c r="I1411" s="44"/>
      <c r="J1411" s="52">
        <f>F1411</f>
        <v>29</v>
      </c>
      <c r="K1411" s="136"/>
    </row>
    <row r="1412" spans="1:11" s="9" customFormat="1" x14ac:dyDescent="0.25">
      <c r="A1412" s="10"/>
      <c r="B1412" s="30"/>
      <c r="C1412" s="30"/>
      <c r="D1412" s="36"/>
      <c r="E1412" s="12"/>
      <c r="F1412" s="122"/>
      <c r="G1412" s="44"/>
      <c r="H1412" s="44"/>
      <c r="I1412" s="44"/>
      <c r="J1412" s="52"/>
      <c r="K1412" s="136"/>
    </row>
    <row r="1413" spans="1:11" s="9" customFormat="1" x14ac:dyDescent="0.25">
      <c r="A1413" s="2" t="s">
        <v>1</v>
      </c>
      <c r="B1413" s="21" t="s">
        <v>2</v>
      </c>
      <c r="C1413" s="28" t="s">
        <v>3</v>
      </c>
      <c r="D1413" s="2" t="s">
        <v>4</v>
      </c>
      <c r="E1413" s="4" t="s">
        <v>5</v>
      </c>
      <c r="F1413" s="3" t="s">
        <v>6</v>
      </c>
      <c r="G1413" s="38" t="s">
        <v>61</v>
      </c>
      <c r="H1413" s="39" t="s">
        <v>62</v>
      </c>
      <c r="I1413" s="39" t="s">
        <v>63</v>
      </c>
      <c r="J1413" s="69" t="s">
        <v>9</v>
      </c>
      <c r="K1413" s="136"/>
    </row>
    <row r="1414" spans="1:11" s="9" customFormat="1" x14ac:dyDescent="0.25">
      <c r="A1414" s="7" t="s">
        <v>466</v>
      </c>
      <c r="B1414" s="29" t="str">
        <f>ORÇAMENTO!B317</f>
        <v>C1628</v>
      </c>
      <c r="C1414" s="29" t="str">
        <f>ORÇAMENTO!C317</f>
        <v>SEINFRA</v>
      </c>
      <c r="D1414" s="7" t="str">
        <f>ORÇAMENTO!D317</f>
        <v>LIMPEZA GERAL</v>
      </c>
      <c r="E1414" s="140" t="s">
        <v>21</v>
      </c>
      <c r="F1414" s="8"/>
      <c r="G1414" s="53"/>
      <c r="H1414" s="50"/>
      <c r="I1414" s="53"/>
      <c r="J1414" s="46"/>
      <c r="K1414" s="136"/>
    </row>
    <row r="1415" spans="1:11" s="9" customFormat="1" ht="15" customHeight="1" x14ac:dyDescent="0.25">
      <c r="A1415" s="10"/>
      <c r="B1415" s="30"/>
      <c r="C1415" s="30"/>
      <c r="D1415" s="36" t="s">
        <v>432</v>
      </c>
      <c r="E1415" s="12"/>
      <c r="F1415" s="122">
        <v>318.39999999999998</v>
      </c>
      <c r="G1415" s="44"/>
      <c r="H1415" s="44"/>
      <c r="I1415" s="44"/>
      <c r="J1415" s="52">
        <f>F1415</f>
        <v>318.39999999999998</v>
      </c>
      <c r="K1415" s="136"/>
    </row>
    <row r="1416" spans="1:11" s="9" customFormat="1" x14ac:dyDescent="0.25">
      <c r="A1416" s="75"/>
      <c r="B1416" s="65"/>
      <c r="C1416" s="65"/>
      <c r="D1416" s="124"/>
      <c r="E1416" s="125"/>
      <c r="F1416" s="146"/>
      <c r="G1416" s="79"/>
      <c r="H1416" s="79"/>
      <c r="I1416" s="79"/>
      <c r="J1416" s="127"/>
      <c r="K1416" s="136"/>
    </row>
    <row r="1417" spans="1:11" x14ac:dyDescent="0.25">
      <c r="A1417" s="2" t="s">
        <v>1</v>
      </c>
      <c r="B1417" s="21" t="s">
        <v>2</v>
      </c>
      <c r="C1417" s="28" t="s">
        <v>3</v>
      </c>
      <c r="D1417" s="2" t="s">
        <v>4</v>
      </c>
      <c r="E1417" s="4" t="s">
        <v>5</v>
      </c>
      <c r="F1417" s="3" t="s">
        <v>6</v>
      </c>
      <c r="G1417" s="38" t="s">
        <v>61</v>
      </c>
      <c r="H1417" s="39" t="s">
        <v>62</v>
      </c>
      <c r="I1417" s="39" t="s">
        <v>63</v>
      </c>
      <c r="J1417" s="69" t="s">
        <v>9</v>
      </c>
      <c r="K1417" s="136"/>
    </row>
    <row r="1418" spans="1:11" x14ac:dyDescent="0.25">
      <c r="A1418" s="7" t="s">
        <v>855</v>
      </c>
      <c r="B1418" s="29">
        <f>ORÇAMENTO!B318</f>
        <v>3167</v>
      </c>
      <c r="C1418" s="29" t="str">
        <f>ORÇAMENTO!C318</f>
        <v>ORSE</v>
      </c>
      <c r="D1418" s="7" t="str">
        <f>ORÇAMENTO!D318</f>
        <v>PLACA DE INAUGURAÇÃO DE OBRA EM ALUMÍNIO 0,60 X 0,80 M</v>
      </c>
      <c r="E1418" s="140" t="s">
        <v>21</v>
      </c>
      <c r="F1418" s="8"/>
      <c r="G1418" s="53"/>
      <c r="H1418" s="50"/>
      <c r="I1418" s="53"/>
      <c r="J1418" s="46"/>
      <c r="K1418" s="136"/>
    </row>
    <row r="1419" spans="1:11" x14ac:dyDescent="0.25">
      <c r="A1419" s="10"/>
      <c r="B1419" s="30"/>
      <c r="C1419" s="30"/>
      <c r="D1419" s="36" t="s">
        <v>1108</v>
      </c>
      <c r="E1419" s="12"/>
      <c r="F1419" s="122">
        <v>1</v>
      </c>
      <c r="G1419" s="44"/>
      <c r="H1419" s="44"/>
      <c r="I1419" s="44"/>
      <c r="J1419" s="52">
        <f>F1419</f>
        <v>1</v>
      </c>
      <c r="K1419" s="136"/>
    </row>
    <row r="1420" spans="1:11" x14ac:dyDescent="0.25">
      <c r="A1420" s="10"/>
      <c r="B1420" s="24"/>
      <c r="C1420" s="30"/>
      <c r="D1420" s="10"/>
      <c r="E1420" s="12"/>
      <c r="F1420" s="11"/>
      <c r="G1420" s="44"/>
      <c r="H1420" s="44"/>
      <c r="I1420" s="44"/>
      <c r="J1420" s="52"/>
      <c r="K1420" s="136"/>
    </row>
  </sheetData>
  <mergeCells count="17">
    <mergeCell ref="H135:I135"/>
    <mergeCell ref="H136:I136"/>
    <mergeCell ref="H137:I137"/>
    <mergeCell ref="H68:I68"/>
    <mergeCell ref="A2:J2"/>
    <mergeCell ref="A48:J48"/>
    <mergeCell ref="A12:J12"/>
    <mergeCell ref="C1:I1"/>
    <mergeCell ref="A52:J52"/>
    <mergeCell ref="A3:B3"/>
    <mergeCell ref="A5:B5"/>
    <mergeCell ref="C3:H3"/>
    <mergeCell ref="C4:H4"/>
    <mergeCell ref="C5:I5"/>
    <mergeCell ref="A6:B6"/>
    <mergeCell ref="C6:I6"/>
    <mergeCell ref="A7:J7"/>
  </mergeCells>
  <phoneticPr fontId="17" type="noConversion"/>
  <printOptions horizontalCentered="1"/>
  <pageMargins left="0.7" right="0.7" top="0.75" bottom="0.75" header="0.3" footer="0.3"/>
  <pageSetup paperSize="9" scale="47" fitToHeight="0" orientation="portrait" verticalDpi="360" r:id="rId1"/>
  <headerFooter>
    <oddFooter>Página &amp;P de &amp;N</oddFooter>
  </headerFooter>
  <rowBreaks count="1" manualBreakCount="1">
    <brk id="87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80"/>
  <sheetViews>
    <sheetView view="pageBreakPreview" zoomScale="70" zoomScaleNormal="70" zoomScaleSheetLayoutView="70" zoomScalePageLayoutView="70" workbookViewId="0">
      <selection activeCell="M7" sqref="M7"/>
    </sheetView>
  </sheetViews>
  <sheetFormatPr defaultRowHeight="13.8" x14ac:dyDescent="0.25"/>
  <cols>
    <col min="1" max="1" width="11.59765625" customWidth="1"/>
    <col min="2" max="2" width="12.8984375" customWidth="1"/>
    <col min="3" max="3" width="11.69921875" customWidth="1"/>
    <col min="4" max="4" width="76.3984375" customWidth="1"/>
    <col min="6" max="6" width="10.19921875" customWidth="1"/>
    <col min="8" max="8" width="8.8984375" style="26" customWidth="1"/>
    <col min="9" max="9" width="17.3984375" customWidth="1"/>
    <col min="10" max="10" width="12.59765625" customWidth="1"/>
    <col min="16" max="16" width="10.5" bestFit="1" customWidth="1"/>
  </cols>
  <sheetData>
    <row r="1" spans="1:13" ht="97.5" customHeight="1" x14ac:dyDescent="0.25">
      <c r="A1" s="1"/>
      <c r="B1" s="20"/>
      <c r="C1" s="567" t="s">
        <v>64</v>
      </c>
      <c r="D1" s="567"/>
      <c r="E1" s="567"/>
      <c r="F1" s="567"/>
      <c r="G1" s="567"/>
      <c r="H1" s="567"/>
      <c r="I1" s="567"/>
      <c r="J1" s="71"/>
      <c r="K1" s="71"/>
    </row>
    <row r="2" spans="1:13" s="382" customFormat="1" ht="19.5" customHeight="1" x14ac:dyDescent="0.25">
      <c r="A2" s="582" t="s">
        <v>477</v>
      </c>
      <c r="B2" s="582"/>
      <c r="C2" s="582"/>
      <c r="D2" s="582"/>
      <c r="E2" s="582"/>
      <c r="F2" s="582"/>
      <c r="G2" s="582"/>
      <c r="H2" s="582"/>
      <c r="I2" s="582"/>
      <c r="J2" s="582"/>
    </row>
    <row r="3" spans="1:13" ht="29.25" customHeight="1" x14ac:dyDescent="0.25">
      <c r="A3" s="571" t="s">
        <v>65</v>
      </c>
      <c r="B3" s="572"/>
      <c r="C3" s="573" t="str">
        <f>ORÇAMENTO!C4:J4</f>
        <v>CONTRATAÇÃO DE EMPRESA ESPECIALIZADA PARA EXECUÇÃO DOS SERVIÇOS REMANESCENTES E COMPLEMENTARES VISANDO À RETOMADA E CONCLUSÃO DA OBRA DE CONSTRUÇÃO DA UNIDADE BÁSICA DE SAÚDE – UBS MALVINAS</v>
      </c>
      <c r="D3" s="574"/>
      <c r="E3" s="574"/>
      <c r="F3" s="574"/>
      <c r="G3" s="574"/>
      <c r="H3" s="574"/>
      <c r="I3" s="199" t="s">
        <v>265</v>
      </c>
      <c r="J3" s="185">
        <v>0.2452</v>
      </c>
      <c r="K3" s="73"/>
    </row>
    <row r="4" spans="1:13" ht="18.75" customHeight="1" x14ac:dyDescent="0.25">
      <c r="A4" s="197"/>
      <c r="B4" s="198" t="s">
        <v>267</v>
      </c>
      <c r="C4" s="573" t="s">
        <v>468</v>
      </c>
      <c r="D4" s="574"/>
      <c r="E4" s="574"/>
      <c r="F4" s="574"/>
      <c r="G4" s="574"/>
      <c r="H4" s="575"/>
      <c r="I4" s="200" t="s">
        <v>266</v>
      </c>
      <c r="J4" s="185">
        <v>0.16320000000000001</v>
      </c>
      <c r="K4" s="73"/>
    </row>
    <row r="5" spans="1:13" ht="18" customHeight="1" x14ac:dyDescent="0.25">
      <c r="A5" s="571" t="s">
        <v>66</v>
      </c>
      <c r="B5" s="572"/>
      <c r="C5" s="573" t="s">
        <v>476</v>
      </c>
      <c r="D5" s="574"/>
      <c r="E5" s="574"/>
      <c r="F5" s="574"/>
      <c r="G5" s="574"/>
      <c r="H5" s="574"/>
      <c r="I5" s="575"/>
      <c r="J5" s="185"/>
      <c r="K5" s="73"/>
    </row>
    <row r="6" spans="1:13" ht="25.5" customHeight="1" x14ac:dyDescent="0.25">
      <c r="A6" s="576" t="s">
        <v>67</v>
      </c>
      <c r="B6" s="576"/>
      <c r="C6" s="573" t="str">
        <f>ORÇAMENTO!C7:J7</f>
        <v>SINAPI  - JANEIRO 2026 (DESONERADA) , ORSE - I DEZ/2025 e SEINFRA - 028.1</v>
      </c>
      <c r="D6" s="574"/>
      <c r="E6" s="574"/>
      <c r="F6" s="574"/>
      <c r="G6" s="574"/>
      <c r="H6" s="574"/>
      <c r="I6" s="574"/>
      <c r="J6" s="70"/>
      <c r="K6" s="73"/>
    </row>
    <row r="7" spans="1:13" ht="15.6" x14ac:dyDescent="0.3">
      <c r="A7" s="599" t="s">
        <v>82</v>
      </c>
      <c r="B7" s="599"/>
      <c r="C7" s="599"/>
      <c r="D7" s="599"/>
      <c r="E7" s="599"/>
      <c r="F7" s="599"/>
      <c r="G7" s="599"/>
      <c r="H7" s="599"/>
      <c r="I7" s="599"/>
      <c r="J7" s="599"/>
    </row>
    <row r="8" spans="1:13" ht="15.6" x14ac:dyDescent="0.3">
      <c r="A8" s="376"/>
      <c r="B8" s="376"/>
      <c r="C8" s="376"/>
      <c r="D8" s="376"/>
      <c r="E8" s="376"/>
      <c r="F8" s="376"/>
      <c r="G8" s="376"/>
      <c r="H8" s="376"/>
      <c r="I8" s="376"/>
      <c r="J8" s="376"/>
    </row>
    <row r="9" spans="1:13" x14ac:dyDescent="0.25">
      <c r="K9" s="136"/>
      <c r="M9" s="37"/>
    </row>
    <row r="10" spans="1:13" x14ac:dyDescent="0.25">
      <c r="A10" s="355" t="s">
        <v>49</v>
      </c>
      <c r="B10" s="356" t="s">
        <v>2</v>
      </c>
      <c r="C10" s="355" t="s">
        <v>3</v>
      </c>
      <c r="D10" s="355" t="s">
        <v>99</v>
      </c>
      <c r="E10" s="594" t="s">
        <v>29</v>
      </c>
      <c r="F10" s="594"/>
      <c r="G10" s="357" t="s">
        <v>5</v>
      </c>
      <c r="H10" s="358" t="s">
        <v>6</v>
      </c>
      <c r="I10" s="356" t="s">
        <v>7</v>
      </c>
      <c r="J10" s="356" t="s">
        <v>9</v>
      </c>
      <c r="K10" s="136"/>
      <c r="M10" s="37"/>
    </row>
    <row r="11" spans="1:13" ht="39.6" x14ac:dyDescent="0.25">
      <c r="A11" s="16"/>
      <c r="B11" s="17"/>
      <c r="C11" s="16"/>
      <c r="D11" s="359" t="s">
        <v>1114</v>
      </c>
      <c r="E11" s="595" t="s">
        <v>31</v>
      </c>
      <c r="F11" s="596"/>
      <c r="G11" s="360" t="s">
        <v>14</v>
      </c>
      <c r="H11" s="361">
        <v>1</v>
      </c>
      <c r="I11" s="362"/>
      <c r="J11" s="363">
        <f>J22</f>
        <v>18.809999999999999</v>
      </c>
      <c r="K11" s="136"/>
      <c r="M11" s="37"/>
    </row>
    <row r="12" spans="1:13" ht="26.4" customHeight="1" x14ac:dyDescent="0.25">
      <c r="A12" s="364" t="s">
        <v>30</v>
      </c>
      <c r="B12" s="365">
        <v>88240</v>
      </c>
      <c r="C12" s="364" t="s">
        <v>13</v>
      </c>
      <c r="D12" s="364" t="s">
        <v>1115</v>
      </c>
      <c r="E12" s="597" t="s">
        <v>31</v>
      </c>
      <c r="F12" s="598"/>
      <c r="G12" s="366" t="s">
        <v>32</v>
      </c>
      <c r="H12" s="367">
        <v>4.4000000000000003E-3</v>
      </c>
      <c r="I12" s="368">
        <v>22.7</v>
      </c>
      <c r="J12" s="368">
        <f>TRUNC(H12*I12,2)</f>
        <v>0.09</v>
      </c>
      <c r="K12" s="524">
        <v>32.229999999999997</v>
      </c>
      <c r="M12" s="37"/>
    </row>
    <row r="13" spans="1:13" ht="26.4" customHeight="1" x14ac:dyDescent="0.25">
      <c r="A13" s="364" t="s">
        <v>30</v>
      </c>
      <c r="B13" s="365">
        <v>88278</v>
      </c>
      <c r="C13" s="364" t="s">
        <v>13</v>
      </c>
      <c r="D13" s="364" t="s">
        <v>1116</v>
      </c>
      <c r="E13" s="597" t="s">
        <v>31</v>
      </c>
      <c r="F13" s="598"/>
      <c r="G13" s="366" t="s">
        <v>32</v>
      </c>
      <c r="H13" s="367">
        <v>1.4E-2</v>
      </c>
      <c r="I13" s="368">
        <v>21.34</v>
      </c>
      <c r="J13" s="368">
        <f t="shared" ref="J13:J21" si="0">TRUNC(H13*I13,2)</f>
        <v>0.28999999999999998</v>
      </c>
      <c r="K13" s="525">
        <v>34.81</v>
      </c>
      <c r="M13" s="37"/>
    </row>
    <row r="14" spans="1:13" ht="48.6" customHeight="1" x14ac:dyDescent="0.25">
      <c r="A14" s="364" t="s">
        <v>30</v>
      </c>
      <c r="B14" s="365">
        <v>88317</v>
      </c>
      <c r="C14" s="364" t="s">
        <v>13</v>
      </c>
      <c r="D14" s="364" t="s">
        <v>1117</v>
      </c>
      <c r="E14" s="597" t="s">
        <v>31</v>
      </c>
      <c r="F14" s="598"/>
      <c r="G14" s="366" t="s">
        <v>32</v>
      </c>
      <c r="H14" s="367">
        <v>1.8100000000000002E-2</v>
      </c>
      <c r="I14" s="368">
        <v>29.39</v>
      </c>
      <c r="J14" s="368">
        <f t="shared" si="0"/>
        <v>0.53</v>
      </c>
      <c r="K14" s="136">
        <v>40.049999999999997</v>
      </c>
      <c r="M14" s="37"/>
    </row>
    <row r="15" spans="1:13" ht="69.599999999999994" customHeight="1" x14ac:dyDescent="0.25">
      <c r="A15" s="364" t="s">
        <v>30</v>
      </c>
      <c r="B15" s="365">
        <v>93287</v>
      </c>
      <c r="C15" s="364" t="s">
        <v>13</v>
      </c>
      <c r="D15" s="364" t="s">
        <v>1118</v>
      </c>
      <c r="E15" s="606" t="s">
        <v>433</v>
      </c>
      <c r="F15" s="606"/>
      <c r="G15" s="366" t="s">
        <v>434</v>
      </c>
      <c r="H15" s="367">
        <v>4.0000000000000001E-3</v>
      </c>
      <c r="I15" s="368">
        <v>355.72</v>
      </c>
      <c r="J15" s="368">
        <f t="shared" si="0"/>
        <v>1.42</v>
      </c>
      <c r="K15" s="525">
        <v>358.7</v>
      </c>
      <c r="M15" s="37"/>
    </row>
    <row r="16" spans="1:13" ht="59.4" customHeight="1" x14ac:dyDescent="0.25">
      <c r="A16" s="364" t="s">
        <v>30</v>
      </c>
      <c r="B16" s="365">
        <v>93288</v>
      </c>
      <c r="C16" s="364" t="s">
        <v>13</v>
      </c>
      <c r="D16" s="364" t="s">
        <v>1119</v>
      </c>
      <c r="E16" s="606" t="s">
        <v>433</v>
      </c>
      <c r="F16" s="606"/>
      <c r="G16" s="366" t="s">
        <v>213</v>
      </c>
      <c r="H16" s="367">
        <v>3.7000000000000002E-3</v>
      </c>
      <c r="I16" s="368">
        <v>181.17</v>
      </c>
      <c r="J16" s="368">
        <f t="shared" si="0"/>
        <v>0.67</v>
      </c>
      <c r="K16" s="525">
        <v>185.97</v>
      </c>
      <c r="M16" s="37"/>
    </row>
    <row r="17" spans="1:13" ht="52.2" customHeight="1" x14ac:dyDescent="0.25">
      <c r="A17" s="364" t="s">
        <v>30</v>
      </c>
      <c r="B17" s="365">
        <v>100716</v>
      </c>
      <c r="C17" s="364" t="s">
        <v>13</v>
      </c>
      <c r="D17" s="364" t="s">
        <v>1120</v>
      </c>
      <c r="E17" s="606" t="s">
        <v>433</v>
      </c>
      <c r="F17" s="606"/>
      <c r="G17" s="366" t="s">
        <v>21</v>
      </c>
      <c r="H17" s="367">
        <v>3.5799999999999998E-2</v>
      </c>
      <c r="I17" s="368">
        <v>24.27</v>
      </c>
      <c r="J17" s="368">
        <f t="shared" si="0"/>
        <v>0.86</v>
      </c>
      <c r="K17" s="525">
        <v>25.41</v>
      </c>
      <c r="M17" s="37"/>
    </row>
    <row r="18" spans="1:13" ht="60" customHeight="1" x14ac:dyDescent="0.25">
      <c r="A18" s="364" t="s">
        <v>30</v>
      </c>
      <c r="B18" s="365">
        <v>100719</v>
      </c>
      <c r="C18" s="364" t="s">
        <v>13</v>
      </c>
      <c r="D18" s="364" t="s">
        <v>1121</v>
      </c>
      <c r="E18" s="606" t="s">
        <v>433</v>
      </c>
      <c r="F18" s="606"/>
      <c r="G18" s="366" t="s">
        <v>21</v>
      </c>
      <c r="H18" s="367">
        <v>3.3000000000000002E-2</v>
      </c>
      <c r="I18" s="368">
        <v>13.77</v>
      </c>
      <c r="J18" s="368">
        <f t="shared" si="0"/>
        <v>0.45</v>
      </c>
      <c r="K18" s="525">
        <v>13.29</v>
      </c>
      <c r="M18" s="37"/>
    </row>
    <row r="19" spans="1:13" x14ac:dyDescent="0.25">
      <c r="A19" s="369" t="s">
        <v>34</v>
      </c>
      <c r="B19" s="370" t="s">
        <v>1186</v>
      </c>
      <c r="C19" s="371" t="s">
        <v>1183</v>
      </c>
      <c r="D19" s="371" t="s">
        <v>1185</v>
      </c>
      <c r="E19" s="584" t="s">
        <v>35</v>
      </c>
      <c r="F19" s="584"/>
      <c r="G19" s="372" t="s">
        <v>19</v>
      </c>
      <c r="H19" s="373">
        <v>3.0547999999999999E-2</v>
      </c>
      <c r="I19" s="374">
        <v>9.23</v>
      </c>
      <c r="J19" s="540">
        <f t="shared" si="0"/>
        <v>0.28000000000000003</v>
      </c>
      <c r="K19" s="136">
        <v>8.02</v>
      </c>
      <c r="M19" s="37"/>
    </row>
    <row r="20" spans="1:13" x14ac:dyDescent="0.25">
      <c r="A20" s="369" t="s">
        <v>34</v>
      </c>
      <c r="B20" s="370">
        <v>10997</v>
      </c>
      <c r="C20" s="371" t="s">
        <v>379</v>
      </c>
      <c r="D20" s="371" t="s">
        <v>1122</v>
      </c>
      <c r="E20" s="584" t="s">
        <v>35</v>
      </c>
      <c r="F20" s="584"/>
      <c r="G20" s="372" t="s">
        <v>19</v>
      </c>
      <c r="H20" s="373">
        <v>1.5E-3</v>
      </c>
      <c r="I20" s="374">
        <v>29.05</v>
      </c>
      <c r="J20" s="540">
        <f t="shared" si="0"/>
        <v>0.04</v>
      </c>
      <c r="K20" s="136">
        <v>29.05</v>
      </c>
      <c r="M20" s="37"/>
    </row>
    <row r="21" spans="1:13" x14ac:dyDescent="0.25">
      <c r="A21" s="369" t="s">
        <v>34</v>
      </c>
      <c r="B21" s="370" t="s">
        <v>1182</v>
      </c>
      <c r="C21" s="371" t="s">
        <v>1183</v>
      </c>
      <c r="D21" s="371" t="s">
        <v>1184</v>
      </c>
      <c r="E21" s="584" t="s">
        <v>35</v>
      </c>
      <c r="F21" s="584"/>
      <c r="G21" s="372" t="s">
        <v>19</v>
      </c>
      <c r="H21" s="373">
        <v>1.091</v>
      </c>
      <c r="I21" s="374">
        <v>13</v>
      </c>
      <c r="J21" s="540">
        <f t="shared" si="0"/>
        <v>14.18</v>
      </c>
      <c r="K21" s="136">
        <v>10</v>
      </c>
      <c r="M21" s="37"/>
    </row>
    <row r="22" spans="1:13" x14ac:dyDescent="0.25">
      <c r="A22" s="13"/>
      <c r="B22" s="13"/>
      <c r="C22" s="13"/>
      <c r="D22" s="375"/>
      <c r="E22" s="13"/>
      <c r="F22" s="14"/>
      <c r="G22" s="13"/>
      <c r="H22" s="585" t="s">
        <v>38</v>
      </c>
      <c r="I22" s="585"/>
      <c r="J22" s="15">
        <f>SUM(J12:J21)</f>
        <v>18.809999999999999</v>
      </c>
      <c r="K22" s="136"/>
      <c r="M22" s="37"/>
    </row>
    <row r="23" spans="1:13" x14ac:dyDescent="0.25">
      <c r="K23" s="136"/>
      <c r="M23" s="37"/>
    </row>
    <row r="24" spans="1:13" x14ac:dyDescent="0.25">
      <c r="A24" s="355" t="s">
        <v>50</v>
      </c>
      <c r="B24" s="356" t="s">
        <v>2</v>
      </c>
      <c r="C24" s="355" t="s">
        <v>3</v>
      </c>
      <c r="D24" s="355" t="s">
        <v>130</v>
      </c>
      <c r="E24" s="594" t="s">
        <v>29</v>
      </c>
      <c r="F24" s="594"/>
      <c r="G24" s="357" t="s">
        <v>5</v>
      </c>
      <c r="H24" s="358" t="s">
        <v>6</v>
      </c>
      <c r="I24" s="356" t="s">
        <v>7</v>
      </c>
      <c r="J24" s="356" t="s">
        <v>9</v>
      </c>
      <c r="K24" s="136"/>
      <c r="M24" s="37"/>
    </row>
    <row r="25" spans="1:13" ht="39.6" x14ac:dyDescent="0.25">
      <c r="A25" s="16"/>
      <c r="B25" s="17"/>
      <c r="C25" s="16"/>
      <c r="D25" s="359" t="s">
        <v>1123</v>
      </c>
      <c r="E25" s="595" t="s">
        <v>31</v>
      </c>
      <c r="F25" s="596"/>
      <c r="G25" s="360" t="s">
        <v>14</v>
      </c>
      <c r="H25" s="361">
        <v>1</v>
      </c>
      <c r="I25" s="362"/>
      <c r="J25" s="363">
        <f>J36</f>
        <v>20.47</v>
      </c>
      <c r="K25" s="136"/>
      <c r="M25" s="37"/>
    </row>
    <row r="26" spans="1:13" ht="26.4" x14ac:dyDescent="0.25">
      <c r="A26" s="364" t="s">
        <v>30</v>
      </c>
      <c r="B26" s="365">
        <v>88240</v>
      </c>
      <c r="C26" s="364" t="s">
        <v>13</v>
      </c>
      <c r="D26" s="364" t="s">
        <v>1115</v>
      </c>
      <c r="E26" s="597" t="s">
        <v>31</v>
      </c>
      <c r="F26" s="598"/>
      <c r="G26" s="366" t="s">
        <v>32</v>
      </c>
      <c r="H26" s="367">
        <v>4.4000000000000003E-3</v>
      </c>
      <c r="I26" s="368">
        <v>22.7</v>
      </c>
      <c r="J26" s="368">
        <f>TRUNC(H26*I26,2)</f>
        <v>0.09</v>
      </c>
      <c r="K26" s="136"/>
      <c r="M26" s="37"/>
    </row>
    <row r="27" spans="1:13" ht="26.4" x14ac:dyDescent="0.25">
      <c r="A27" s="364" t="s">
        <v>30</v>
      </c>
      <c r="B27" s="365">
        <v>88278</v>
      </c>
      <c r="C27" s="364" t="s">
        <v>13</v>
      </c>
      <c r="D27" s="364" t="s">
        <v>1116</v>
      </c>
      <c r="E27" s="597" t="s">
        <v>31</v>
      </c>
      <c r="F27" s="598"/>
      <c r="G27" s="366" t="s">
        <v>32</v>
      </c>
      <c r="H27" s="367">
        <v>1.4E-2</v>
      </c>
      <c r="I27" s="368">
        <v>21.34</v>
      </c>
      <c r="J27" s="368">
        <f t="shared" ref="J27:J35" si="1">TRUNC(H27*I27,2)</f>
        <v>0.28999999999999998</v>
      </c>
      <c r="K27" s="136"/>
      <c r="M27" s="37"/>
    </row>
    <row r="28" spans="1:13" ht="26.4" x14ac:dyDescent="0.25">
      <c r="A28" s="364" t="s">
        <v>30</v>
      </c>
      <c r="B28" s="365">
        <v>88317</v>
      </c>
      <c r="C28" s="364" t="s">
        <v>13</v>
      </c>
      <c r="D28" s="364" t="s">
        <v>1117</v>
      </c>
      <c r="E28" s="597" t="s">
        <v>31</v>
      </c>
      <c r="F28" s="598"/>
      <c r="G28" s="366" t="s">
        <v>32</v>
      </c>
      <c r="H28" s="367">
        <v>1.8100000000000002E-2</v>
      </c>
      <c r="I28" s="368">
        <v>29.39</v>
      </c>
      <c r="J28" s="368">
        <f t="shared" si="1"/>
        <v>0.53</v>
      </c>
      <c r="K28" s="136"/>
      <c r="M28" s="37"/>
    </row>
    <row r="29" spans="1:13" ht="26.4" x14ac:dyDescent="0.25">
      <c r="A29" s="364" t="s">
        <v>30</v>
      </c>
      <c r="B29" s="365">
        <v>93287</v>
      </c>
      <c r="C29" s="364" t="s">
        <v>13</v>
      </c>
      <c r="D29" s="364" t="s">
        <v>1118</v>
      </c>
      <c r="E29" s="606" t="s">
        <v>433</v>
      </c>
      <c r="F29" s="606"/>
      <c r="G29" s="366" t="s">
        <v>434</v>
      </c>
      <c r="H29" s="367">
        <v>4.0000000000000001E-3</v>
      </c>
      <c r="I29" s="368">
        <v>355.72</v>
      </c>
      <c r="J29" s="368">
        <f t="shared" si="1"/>
        <v>1.42</v>
      </c>
      <c r="K29" s="136"/>
      <c r="M29" s="37"/>
    </row>
    <row r="30" spans="1:13" ht="26.4" x14ac:dyDescent="0.25">
      <c r="A30" s="364" t="s">
        <v>30</v>
      </c>
      <c r="B30" s="365">
        <v>93288</v>
      </c>
      <c r="C30" s="364" t="s">
        <v>13</v>
      </c>
      <c r="D30" s="364" t="s">
        <v>1119</v>
      </c>
      <c r="E30" s="606" t="s">
        <v>433</v>
      </c>
      <c r="F30" s="606"/>
      <c r="G30" s="366" t="s">
        <v>213</v>
      </c>
      <c r="H30" s="367">
        <v>3.7000000000000002E-3</v>
      </c>
      <c r="I30" s="368">
        <v>181.17</v>
      </c>
      <c r="J30" s="368">
        <f t="shared" si="1"/>
        <v>0.67</v>
      </c>
      <c r="K30" s="136"/>
      <c r="M30" s="37"/>
    </row>
    <row r="31" spans="1:13" ht="26.4" x14ac:dyDescent="0.25">
      <c r="A31" s="364" t="s">
        <v>30</v>
      </c>
      <c r="B31" s="365">
        <v>100716</v>
      </c>
      <c r="C31" s="364" t="s">
        <v>13</v>
      </c>
      <c r="D31" s="364" t="s">
        <v>1120</v>
      </c>
      <c r="E31" s="606" t="s">
        <v>433</v>
      </c>
      <c r="F31" s="606"/>
      <c r="G31" s="366" t="s">
        <v>21</v>
      </c>
      <c r="H31" s="367">
        <v>3.5799999999999998E-2</v>
      </c>
      <c r="I31" s="368">
        <v>24.27</v>
      </c>
      <c r="J31" s="368">
        <f t="shared" si="1"/>
        <v>0.86</v>
      </c>
      <c r="K31" s="136"/>
      <c r="M31" s="37"/>
    </row>
    <row r="32" spans="1:13" ht="26.4" x14ac:dyDescent="0.25">
      <c r="A32" s="364" t="s">
        <v>30</v>
      </c>
      <c r="B32" s="365">
        <v>100719</v>
      </c>
      <c r="C32" s="364" t="s">
        <v>13</v>
      </c>
      <c r="D32" s="364" t="s">
        <v>1121</v>
      </c>
      <c r="E32" s="606" t="s">
        <v>433</v>
      </c>
      <c r="F32" s="606"/>
      <c r="G32" s="366" t="s">
        <v>21</v>
      </c>
      <c r="H32" s="367">
        <v>3.3000000000000002E-2</v>
      </c>
      <c r="I32" s="368">
        <v>13.77</v>
      </c>
      <c r="J32" s="368">
        <f t="shared" si="1"/>
        <v>0.45</v>
      </c>
      <c r="K32" s="136"/>
      <c r="M32" s="37"/>
    </row>
    <row r="33" spans="1:18" x14ac:dyDescent="0.25">
      <c r="A33" s="369" t="s">
        <v>34</v>
      </c>
      <c r="B33" s="370">
        <v>1333</v>
      </c>
      <c r="C33" s="371" t="s">
        <v>379</v>
      </c>
      <c r="D33" s="371" t="s">
        <v>1124</v>
      </c>
      <c r="E33" s="584" t="s">
        <v>35</v>
      </c>
      <c r="F33" s="584"/>
      <c r="G33" s="372" t="s">
        <v>19</v>
      </c>
      <c r="H33" s="373">
        <v>3.0547999999999999E-2</v>
      </c>
      <c r="I33" s="374">
        <v>7.99</v>
      </c>
      <c r="J33" s="540">
        <f t="shared" si="1"/>
        <v>0.24</v>
      </c>
      <c r="K33" s="136">
        <v>7.99</v>
      </c>
      <c r="M33" s="37"/>
    </row>
    <row r="34" spans="1:18" x14ac:dyDescent="0.25">
      <c r="A34" s="369" t="s">
        <v>34</v>
      </c>
      <c r="B34" s="370">
        <v>10997</v>
      </c>
      <c r="C34" s="371" t="s">
        <v>379</v>
      </c>
      <c r="D34" s="371" t="s">
        <v>1122</v>
      </c>
      <c r="E34" s="584" t="s">
        <v>35</v>
      </c>
      <c r="F34" s="584"/>
      <c r="G34" s="372" t="s">
        <v>19</v>
      </c>
      <c r="H34" s="373">
        <v>6.0005000000000003E-2</v>
      </c>
      <c r="I34" s="374">
        <v>29.05</v>
      </c>
      <c r="J34" s="540">
        <f t="shared" si="1"/>
        <v>1.74</v>
      </c>
      <c r="K34" s="136"/>
      <c r="M34" s="37"/>
    </row>
    <row r="35" spans="1:18" x14ac:dyDescent="0.25">
      <c r="A35" s="369" t="s">
        <v>34</v>
      </c>
      <c r="B35" s="370" t="s">
        <v>1182</v>
      </c>
      <c r="C35" s="371" t="s">
        <v>1183</v>
      </c>
      <c r="D35" s="371" t="s">
        <v>1184</v>
      </c>
      <c r="E35" s="584" t="s">
        <v>35</v>
      </c>
      <c r="F35" s="584"/>
      <c r="G35" s="372" t="s">
        <v>19</v>
      </c>
      <c r="H35" s="373">
        <v>1.091</v>
      </c>
      <c r="I35" s="374">
        <v>13</v>
      </c>
      <c r="J35" s="540">
        <f t="shared" si="1"/>
        <v>14.18</v>
      </c>
      <c r="K35" s="136"/>
      <c r="M35" s="37"/>
    </row>
    <row r="36" spans="1:18" x14ac:dyDescent="0.25">
      <c r="A36" s="13"/>
      <c r="B36" s="13"/>
      <c r="C36" s="13"/>
      <c r="D36" s="375"/>
      <c r="E36" s="13"/>
      <c r="F36" s="14"/>
      <c r="G36" s="13"/>
      <c r="H36" s="585" t="s">
        <v>38</v>
      </c>
      <c r="I36" s="585"/>
      <c r="J36" s="15">
        <f>SUM(J26:J35)</f>
        <v>20.47</v>
      </c>
      <c r="K36" s="136"/>
      <c r="M36" s="37"/>
    </row>
    <row r="37" spans="1:18" x14ac:dyDescent="0.25">
      <c r="K37" s="136"/>
      <c r="M37" s="37"/>
    </row>
    <row r="38" spans="1:18" ht="18" customHeight="1" x14ac:dyDescent="0.25">
      <c r="A38" s="245" t="s">
        <v>890</v>
      </c>
      <c r="B38" s="246" t="s">
        <v>2</v>
      </c>
      <c r="C38" s="245" t="s">
        <v>3</v>
      </c>
      <c r="D38" s="245" t="s">
        <v>98</v>
      </c>
      <c r="E38" s="592" t="s">
        <v>29</v>
      </c>
      <c r="F38" s="592"/>
      <c r="G38" s="247" t="s">
        <v>5</v>
      </c>
      <c r="H38" s="248" t="s">
        <v>6</v>
      </c>
      <c r="I38" s="246" t="s">
        <v>7</v>
      </c>
      <c r="J38" s="246" t="s">
        <v>9</v>
      </c>
      <c r="K38" s="136"/>
      <c r="M38" s="37"/>
    </row>
    <row r="39" spans="1:18" s="9" customFormat="1" ht="35.25" customHeight="1" x14ac:dyDescent="0.25">
      <c r="A39" s="249"/>
      <c r="B39" s="250"/>
      <c r="C39" s="249"/>
      <c r="D39" s="251" t="s">
        <v>133</v>
      </c>
      <c r="E39" s="593" t="s">
        <v>40</v>
      </c>
      <c r="F39" s="593"/>
      <c r="G39" s="252" t="s">
        <v>21</v>
      </c>
      <c r="H39" s="253">
        <v>1</v>
      </c>
      <c r="I39" s="254"/>
      <c r="J39" s="255">
        <f>J44</f>
        <v>19.670000000000002</v>
      </c>
      <c r="K39" s="136"/>
      <c r="M39" s="37">
        <f>SUM(M40:M43)</f>
        <v>23.630000000000003</v>
      </c>
      <c r="P39" s="138" t="e">
        <f>ORÇAMENTO!#REF!</f>
        <v>#REF!</v>
      </c>
      <c r="R39" s="19" t="e">
        <f>IF(P39-J39=0,"ok","erro")</f>
        <v>#REF!</v>
      </c>
    </row>
    <row r="40" spans="1:18" ht="33" customHeight="1" x14ac:dyDescent="0.25">
      <c r="A40" s="256" t="s">
        <v>30</v>
      </c>
      <c r="B40" s="257">
        <v>88310</v>
      </c>
      <c r="C40" s="256" t="s">
        <v>13</v>
      </c>
      <c r="D40" s="256" t="s">
        <v>36</v>
      </c>
      <c r="E40" s="583" t="s">
        <v>31</v>
      </c>
      <c r="F40" s="583"/>
      <c r="G40" s="258" t="s">
        <v>32</v>
      </c>
      <c r="H40" s="259">
        <v>0.35</v>
      </c>
      <c r="I40" s="260">
        <v>29.81</v>
      </c>
      <c r="J40" s="260">
        <f>TRUNC(H40*I40,2)</f>
        <v>10.43</v>
      </c>
      <c r="K40" s="136"/>
      <c r="L40">
        <v>16.43</v>
      </c>
      <c r="M40" s="37">
        <f>ROUND(H40*L40,2)</f>
        <v>5.75</v>
      </c>
    </row>
    <row r="41" spans="1:18" ht="33" customHeight="1" x14ac:dyDescent="0.25">
      <c r="A41" s="256" t="s">
        <v>30</v>
      </c>
      <c r="B41" s="257">
        <v>88316</v>
      </c>
      <c r="C41" s="256" t="s">
        <v>13</v>
      </c>
      <c r="D41" s="256" t="s">
        <v>33</v>
      </c>
      <c r="E41" s="583" t="s">
        <v>31</v>
      </c>
      <c r="F41" s="583"/>
      <c r="G41" s="258" t="s">
        <v>32</v>
      </c>
      <c r="H41" s="259">
        <v>0.25</v>
      </c>
      <c r="I41" s="260">
        <v>22.98</v>
      </c>
      <c r="J41" s="260">
        <f t="shared" ref="J41:J43" si="2">TRUNC(H41*I41,2)</f>
        <v>5.74</v>
      </c>
      <c r="K41" s="136"/>
      <c r="L41">
        <v>20.21</v>
      </c>
      <c r="M41" s="37">
        <f>ROUND(H41*L41,2)</f>
        <v>5.05</v>
      </c>
    </row>
    <row r="42" spans="1:18" ht="24" customHeight="1" x14ac:dyDescent="0.25">
      <c r="A42" s="261" t="s">
        <v>34</v>
      </c>
      <c r="B42" s="262">
        <v>3767</v>
      </c>
      <c r="C42" s="263" t="s">
        <v>379</v>
      </c>
      <c r="D42" s="263" t="s">
        <v>134</v>
      </c>
      <c r="E42" s="588" t="s">
        <v>35</v>
      </c>
      <c r="F42" s="588"/>
      <c r="G42" s="264" t="s">
        <v>14</v>
      </c>
      <c r="H42" s="265">
        <v>0.5</v>
      </c>
      <c r="I42" s="266">
        <v>0.81</v>
      </c>
      <c r="J42" s="541">
        <f t="shared" si="2"/>
        <v>0.4</v>
      </c>
      <c r="K42" s="136"/>
      <c r="L42">
        <v>25.66</v>
      </c>
      <c r="M42" s="37">
        <f>ROUND(H42*L42,2)</f>
        <v>12.83</v>
      </c>
    </row>
    <row r="43" spans="1:18" ht="24" customHeight="1" x14ac:dyDescent="0.25">
      <c r="A43" s="261" t="s">
        <v>34</v>
      </c>
      <c r="B43" s="267">
        <v>43651</v>
      </c>
      <c r="C43" s="263" t="s">
        <v>379</v>
      </c>
      <c r="D43" s="261" t="s">
        <v>1140</v>
      </c>
      <c r="E43" s="600" t="s">
        <v>35</v>
      </c>
      <c r="F43" s="600"/>
      <c r="G43" s="268" t="s">
        <v>1141</v>
      </c>
      <c r="H43" s="269">
        <v>0.72</v>
      </c>
      <c r="I43" s="270">
        <v>4.3099999999999996</v>
      </c>
      <c r="J43" s="541">
        <f t="shared" si="2"/>
        <v>3.1</v>
      </c>
      <c r="K43" s="136"/>
      <c r="M43" s="37"/>
    </row>
    <row r="44" spans="1:18" ht="29.25" customHeight="1" x14ac:dyDescent="0.25">
      <c r="A44" s="271"/>
      <c r="B44" s="271"/>
      <c r="C44" s="271"/>
      <c r="D44" s="271"/>
      <c r="E44" s="271"/>
      <c r="F44" s="272"/>
      <c r="G44" s="271"/>
      <c r="H44" s="589" t="s">
        <v>38</v>
      </c>
      <c r="I44" s="589"/>
      <c r="J44" s="273">
        <f>SUM(J40:J43)</f>
        <v>19.670000000000002</v>
      </c>
      <c r="K44" s="136"/>
    </row>
    <row r="45" spans="1:18" x14ac:dyDescent="0.25">
      <c r="A45" s="245" t="s">
        <v>60</v>
      </c>
      <c r="B45" s="246" t="s">
        <v>2</v>
      </c>
      <c r="C45" s="245" t="s">
        <v>3</v>
      </c>
      <c r="D45" s="245" t="s">
        <v>100</v>
      </c>
      <c r="E45" s="592" t="s">
        <v>29</v>
      </c>
      <c r="F45" s="592"/>
      <c r="G45" s="247" t="s">
        <v>5</v>
      </c>
      <c r="H45" s="248" t="s">
        <v>6</v>
      </c>
      <c r="I45" s="246" t="s">
        <v>7</v>
      </c>
      <c r="J45" s="246" t="s">
        <v>9</v>
      </c>
      <c r="K45" s="136"/>
    </row>
    <row r="46" spans="1:18" ht="46.5" customHeight="1" x14ac:dyDescent="0.25">
      <c r="A46" s="249"/>
      <c r="B46" s="250"/>
      <c r="C46" s="249"/>
      <c r="D46" s="251" t="s">
        <v>259</v>
      </c>
      <c r="E46" s="593" t="s">
        <v>90</v>
      </c>
      <c r="F46" s="593"/>
      <c r="G46" s="274" t="s">
        <v>14</v>
      </c>
      <c r="H46" s="275">
        <v>1</v>
      </c>
      <c r="I46" s="254"/>
      <c r="J46" s="255">
        <f>J52</f>
        <v>4581.0200000000004</v>
      </c>
      <c r="K46" s="136"/>
    </row>
    <row r="47" spans="1:18" ht="36" customHeight="1" x14ac:dyDescent="0.25">
      <c r="A47" s="256" t="s">
        <v>30</v>
      </c>
      <c r="B47" s="257">
        <v>88325</v>
      </c>
      <c r="C47" s="256" t="s">
        <v>13</v>
      </c>
      <c r="D47" s="256" t="s">
        <v>221</v>
      </c>
      <c r="E47" s="583" t="s">
        <v>31</v>
      </c>
      <c r="F47" s="583"/>
      <c r="G47" s="258" t="s">
        <v>32</v>
      </c>
      <c r="H47" s="259">
        <v>3.2530000000000001</v>
      </c>
      <c r="I47" s="260">
        <v>23.07</v>
      </c>
      <c r="J47" s="260">
        <f>TRUNC(H47*I47,2)</f>
        <v>75.040000000000006</v>
      </c>
      <c r="K47" s="136"/>
    </row>
    <row r="48" spans="1:18" ht="36.75" customHeight="1" x14ac:dyDescent="0.25">
      <c r="A48" s="256" t="s">
        <v>30</v>
      </c>
      <c r="B48" s="257">
        <v>88316</v>
      </c>
      <c r="C48" s="256" t="s">
        <v>13</v>
      </c>
      <c r="D48" s="256" t="s">
        <v>33</v>
      </c>
      <c r="E48" s="583" t="s">
        <v>31</v>
      </c>
      <c r="F48" s="583"/>
      <c r="G48" s="258" t="s">
        <v>32</v>
      </c>
      <c r="H48" s="259">
        <v>3.1619999999999999</v>
      </c>
      <c r="I48" s="260">
        <v>22.98</v>
      </c>
      <c r="J48" s="260">
        <f t="shared" ref="J48:J51" si="3">TRUNC(H48*I48,2)</f>
        <v>72.66</v>
      </c>
      <c r="K48" s="136"/>
    </row>
    <row r="49" spans="1:11" ht="63.75" customHeight="1" x14ac:dyDescent="0.25">
      <c r="A49" s="261" t="s">
        <v>34</v>
      </c>
      <c r="B49" s="262">
        <v>3104</v>
      </c>
      <c r="C49" s="263" t="s">
        <v>379</v>
      </c>
      <c r="D49" s="263" t="s">
        <v>222</v>
      </c>
      <c r="E49" s="588" t="s">
        <v>35</v>
      </c>
      <c r="F49" s="588"/>
      <c r="G49" s="264" t="s">
        <v>471</v>
      </c>
      <c r="H49" s="265">
        <v>1</v>
      </c>
      <c r="I49" s="266">
        <v>197.96</v>
      </c>
      <c r="J49" s="541">
        <f t="shared" si="3"/>
        <v>197.96</v>
      </c>
      <c r="K49" s="136"/>
    </row>
    <row r="50" spans="1:11" ht="33" customHeight="1" x14ac:dyDescent="0.25">
      <c r="A50" s="261" t="s">
        <v>34</v>
      </c>
      <c r="B50" s="262">
        <v>5031</v>
      </c>
      <c r="C50" s="263" t="s">
        <v>379</v>
      </c>
      <c r="D50" s="263" t="s">
        <v>223</v>
      </c>
      <c r="E50" s="588" t="s">
        <v>35</v>
      </c>
      <c r="F50" s="588"/>
      <c r="G50" s="264" t="s">
        <v>21</v>
      </c>
      <c r="H50" s="265">
        <v>5.46</v>
      </c>
      <c r="I50" s="266">
        <v>405</v>
      </c>
      <c r="J50" s="541">
        <f t="shared" si="3"/>
        <v>2211.3000000000002</v>
      </c>
      <c r="K50" s="136"/>
    </row>
    <row r="51" spans="1:11" ht="27.6" x14ac:dyDescent="0.25">
      <c r="A51" s="261" t="s">
        <v>34</v>
      </c>
      <c r="B51" s="262">
        <v>1622</v>
      </c>
      <c r="C51" s="263" t="s">
        <v>190</v>
      </c>
      <c r="D51" s="263" t="s">
        <v>224</v>
      </c>
      <c r="E51" s="588" t="s">
        <v>35</v>
      </c>
      <c r="F51" s="588"/>
      <c r="G51" s="264" t="s">
        <v>14</v>
      </c>
      <c r="H51" s="265">
        <v>2</v>
      </c>
      <c r="I51" s="266">
        <v>1012.03</v>
      </c>
      <c r="J51" s="541">
        <f t="shared" si="3"/>
        <v>2024.06</v>
      </c>
      <c r="K51" s="136"/>
    </row>
    <row r="52" spans="1:11" x14ac:dyDescent="0.25">
      <c r="A52" s="271"/>
      <c r="B52" s="271"/>
      <c r="C52" s="271"/>
      <c r="D52" s="271"/>
      <c r="E52" s="271"/>
      <c r="F52" s="272"/>
      <c r="G52" s="271"/>
      <c r="H52" s="589" t="s">
        <v>38</v>
      </c>
      <c r="I52" s="589"/>
      <c r="J52" s="273">
        <f>SUM(J47:J51)</f>
        <v>4581.0200000000004</v>
      </c>
      <c r="K52" s="136"/>
    </row>
    <row r="53" spans="1:11" x14ac:dyDescent="0.25">
      <c r="A53" s="276"/>
      <c r="B53" s="276"/>
      <c r="C53" s="276"/>
      <c r="D53" s="276"/>
      <c r="E53" s="276"/>
      <c r="F53" s="276"/>
      <c r="G53" s="276"/>
      <c r="H53" s="277"/>
      <c r="I53" s="276"/>
      <c r="J53" s="276"/>
      <c r="K53" s="136"/>
    </row>
    <row r="54" spans="1:11" x14ac:dyDescent="0.25">
      <c r="A54" s="245" t="s">
        <v>169</v>
      </c>
      <c r="B54" s="246" t="s">
        <v>2</v>
      </c>
      <c r="C54" s="245" t="s">
        <v>3</v>
      </c>
      <c r="D54" s="245" t="s">
        <v>39</v>
      </c>
      <c r="E54" s="592" t="s">
        <v>29</v>
      </c>
      <c r="F54" s="592"/>
      <c r="G54" s="247" t="s">
        <v>5</v>
      </c>
      <c r="H54" s="248" t="s">
        <v>6</v>
      </c>
      <c r="I54" s="246" t="s">
        <v>7</v>
      </c>
      <c r="J54" s="246" t="s">
        <v>9</v>
      </c>
      <c r="K54" s="136"/>
    </row>
    <row r="55" spans="1:11" ht="48.75" customHeight="1" x14ac:dyDescent="0.25">
      <c r="A55" s="249"/>
      <c r="B55" s="250"/>
      <c r="C55" s="249"/>
      <c r="D55" s="251" t="s">
        <v>260</v>
      </c>
      <c r="E55" s="593" t="s">
        <v>90</v>
      </c>
      <c r="F55" s="593"/>
      <c r="G55" s="274" t="s">
        <v>14</v>
      </c>
      <c r="H55" s="275">
        <v>1</v>
      </c>
      <c r="I55" s="254"/>
      <c r="J55" s="255">
        <f>J61</f>
        <v>4783.5200000000004</v>
      </c>
      <c r="K55" s="136"/>
    </row>
    <row r="56" spans="1:11" ht="33.75" customHeight="1" x14ac:dyDescent="0.25">
      <c r="A56" s="256" t="s">
        <v>30</v>
      </c>
      <c r="B56" s="257">
        <v>88325</v>
      </c>
      <c r="C56" s="256" t="s">
        <v>13</v>
      </c>
      <c r="D56" s="256" t="s">
        <v>221</v>
      </c>
      <c r="E56" s="583" t="s">
        <v>31</v>
      </c>
      <c r="F56" s="583"/>
      <c r="G56" s="258" t="s">
        <v>32</v>
      </c>
      <c r="H56" s="259">
        <v>3.2530000000000001</v>
      </c>
      <c r="I56" s="260">
        <v>23.07</v>
      </c>
      <c r="J56" s="260">
        <f>TRUNC(H56*I56,2)</f>
        <v>75.040000000000006</v>
      </c>
      <c r="K56" s="136"/>
    </row>
    <row r="57" spans="1:11" ht="37.5" customHeight="1" x14ac:dyDescent="0.25">
      <c r="A57" s="256" t="s">
        <v>30</v>
      </c>
      <c r="B57" s="257">
        <v>88316</v>
      </c>
      <c r="C57" s="256" t="s">
        <v>13</v>
      </c>
      <c r="D57" s="256" t="s">
        <v>33</v>
      </c>
      <c r="E57" s="583" t="s">
        <v>31</v>
      </c>
      <c r="F57" s="583"/>
      <c r="G57" s="258" t="s">
        <v>32</v>
      </c>
      <c r="H57" s="259">
        <v>3.1619999999999999</v>
      </c>
      <c r="I57" s="260">
        <v>22.98</v>
      </c>
      <c r="J57" s="260">
        <f t="shared" ref="J57:J60" si="4">TRUNC(H57*I57,2)</f>
        <v>72.66</v>
      </c>
      <c r="K57" s="136"/>
    </row>
    <row r="58" spans="1:11" ht="63.75" customHeight="1" x14ac:dyDescent="0.25">
      <c r="A58" s="261" t="s">
        <v>34</v>
      </c>
      <c r="B58" s="262">
        <v>3104</v>
      </c>
      <c r="C58" s="263" t="s">
        <v>379</v>
      </c>
      <c r="D58" s="263" t="s">
        <v>222</v>
      </c>
      <c r="E58" s="588" t="s">
        <v>35</v>
      </c>
      <c r="F58" s="588"/>
      <c r="G58" s="264" t="s">
        <v>471</v>
      </c>
      <c r="H58" s="265">
        <v>1</v>
      </c>
      <c r="I58" s="266">
        <v>197.96</v>
      </c>
      <c r="J58" s="541">
        <f t="shared" si="4"/>
        <v>197.96</v>
      </c>
      <c r="K58" s="136"/>
    </row>
    <row r="59" spans="1:11" ht="36" customHeight="1" x14ac:dyDescent="0.25">
      <c r="A59" s="261" t="s">
        <v>34</v>
      </c>
      <c r="B59" s="262">
        <v>5031</v>
      </c>
      <c r="C59" s="263" t="s">
        <v>379</v>
      </c>
      <c r="D59" s="263" t="s">
        <v>223</v>
      </c>
      <c r="E59" s="588" t="s">
        <v>35</v>
      </c>
      <c r="F59" s="588"/>
      <c r="G59" s="264" t="s">
        <v>21</v>
      </c>
      <c r="H59" s="265">
        <v>5.96</v>
      </c>
      <c r="I59" s="266">
        <v>405</v>
      </c>
      <c r="J59" s="541">
        <f t="shared" si="4"/>
        <v>2413.8000000000002</v>
      </c>
      <c r="K59" s="136"/>
    </row>
    <row r="60" spans="1:11" ht="36" customHeight="1" x14ac:dyDescent="0.25">
      <c r="A60" s="261" t="s">
        <v>34</v>
      </c>
      <c r="B60" s="262">
        <v>1622</v>
      </c>
      <c r="C60" s="263" t="s">
        <v>190</v>
      </c>
      <c r="D60" s="263" t="s">
        <v>224</v>
      </c>
      <c r="E60" s="588" t="s">
        <v>35</v>
      </c>
      <c r="F60" s="588"/>
      <c r="G60" s="264" t="s">
        <v>14</v>
      </c>
      <c r="H60" s="265">
        <v>2</v>
      </c>
      <c r="I60" s="266">
        <v>1012.03</v>
      </c>
      <c r="J60" s="541">
        <f t="shared" si="4"/>
        <v>2024.06</v>
      </c>
      <c r="K60" s="136"/>
    </row>
    <row r="61" spans="1:11" ht="36" customHeight="1" x14ac:dyDescent="0.25">
      <c r="A61" s="271"/>
      <c r="B61" s="271"/>
      <c r="C61" s="271"/>
      <c r="D61" s="271"/>
      <c r="E61" s="271"/>
      <c r="F61" s="272"/>
      <c r="G61" s="271"/>
      <c r="H61" s="589" t="s">
        <v>38</v>
      </c>
      <c r="I61" s="589"/>
      <c r="J61" s="273">
        <f>SUM(J56:J60)</f>
        <v>4783.5200000000004</v>
      </c>
      <c r="K61" s="136"/>
    </row>
    <row r="62" spans="1:11" ht="19.5" customHeight="1" x14ac:dyDescent="0.25">
      <c r="A62" s="245" t="s">
        <v>1009</v>
      </c>
      <c r="B62" s="246" t="s">
        <v>2</v>
      </c>
      <c r="C62" s="245" t="s">
        <v>3</v>
      </c>
      <c r="D62" s="245" t="s">
        <v>89</v>
      </c>
      <c r="E62" s="592" t="s">
        <v>29</v>
      </c>
      <c r="F62" s="592"/>
      <c r="G62" s="247" t="s">
        <v>5</v>
      </c>
      <c r="H62" s="248" t="s">
        <v>6</v>
      </c>
      <c r="I62" s="246" t="s">
        <v>7</v>
      </c>
      <c r="J62" s="246" t="s">
        <v>9</v>
      </c>
      <c r="K62" s="136"/>
    </row>
    <row r="63" spans="1:11" ht="32.25" customHeight="1" x14ac:dyDescent="0.25">
      <c r="A63" s="249"/>
      <c r="B63" s="250"/>
      <c r="C63" s="249"/>
      <c r="D63" s="251" t="s">
        <v>355</v>
      </c>
      <c r="E63" s="601" t="s">
        <v>31</v>
      </c>
      <c r="F63" s="602"/>
      <c r="G63" s="252" t="s">
        <v>14</v>
      </c>
      <c r="H63" s="253">
        <v>1</v>
      </c>
      <c r="I63" s="254"/>
      <c r="J63" s="255">
        <f>J80</f>
        <v>1390.84</v>
      </c>
      <c r="K63" s="136"/>
    </row>
    <row r="64" spans="1:11" ht="37.5" customHeight="1" x14ac:dyDescent="0.25">
      <c r="A64" s="256" t="s">
        <v>30</v>
      </c>
      <c r="B64" s="257">
        <v>94489</v>
      </c>
      <c r="C64" s="256" t="s">
        <v>13</v>
      </c>
      <c r="D64" s="256" t="s">
        <v>349</v>
      </c>
      <c r="E64" s="583" t="s">
        <v>31</v>
      </c>
      <c r="F64" s="583"/>
      <c r="G64" s="258" t="s">
        <v>14</v>
      </c>
      <c r="H64" s="259">
        <v>2</v>
      </c>
      <c r="I64" s="260">
        <v>32.590000000000003</v>
      </c>
      <c r="J64" s="260">
        <f>TRUNC(H64*I64,2)</f>
        <v>65.180000000000007</v>
      </c>
      <c r="K64" s="136"/>
    </row>
    <row r="65" spans="1:13" ht="41.25" customHeight="1" x14ac:dyDescent="0.25">
      <c r="A65" s="256" t="s">
        <v>30</v>
      </c>
      <c r="B65" s="257">
        <v>94491</v>
      </c>
      <c r="C65" s="256" t="s">
        <v>13</v>
      </c>
      <c r="D65" s="256" t="s">
        <v>350</v>
      </c>
      <c r="E65" s="583" t="s">
        <v>31</v>
      </c>
      <c r="F65" s="583"/>
      <c r="G65" s="258" t="s">
        <v>14</v>
      </c>
      <c r="H65" s="259">
        <v>1</v>
      </c>
      <c r="I65" s="260">
        <v>65.959999999999994</v>
      </c>
      <c r="J65" s="260">
        <f t="shared" ref="J65:J79" si="5">TRUNC(H65*I65,2)</f>
        <v>65.959999999999994</v>
      </c>
      <c r="K65" s="136"/>
      <c r="M65" s="37"/>
    </row>
    <row r="66" spans="1:13" ht="51" customHeight="1" x14ac:dyDescent="0.25">
      <c r="A66" s="256" t="s">
        <v>30</v>
      </c>
      <c r="B66" s="257">
        <v>94648</v>
      </c>
      <c r="C66" s="256" t="s">
        <v>13</v>
      </c>
      <c r="D66" s="256" t="s">
        <v>1166</v>
      </c>
      <c r="E66" s="583" t="s">
        <v>31</v>
      </c>
      <c r="F66" s="583"/>
      <c r="G66" s="258" t="s">
        <v>16</v>
      </c>
      <c r="H66" s="259">
        <v>1.8</v>
      </c>
      <c r="I66" s="260">
        <v>6.55</v>
      </c>
      <c r="J66" s="260">
        <f t="shared" si="5"/>
        <v>11.79</v>
      </c>
      <c r="K66" s="136"/>
      <c r="M66" s="37"/>
    </row>
    <row r="67" spans="1:13" ht="51" customHeight="1" x14ac:dyDescent="0.25">
      <c r="A67" s="256" t="s">
        <v>30</v>
      </c>
      <c r="B67" s="257">
        <v>94650</v>
      </c>
      <c r="C67" s="256" t="s">
        <v>13</v>
      </c>
      <c r="D67" s="256" t="s">
        <v>1167</v>
      </c>
      <c r="E67" s="583" t="s">
        <v>31</v>
      </c>
      <c r="F67" s="583"/>
      <c r="G67" s="258" t="s">
        <v>16</v>
      </c>
      <c r="H67" s="259">
        <v>0.95</v>
      </c>
      <c r="I67" s="260">
        <v>18.32</v>
      </c>
      <c r="J67" s="260">
        <f t="shared" si="5"/>
        <v>17.399999999999999</v>
      </c>
      <c r="K67" s="136"/>
      <c r="M67" s="37"/>
    </row>
    <row r="68" spans="1:13" ht="52.5" customHeight="1" x14ac:dyDescent="0.25">
      <c r="A68" s="256" t="s">
        <v>30</v>
      </c>
      <c r="B68" s="257">
        <v>94672</v>
      </c>
      <c r="C68" s="256" t="s">
        <v>13</v>
      </c>
      <c r="D68" s="256" t="s">
        <v>1168</v>
      </c>
      <c r="E68" s="583" t="s">
        <v>31</v>
      </c>
      <c r="F68" s="583"/>
      <c r="G68" s="258" t="s">
        <v>14</v>
      </c>
      <c r="H68" s="259">
        <v>2</v>
      </c>
      <c r="I68" s="260">
        <v>5.86</v>
      </c>
      <c r="J68" s="260">
        <f t="shared" si="5"/>
        <v>11.72</v>
      </c>
      <c r="K68" s="136"/>
      <c r="M68" s="37"/>
    </row>
    <row r="69" spans="1:13" ht="51.75" customHeight="1" x14ac:dyDescent="0.25">
      <c r="A69" s="256" t="s">
        <v>30</v>
      </c>
      <c r="B69" s="257">
        <v>94676</v>
      </c>
      <c r="C69" s="256" t="s">
        <v>13</v>
      </c>
      <c r="D69" s="256" t="s">
        <v>1169</v>
      </c>
      <c r="E69" s="583" t="s">
        <v>31</v>
      </c>
      <c r="F69" s="583"/>
      <c r="G69" s="258" t="s">
        <v>14</v>
      </c>
      <c r="H69" s="259">
        <v>1</v>
      </c>
      <c r="I69" s="260">
        <v>12.64</v>
      </c>
      <c r="J69" s="260">
        <f t="shared" si="5"/>
        <v>12.64</v>
      </c>
      <c r="K69" s="136"/>
      <c r="M69" s="37"/>
    </row>
    <row r="70" spans="1:13" ht="51" customHeight="1" x14ac:dyDescent="0.25">
      <c r="A70" s="256" t="s">
        <v>30</v>
      </c>
      <c r="B70" s="257">
        <v>94688</v>
      </c>
      <c r="C70" s="256" t="s">
        <v>13</v>
      </c>
      <c r="D70" s="256" t="s">
        <v>1170</v>
      </c>
      <c r="E70" s="583" t="s">
        <v>31</v>
      </c>
      <c r="F70" s="583"/>
      <c r="G70" s="258" t="s">
        <v>14</v>
      </c>
      <c r="H70" s="259">
        <v>1</v>
      </c>
      <c r="I70" s="260">
        <v>6.66</v>
      </c>
      <c r="J70" s="260">
        <f t="shared" si="5"/>
        <v>6.66</v>
      </c>
      <c r="K70" s="136"/>
      <c r="M70" s="37"/>
    </row>
    <row r="71" spans="1:13" ht="50.25" customHeight="1" x14ac:dyDescent="0.25">
      <c r="A71" s="256" t="s">
        <v>30</v>
      </c>
      <c r="B71" s="257">
        <v>94692</v>
      </c>
      <c r="C71" s="256" t="s">
        <v>13</v>
      </c>
      <c r="D71" s="256" t="s">
        <v>1171</v>
      </c>
      <c r="E71" s="583" t="s">
        <v>31</v>
      </c>
      <c r="F71" s="583"/>
      <c r="G71" s="258" t="s">
        <v>14</v>
      </c>
      <c r="H71" s="259">
        <v>1</v>
      </c>
      <c r="I71" s="260">
        <v>18.45</v>
      </c>
      <c r="J71" s="260">
        <f t="shared" si="5"/>
        <v>18.45</v>
      </c>
      <c r="K71" s="136"/>
      <c r="M71" s="37"/>
    </row>
    <row r="72" spans="1:13" ht="50.25" customHeight="1" x14ac:dyDescent="0.25">
      <c r="A72" s="256" t="s">
        <v>30</v>
      </c>
      <c r="B72" s="257">
        <v>94703</v>
      </c>
      <c r="C72" s="256" t="s">
        <v>13</v>
      </c>
      <c r="D72" s="256" t="s">
        <v>1172</v>
      </c>
      <c r="E72" s="583" t="s">
        <v>31</v>
      </c>
      <c r="F72" s="583"/>
      <c r="G72" s="258" t="s">
        <v>14</v>
      </c>
      <c r="H72" s="259">
        <v>3</v>
      </c>
      <c r="I72" s="260">
        <v>19.21</v>
      </c>
      <c r="J72" s="260">
        <f t="shared" si="5"/>
        <v>57.63</v>
      </c>
      <c r="K72" s="136"/>
      <c r="M72" s="37"/>
    </row>
    <row r="73" spans="1:13" ht="51" customHeight="1" x14ac:dyDescent="0.25">
      <c r="A73" s="256" t="s">
        <v>30</v>
      </c>
      <c r="B73" s="257">
        <v>94705</v>
      </c>
      <c r="C73" s="256" t="s">
        <v>13</v>
      </c>
      <c r="D73" s="256" t="s">
        <v>1162</v>
      </c>
      <c r="E73" s="583" t="s">
        <v>31</v>
      </c>
      <c r="F73" s="583"/>
      <c r="G73" s="258" t="s">
        <v>14</v>
      </c>
      <c r="H73" s="259">
        <v>1</v>
      </c>
      <c r="I73" s="260">
        <v>34.82</v>
      </c>
      <c r="J73" s="260">
        <f t="shared" si="5"/>
        <v>34.82</v>
      </c>
      <c r="K73" s="136"/>
      <c r="M73" s="37"/>
    </row>
    <row r="74" spans="1:13" ht="36" customHeight="1" x14ac:dyDescent="0.25">
      <c r="A74" s="256" t="s">
        <v>30</v>
      </c>
      <c r="B74" s="257">
        <v>94796</v>
      </c>
      <c r="C74" s="256" t="s">
        <v>13</v>
      </c>
      <c r="D74" s="256" t="s">
        <v>351</v>
      </c>
      <c r="E74" s="583" t="s">
        <v>31</v>
      </c>
      <c r="F74" s="583"/>
      <c r="G74" s="258" t="s">
        <v>14</v>
      </c>
      <c r="H74" s="259">
        <v>1</v>
      </c>
      <c r="I74" s="260">
        <v>37.299999999999997</v>
      </c>
      <c r="J74" s="260">
        <f t="shared" si="5"/>
        <v>37.299999999999997</v>
      </c>
      <c r="K74" s="136"/>
      <c r="M74" s="37"/>
    </row>
    <row r="75" spans="1:13" ht="32.25" customHeight="1" x14ac:dyDescent="0.25">
      <c r="A75" s="256" t="s">
        <v>30</v>
      </c>
      <c r="B75" s="257">
        <v>102591</v>
      </c>
      <c r="C75" s="256" t="s">
        <v>13</v>
      </c>
      <c r="D75" s="256" t="s">
        <v>352</v>
      </c>
      <c r="E75" s="583" t="s">
        <v>31</v>
      </c>
      <c r="F75" s="583"/>
      <c r="G75" s="258" t="s">
        <v>14</v>
      </c>
      <c r="H75" s="259">
        <v>3</v>
      </c>
      <c r="I75" s="260">
        <v>4.38</v>
      </c>
      <c r="J75" s="260">
        <f t="shared" si="5"/>
        <v>13.14</v>
      </c>
      <c r="K75" s="136"/>
      <c r="M75" s="37"/>
    </row>
    <row r="76" spans="1:13" ht="33" customHeight="1" x14ac:dyDescent="0.25">
      <c r="A76" s="256" t="s">
        <v>30</v>
      </c>
      <c r="B76" s="257">
        <v>102595</v>
      </c>
      <c r="C76" s="256" t="s">
        <v>13</v>
      </c>
      <c r="D76" s="256" t="s">
        <v>353</v>
      </c>
      <c r="E76" s="583" t="s">
        <v>31</v>
      </c>
      <c r="F76" s="583"/>
      <c r="G76" s="258" t="s">
        <v>14</v>
      </c>
      <c r="H76" s="259">
        <v>1</v>
      </c>
      <c r="I76" s="260">
        <v>5.59</v>
      </c>
      <c r="J76" s="260">
        <f t="shared" si="5"/>
        <v>5.59</v>
      </c>
      <c r="K76" s="136"/>
      <c r="M76" s="37"/>
    </row>
    <row r="77" spans="1:13" ht="32.25" customHeight="1" x14ac:dyDescent="0.25">
      <c r="A77" s="256" t="s">
        <v>30</v>
      </c>
      <c r="B77" s="257">
        <v>88248</v>
      </c>
      <c r="C77" s="256" t="s">
        <v>13</v>
      </c>
      <c r="D77" s="256" t="s">
        <v>219</v>
      </c>
      <c r="E77" s="583" t="s">
        <v>31</v>
      </c>
      <c r="F77" s="583"/>
      <c r="G77" s="258" t="s">
        <v>32</v>
      </c>
      <c r="H77" s="259">
        <v>0.151</v>
      </c>
      <c r="I77" s="260">
        <v>23.48</v>
      </c>
      <c r="J77" s="260">
        <f t="shared" si="5"/>
        <v>3.54</v>
      </c>
      <c r="K77" s="136"/>
      <c r="M77" s="37"/>
    </row>
    <row r="78" spans="1:13" ht="28.5" customHeight="1" x14ac:dyDescent="0.25">
      <c r="A78" s="256" t="s">
        <v>30</v>
      </c>
      <c r="B78" s="257">
        <v>88267</v>
      </c>
      <c r="C78" s="256" t="s">
        <v>13</v>
      </c>
      <c r="D78" s="256" t="s">
        <v>220</v>
      </c>
      <c r="E78" s="583" t="s">
        <v>31</v>
      </c>
      <c r="F78" s="583"/>
      <c r="G78" s="258" t="s">
        <v>32</v>
      </c>
      <c r="H78" s="259">
        <v>0.151</v>
      </c>
      <c r="I78" s="260">
        <v>27.77</v>
      </c>
      <c r="J78" s="260">
        <f t="shared" si="5"/>
        <v>4.1900000000000004</v>
      </c>
      <c r="K78" s="136"/>
    </row>
    <row r="79" spans="1:13" ht="25.5" customHeight="1" x14ac:dyDescent="0.25">
      <c r="A79" s="261" t="s">
        <v>34</v>
      </c>
      <c r="B79" s="262">
        <v>34639</v>
      </c>
      <c r="C79" s="263" t="s">
        <v>379</v>
      </c>
      <c r="D79" s="263" t="s">
        <v>354</v>
      </c>
      <c r="E79" s="590" t="s">
        <v>35</v>
      </c>
      <c r="F79" s="591"/>
      <c r="G79" s="264" t="s">
        <v>14</v>
      </c>
      <c r="H79" s="265">
        <v>1</v>
      </c>
      <c r="I79" s="266">
        <v>1024.83</v>
      </c>
      <c r="J79" s="541">
        <f t="shared" si="5"/>
        <v>1024.83</v>
      </c>
      <c r="K79" s="136"/>
    </row>
    <row r="80" spans="1:13" ht="36" customHeight="1" x14ac:dyDescent="0.25">
      <c r="A80" s="271"/>
      <c r="B80" s="271"/>
      <c r="C80" s="271"/>
      <c r="D80" s="271"/>
      <c r="E80" s="271"/>
      <c r="F80" s="272"/>
      <c r="G80" s="271"/>
      <c r="H80" s="278" t="s">
        <v>38</v>
      </c>
      <c r="I80" s="278"/>
      <c r="J80" s="273">
        <f>SUM(J64:J79)</f>
        <v>1390.84</v>
      </c>
      <c r="K80" s="136"/>
    </row>
    <row r="81" spans="1:11" ht="25.5" customHeight="1" x14ac:dyDescent="0.25">
      <c r="A81" s="245" t="s">
        <v>1022</v>
      </c>
      <c r="B81" s="246" t="s">
        <v>2</v>
      </c>
      <c r="C81" s="245" t="s">
        <v>3</v>
      </c>
      <c r="D81" s="245" t="s">
        <v>281</v>
      </c>
      <c r="E81" s="603" t="s">
        <v>29</v>
      </c>
      <c r="F81" s="604"/>
      <c r="G81" s="247" t="s">
        <v>5</v>
      </c>
      <c r="H81" s="248" t="s">
        <v>6</v>
      </c>
      <c r="I81" s="246" t="s">
        <v>7</v>
      </c>
      <c r="J81" s="246" t="s">
        <v>9</v>
      </c>
      <c r="K81" s="136"/>
    </row>
    <row r="82" spans="1:11" ht="37.5" customHeight="1" x14ac:dyDescent="0.25">
      <c r="A82" s="251"/>
      <c r="B82" s="279"/>
      <c r="C82" s="251"/>
      <c r="D82" s="251" t="s">
        <v>333</v>
      </c>
      <c r="E82" s="601" t="s">
        <v>31</v>
      </c>
      <c r="F82" s="602"/>
      <c r="G82" s="274" t="s">
        <v>14</v>
      </c>
      <c r="H82" s="275">
        <v>1</v>
      </c>
      <c r="I82" s="255"/>
      <c r="J82" s="255">
        <f>J105</f>
        <v>14501.75</v>
      </c>
      <c r="K82" s="136"/>
    </row>
    <row r="83" spans="1:11" ht="72.75" customHeight="1" x14ac:dyDescent="0.25">
      <c r="A83" s="256" t="s">
        <v>30</v>
      </c>
      <c r="B83" s="257">
        <v>5678</v>
      </c>
      <c r="C83" s="256" t="s">
        <v>13</v>
      </c>
      <c r="D83" s="256" t="s">
        <v>334</v>
      </c>
      <c r="E83" s="586" t="s">
        <v>31</v>
      </c>
      <c r="F83" s="587"/>
      <c r="G83" s="258" t="s">
        <v>41</v>
      </c>
      <c r="H83" s="259">
        <v>0.2</v>
      </c>
      <c r="I83" s="260">
        <v>144.74</v>
      </c>
      <c r="J83" s="260">
        <f>TRUNC(H83*I83,2)</f>
        <v>28.94</v>
      </c>
      <c r="K83" s="136"/>
    </row>
    <row r="84" spans="1:11" ht="71.25" customHeight="1" x14ac:dyDescent="0.25">
      <c r="A84" s="256" t="s">
        <v>30</v>
      </c>
      <c r="B84" s="257">
        <v>5679</v>
      </c>
      <c r="C84" s="256" t="s">
        <v>13</v>
      </c>
      <c r="D84" s="256" t="s">
        <v>335</v>
      </c>
      <c r="E84" s="586" t="s">
        <v>31</v>
      </c>
      <c r="F84" s="587"/>
      <c r="G84" s="258" t="s">
        <v>213</v>
      </c>
      <c r="H84" s="259">
        <v>0.4</v>
      </c>
      <c r="I84" s="260">
        <v>59.98</v>
      </c>
      <c r="J84" s="260">
        <f t="shared" ref="J84:J104" si="6">TRUNC(H84*I84,2)</f>
        <v>23.99</v>
      </c>
      <c r="K84" s="136"/>
    </row>
    <row r="85" spans="1:11" ht="35.25" customHeight="1" x14ac:dyDescent="0.25">
      <c r="A85" s="256" t="s">
        <v>30</v>
      </c>
      <c r="B85" s="257">
        <v>88309</v>
      </c>
      <c r="C85" s="256" t="s">
        <v>13</v>
      </c>
      <c r="D85" s="256" t="s">
        <v>283</v>
      </c>
      <c r="E85" s="586" t="s">
        <v>31</v>
      </c>
      <c r="F85" s="587"/>
      <c r="G85" s="258" t="s">
        <v>32</v>
      </c>
      <c r="H85" s="259">
        <v>103.78</v>
      </c>
      <c r="I85" s="260">
        <v>28.29</v>
      </c>
      <c r="J85" s="260">
        <f t="shared" si="6"/>
        <v>2935.93</v>
      </c>
      <c r="K85" s="136"/>
    </row>
    <row r="86" spans="1:11" ht="34.5" customHeight="1" x14ac:dyDescent="0.25">
      <c r="A86" s="256" t="s">
        <v>30</v>
      </c>
      <c r="B86" s="257">
        <v>88316</v>
      </c>
      <c r="C86" s="256" t="s">
        <v>13</v>
      </c>
      <c r="D86" s="256" t="s">
        <v>284</v>
      </c>
      <c r="E86" s="586" t="s">
        <v>31</v>
      </c>
      <c r="F86" s="587"/>
      <c r="G86" s="258" t="s">
        <v>32</v>
      </c>
      <c r="H86" s="259">
        <v>81.540000000000006</v>
      </c>
      <c r="I86" s="260">
        <v>22.98</v>
      </c>
      <c r="J86" s="260">
        <f t="shared" si="6"/>
        <v>1873.78</v>
      </c>
      <c r="K86" s="136"/>
    </row>
    <row r="87" spans="1:11" ht="45" customHeight="1" x14ac:dyDescent="0.25">
      <c r="A87" s="256" t="s">
        <v>30</v>
      </c>
      <c r="B87" s="257">
        <v>94974</v>
      </c>
      <c r="C87" s="256" t="s">
        <v>13</v>
      </c>
      <c r="D87" s="256" t="s">
        <v>336</v>
      </c>
      <c r="E87" s="586" t="s">
        <v>31</v>
      </c>
      <c r="F87" s="587"/>
      <c r="G87" s="258" t="s">
        <v>84</v>
      </c>
      <c r="H87" s="259">
        <v>0.46</v>
      </c>
      <c r="I87" s="260">
        <v>511.7</v>
      </c>
      <c r="J87" s="260">
        <f t="shared" si="6"/>
        <v>235.38</v>
      </c>
      <c r="K87" s="136"/>
    </row>
    <row r="88" spans="1:11" ht="40.5" customHeight="1" x14ac:dyDescent="0.25">
      <c r="A88" s="256" t="s">
        <v>30</v>
      </c>
      <c r="B88" s="257">
        <v>87878</v>
      </c>
      <c r="C88" s="256" t="s">
        <v>13</v>
      </c>
      <c r="D88" s="256" t="s">
        <v>365</v>
      </c>
      <c r="E88" s="586" t="s">
        <v>31</v>
      </c>
      <c r="F88" s="587"/>
      <c r="G88" s="258" t="s">
        <v>21</v>
      </c>
      <c r="H88" s="259">
        <v>22</v>
      </c>
      <c r="I88" s="260">
        <v>5.24</v>
      </c>
      <c r="J88" s="260">
        <f t="shared" si="6"/>
        <v>115.28</v>
      </c>
      <c r="K88" s="136"/>
    </row>
    <row r="89" spans="1:11" ht="41.25" customHeight="1" x14ac:dyDescent="0.25">
      <c r="A89" s="256" t="s">
        <v>30</v>
      </c>
      <c r="B89" s="257">
        <v>100475</v>
      </c>
      <c r="C89" s="256" t="s">
        <v>13</v>
      </c>
      <c r="D89" s="256" t="s">
        <v>359</v>
      </c>
      <c r="E89" s="586" t="s">
        <v>31</v>
      </c>
      <c r="F89" s="587"/>
      <c r="G89" s="258" t="s">
        <v>84</v>
      </c>
      <c r="H89" s="259">
        <v>0.66</v>
      </c>
      <c r="I89" s="260">
        <v>795.54</v>
      </c>
      <c r="J89" s="260">
        <f t="shared" si="6"/>
        <v>525.04999999999995</v>
      </c>
      <c r="K89" s="136"/>
    </row>
    <row r="90" spans="1:11" ht="36.75" customHeight="1" x14ac:dyDescent="0.25">
      <c r="A90" s="256" t="s">
        <v>30</v>
      </c>
      <c r="B90" s="257">
        <v>96545</v>
      </c>
      <c r="C90" s="256" t="s">
        <v>13</v>
      </c>
      <c r="D90" s="256" t="s">
        <v>1133</v>
      </c>
      <c r="E90" s="586" t="s">
        <v>31</v>
      </c>
      <c r="F90" s="587"/>
      <c r="G90" s="258" t="s">
        <v>19</v>
      </c>
      <c r="H90" s="259">
        <v>75.3</v>
      </c>
      <c r="I90" s="260">
        <v>15.46</v>
      </c>
      <c r="J90" s="260">
        <f t="shared" si="6"/>
        <v>1164.1300000000001</v>
      </c>
      <c r="K90" s="136"/>
    </row>
    <row r="91" spans="1:11" ht="37.5" customHeight="1" x14ac:dyDescent="0.25">
      <c r="A91" s="256" t="s">
        <v>30</v>
      </c>
      <c r="B91" s="257">
        <v>92763</v>
      </c>
      <c r="C91" s="256" t="s">
        <v>13</v>
      </c>
      <c r="D91" s="256" t="s">
        <v>337</v>
      </c>
      <c r="E91" s="586" t="s">
        <v>31</v>
      </c>
      <c r="F91" s="587"/>
      <c r="G91" s="258" t="s">
        <v>19</v>
      </c>
      <c r="H91" s="259">
        <v>85</v>
      </c>
      <c r="I91" s="260">
        <v>8.68</v>
      </c>
      <c r="J91" s="260">
        <f t="shared" si="6"/>
        <v>737.8</v>
      </c>
      <c r="K91" s="136"/>
    </row>
    <row r="92" spans="1:11" ht="40.5" customHeight="1" x14ac:dyDescent="0.25">
      <c r="A92" s="256" t="s">
        <v>30</v>
      </c>
      <c r="B92" s="257">
        <v>92769</v>
      </c>
      <c r="C92" s="256" t="s">
        <v>13</v>
      </c>
      <c r="D92" s="256" t="s">
        <v>338</v>
      </c>
      <c r="E92" s="586" t="s">
        <v>31</v>
      </c>
      <c r="F92" s="587"/>
      <c r="G92" s="258" t="s">
        <v>19</v>
      </c>
      <c r="H92" s="259">
        <v>108</v>
      </c>
      <c r="I92" s="260">
        <v>12.08</v>
      </c>
      <c r="J92" s="260">
        <f t="shared" si="6"/>
        <v>1304.6400000000001</v>
      </c>
      <c r="K92" s="136"/>
    </row>
    <row r="93" spans="1:11" ht="40.5" customHeight="1" x14ac:dyDescent="0.25">
      <c r="A93" s="256" t="s">
        <v>30</v>
      </c>
      <c r="B93" s="257">
        <v>92768</v>
      </c>
      <c r="C93" s="256" t="s">
        <v>13</v>
      </c>
      <c r="D93" s="256" t="s">
        <v>339</v>
      </c>
      <c r="E93" s="586" t="s">
        <v>31</v>
      </c>
      <c r="F93" s="587"/>
      <c r="G93" s="258" t="s">
        <v>19</v>
      </c>
      <c r="H93" s="259">
        <v>17.3</v>
      </c>
      <c r="I93" s="260">
        <v>12.99</v>
      </c>
      <c r="J93" s="260">
        <f t="shared" si="6"/>
        <v>224.72</v>
      </c>
      <c r="K93" s="136"/>
    </row>
    <row r="94" spans="1:11" ht="48.75" customHeight="1" x14ac:dyDescent="0.25">
      <c r="A94" s="256" t="s">
        <v>30</v>
      </c>
      <c r="B94" s="257">
        <v>92767</v>
      </c>
      <c r="C94" s="256" t="s">
        <v>13</v>
      </c>
      <c r="D94" s="256" t="s">
        <v>472</v>
      </c>
      <c r="E94" s="586" t="s">
        <v>31</v>
      </c>
      <c r="F94" s="587"/>
      <c r="G94" s="258" t="s">
        <v>19</v>
      </c>
      <c r="H94" s="259">
        <v>10.9</v>
      </c>
      <c r="I94" s="260">
        <v>14.97</v>
      </c>
      <c r="J94" s="260">
        <f t="shared" si="6"/>
        <v>163.16999999999999</v>
      </c>
      <c r="K94" s="136"/>
    </row>
    <row r="95" spans="1:11" ht="37.5" customHeight="1" x14ac:dyDescent="0.25">
      <c r="A95" s="256" t="s">
        <v>30</v>
      </c>
      <c r="B95" s="257">
        <v>94964</v>
      </c>
      <c r="C95" s="256" t="s">
        <v>13</v>
      </c>
      <c r="D95" s="256" t="s">
        <v>340</v>
      </c>
      <c r="E95" s="586" t="s">
        <v>31</v>
      </c>
      <c r="F95" s="587"/>
      <c r="G95" s="258" t="s">
        <v>84</v>
      </c>
      <c r="H95" s="259">
        <v>2.46</v>
      </c>
      <c r="I95" s="260">
        <v>534.67999999999995</v>
      </c>
      <c r="J95" s="260">
        <f t="shared" si="6"/>
        <v>1315.31</v>
      </c>
      <c r="K95" s="136"/>
    </row>
    <row r="96" spans="1:11" ht="36" customHeight="1" x14ac:dyDescent="0.25">
      <c r="A96" s="256" t="s">
        <v>30</v>
      </c>
      <c r="B96" s="257">
        <v>102477</v>
      </c>
      <c r="C96" s="256" t="s">
        <v>13</v>
      </c>
      <c r="D96" s="256" t="s">
        <v>341</v>
      </c>
      <c r="E96" s="586" t="s">
        <v>31</v>
      </c>
      <c r="F96" s="587"/>
      <c r="G96" s="258" t="s">
        <v>84</v>
      </c>
      <c r="H96" s="259">
        <v>0.43</v>
      </c>
      <c r="I96" s="260">
        <v>754.13</v>
      </c>
      <c r="J96" s="260">
        <f t="shared" si="6"/>
        <v>324.27</v>
      </c>
      <c r="K96" s="136"/>
    </row>
    <row r="97" spans="1:11" ht="39.75" customHeight="1" x14ac:dyDescent="0.25">
      <c r="A97" s="256" t="s">
        <v>30</v>
      </c>
      <c r="B97" s="257">
        <v>96536</v>
      </c>
      <c r="C97" s="256" t="s">
        <v>13</v>
      </c>
      <c r="D97" s="256" t="s">
        <v>1173</v>
      </c>
      <c r="E97" s="586" t="s">
        <v>31</v>
      </c>
      <c r="F97" s="587"/>
      <c r="G97" s="258" t="s">
        <v>21</v>
      </c>
      <c r="H97" s="259">
        <v>7.17</v>
      </c>
      <c r="I97" s="260">
        <v>73.61</v>
      </c>
      <c r="J97" s="260">
        <f t="shared" si="6"/>
        <v>527.78</v>
      </c>
      <c r="K97" s="136"/>
    </row>
    <row r="98" spans="1:11" ht="37.5" customHeight="1" x14ac:dyDescent="0.25">
      <c r="A98" s="256" t="s">
        <v>30</v>
      </c>
      <c r="B98" s="257">
        <v>92268</v>
      </c>
      <c r="C98" s="256" t="s">
        <v>13</v>
      </c>
      <c r="D98" s="256" t="s">
        <v>342</v>
      </c>
      <c r="E98" s="586" t="s">
        <v>31</v>
      </c>
      <c r="F98" s="587"/>
      <c r="G98" s="258" t="s">
        <v>21</v>
      </c>
      <c r="H98" s="259">
        <v>10.09</v>
      </c>
      <c r="I98" s="260">
        <v>75.39</v>
      </c>
      <c r="J98" s="260">
        <f t="shared" si="6"/>
        <v>760.68</v>
      </c>
      <c r="K98" s="136"/>
    </row>
    <row r="99" spans="1:11" ht="39.75" customHeight="1" x14ac:dyDescent="0.25">
      <c r="A99" s="256" t="s">
        <v>30</v>
      </c>
      <c r="B99" s="257">
        <v>92269</v>
      </c>
      <c r="C99" s="256" t="s">
        <v>13</v>
      </c>
      <c r="D99" s="256" t="s">
        <v>343</v>
      </c>
      <c r="E99" s="586" t="s">
        <v>31</v>
      </c>
      <c r="F99" s="587"/>
      <c r="G99" s="258" t="s">
        <v>21</v>
      </c>
      <c r="H99" s="259">
        <v>9.6</v>
      </c>
      <c r="I99" s="260">
        <v>162.13999999999999</v>
      </c>
      <c r="J99" s="260">
        <f t="shared" si="6"/>
        <v>1556.54</v>
      </c>
      <c r="K99" s="136"/>
    </row>
    <row r="100" spans="1:11" ht="32.25" customHeight="1" x14ac:dyDescent="0.25">
      <c r="A100" s="261" t="s">
        <v>34</v>
      </c>
      <c r="B100" s="262">
        <v>2692</v>
      </c>
      <c r="C100" s="263" t="s">
        <v>379</v>
      </c>
      <c r="D100" s="263" t="s">
        <v>344</v>
      </c>
      <c r="E100" s="590" t="s">
        <v>35</v>
      </c>
      <c r="F100" s="591"/>
      <c r="G100" s="264" t="s">
        <v>37</v>
      </c>
      <c r="H100" s="265">
        <v>3.5700000000000003E-2</v>
      </c>
      <c r="I100" s="266">
        <v>7.59</v>
      </c>
      <c r="J100" s="541">
        <f t="shared" si="6"/>
        <v>0.27</v>
      </c>
      <c r="K100" s="136"/>
    </row>
    <row r="101" spans="1:11" ht="26.25" customHeight="1" x14ac:dyDescent="0.25">
      <c r="A101" s="261" t="s">
        <v>34</v>
      </c>
      <c r="B101" s="262">
        <v>4491</v>
      </c>
      <c r="C101" s="263" t="s">
        <v>379</v>
      </c>
      <c r="D101" s="263" t="s">
        <v>345</v>
      </c>
      <c r="E101" s="590" t="s">
        <v>35</v>
      </c>
      <c r="F101" s="591"/>
      <c r="G101" s="264" t="s">
        <v>16</v>
      </c>
      <c r="H101" s="265">
        <v>0.77700000000000002</v>
      </c>
      <c r="I101" s="266">
        <v>10.85</v>
      </c>
      <c r="J101" s="541">
        <f t="shared" si="6"/>
        <v>8.43</v>
      </c>
      <c r="K101" s="136"/>
    </row>
    <row r="102" spans="1:11" ht="25.5" customHeight="1" x14ac:dyDescent="0.25">
      <c r="A102" s="261" t="s">
        <v>34</v>
      </c>
      <c r="B102" s="262">
        <v>4517</v>
      </c>
      <c r="C102" s="263" t="s">
        <v>379</v>
      </c>
      <c r="D102" s="263" t="s">
        <v>346</v>
      </c>
      <c r="E102" s="590" t="s">
        <v>35</v>
      </c>
      <c r="F102" s="591"/>
      <c r="G102" s="264" t="s">
        <v>16</v>
      </c>
      <c r="H102" s="265">
        <v>0.92400000000000004</v>
      </c>
      <c r="I102" s="266">
        <v>3.8</v>
      </c>
      <c r="J102" s="541">
        <f t="shared" si="6"/>
        <v>3.51</v>
      </c>
      <c r="K102" s="136"/>
    </row>
    <row r="103" spans="1:11" ht="25.5" customHeight="1" x14ac:dyDescent="0.25">
      <c r="A103" s="261" t="s">
        <v>34</v>
      </c>
      <c r="B103" s="262">
        <v>5069</v>
      </c>
      <c r="C103" s="263" t="s">
        <v>379</v>
      </c>
      <c r="D103" s="263" t="s">
        <v>347</v>
      </c>
      <c r="E103" s="590" t="s">
        <v>35</v>
      </c>
      <c r="F103" s="591"/>
      <c r="G103" s="264" t="s">
        <v>19</v>
      </c>
      <c r="H103" s="265">
        <v>8.1900000000000001E-2</v>
      </c>
      <c r="I103" s="266">
        <v>16.55</v>
      </c>
      <c r="J103" s="541">
        <f t="shared" si="6"/>
        <v>1.35</v>
      </c>
      <c r="K103" s="136"/>
    </row>
    <row r="104" spans="1:11" ht="25.5" customHeight="1" x14ac:dyDescent="0.25">
      <c r="A104" s="261" t="s">
        <v>34</v>
      </c>
      <c r="B104" s="262">
        <v>651</v>
      </c>
      <c r="C104" s="263" t="s">
        <v>379</v>
      </c>
      <c r="D104" s="263" t="s">
        <v>348</v>
      </c>
      <c r="E104" s="590" t="s">
        <v>35</v>
      </c>
      <c r="F104" s="591"/>
      <c r="G104" s="264" t="s">
        <v>14</v>
      </c>
      <c r="H104" s="265">
        <v>172</v>
      </c>
      <c r="I104" s="266">
        <v>3.9</v>
      </c>
      <c r="J104" s="541">
        <f t="shared" si="6"/>
        <v>670.8</v>
      </c>
      <c r="K104" s="136"/>
    </row>
    <row r="105" spans="1:11" ht="25.2" customHeight="1" x14ac:dyDescent="0.25">
      <c r="A105" s="271"/>
      <c r="B105" s="276"/>
      <c r="C105" s="276"/>
      <c r="D105" s="276"/>
      <c r="E105" s="276"/>
      <c r="F105" s="276"/>
      <c r="G105" s="276"/>
      <c r="H105" s="280"/>
      <c r="I105" s="280" t="s">
        <v>38</v>
      </c>
      <c r="J105" s="281">
        <f>SUM(J83:J104)</f>
        <v>14501.75</v>
      </c>
      <c r="K105" s="136"/>
    </row>
    <row r="106" spans="1:11" ht="35.25" customHeight="1" x14ac:dyDescent="0.25">
      <c r="A106" s="245" t="s">
        <v>1027</v>
      </c>
      <c r="B106" s="246" t="s">
        <v>2</v>
      </c>
      <c r="C106" s="245" t="s">
        <v>3</v>
      </c>
      <c r="D106" s="245" t="s">
        <v>415</v>
      </c>
      <c r="E106" s="603" t="s">
        <v>29</v>
      </c>
      <c r="F106" s="604"/>
      <c r="G106" s="247" t="s">
        <v>5</v>
      </c>
      <c r="H106" s="248" t="s">
        <v>6</v>
      </c>
      <c r="I106" s="246" t="s">
        <v>7</v>
      </c>
      <c r="J106" s="246" t="s">
        <v>9</v>
      </c>
      <c r="K106" s="136"/>
    </row>
    <row r="107" spans="1:11" ht="35.25" customHeight="1" x14ac:dyDescent="0.25">
      <c r="A107" s="249"/>
      <c r="B107" s="250"/>
      <c r="C107" s="249"/>
      <c r="D107" s="251" t="s">
        <v>423</v>
      </c>
      <c r="E107" s="601" t="s">
        <v>31</v>
      </c>
      <c r="F107" s="602"/>
      <c r="G107" s="274" t="s">
        <v>14</v>
      </c>
      <c r="H107" s="275">
        <v>1</v>
      </c>
      <c r="I107" s="254"/>
      <c r="J107" s="255">
        <f>J113</f>
        <v>28.6</v>
      </c>
      <c r="K107" s="136"/>
    </row>
    <row r="108" spans="1:11" ht="35.25" customHeight="1" x14ac:dyDescent="0.25">
      <c r="A108" s="256" t="s">
        <v>30</v>
      </c>
      <c r="B108" s="257">
        <v>88267</v>
      </c>
      <c r="C108" s="256" t="s">
        <v>13</v>
      </c>
      <c r="D108" s="256" t="s">
        <v>220</v>
      </c>
      <c r="E108" s="586" t="s">
        <v>31</v>
      </c>
      <c r="F108" s="587"/>
      <c r="G108" s="258" t="s">
        <v>32</v>
      </c>
      <c r="H108" s="259">
        <v>0.3</v>
      </c>
      <c r="I108" s="260">
        <v>27.77</v>
      </c>
      <c r="J108" s="260">
        <f>TRUNC(H108*I108,2)</f>
        <v>8.33</v>
      </c>
      <c r="K108" s="136"/>
    </row>
    <row r="109" spans="1:11" ht="35.25" customHeight="1" x14ac:dyDescent="0.25">
      <c r="A109" s="256" t="s">
        <v>30</v>
      </c>
      <c r="B109" s="257">
        <v>88316</v>
      </c>
      <c r="C109" s="256" t="s">
        <v>13</v>
      </c>
      <c r="D109" s="256" t="s">
        <v>33</v>
      </c>
      <c r="E109" s="586" t="s">
        <v>31</v>
      </c>
      <c r="F109" s="587"/>
      <c r="G109" s="258" t="s">
        <v>32</v>
      </c>
      <c r="H109" s="259">
        <v>0.3</v>
      </c>
      <c r="I109" s="260">
        <v>22.98</v>
      </c>
      <c r="J109" s="260">
        <f t="shared" ref="J109:J112" si="7">TRUNC(H109*I109,2)</f>
        <v>6.89</v>
      </c>
      <c r="K109" s="136"/>
    </row>
    <row r="110" spans="1:11" ht="35.25" customHeight="1" x14ac:dyDescent="0.25">
      <c r="A110" s="261" t="s">
        <v>34</v>
      </c>
      <c r="B110" s="262">
        <v>138</v>
      </c>
      <c r="C110" s="263" t="s">
        <v>190</v>
      </c>
      <c r="D110" s="263" t="s">
        <v>467</v>
      </c>
      <c r="E110" s="590" t="s">
        <v>35</v>
      </c>
      <c r="F110" s="591"/>
      <c r="G110" s="264" t="s">
        <v>19</v>
      </c>
      <c r="H110" s="265">
        <v>1.4E-2</v>
      </c>
      <c r="I110" s="266">
        <v>72.41</v>
      </c>
      <c r="J110" s="541">
        <f t="shared" si="7"/>
        <v>1.01</v>
      </c>
      <c r="K110" s="136"/>
    </row>
    <row r="111" spans="1:11" ht="35.25" customHeight="1" x14ac:dyDescent="0.25">
      <c r="A111" s="261" t="s">
        <v>34</v>
      </c>
      <c r="B111" s="262">
        <v>2036</v>
      </c>
      <c r="C111" s="263" t="s">
        <v>190</v>
      </c>
      <c r="D111" s="263" t="s">
        <v>1149</v>
      </c>
      <c r="E111" s="590" t="s">
        <v>35</v>
      </c>
      <c r="F111" s="591"/>
      <c r="G111" s="264" t="s">
        <v>37</v>
      </c>
      <c r="H111" s="265">
        <v>0.02</v>
      </c>
      <c r="I111" s="266">
        <v>69.739999999999995</v>
      </c>
      <c r="J111" s="541">
        <f t="shared" si="7"/>
        <v>1.39</v>
      </c>
      <c r="K111" s="136"/>
    </row>
    <row r="112" spans="1:11" ht="35.25" customHeight="1" x14ac:dyDescent="0.25">
      <c r="A112" s="261" t="s">
        <v>34</v>
      </c>
      <c r="B112" s="262">
        <v>2572</v>
      </c>
      <c r="C112" s="263" t="s">
        <v>190</v>
      </c>
      <c r="D112" s="263" t="s">
        <v>414</v>
      </c>
      <c r="E112" s="590" t="s">
        <v>35</v>
      </c>
      <c r="F112" s="591"/>
      <c r="G112" s="264" t="s">
        <v>14</v>
      </c>
      <c r="H112" s="265">
        <v>1</v>
      </c>
      <c r="I112" s="266">
        <v>10.98</v>
      </c>
      <c r="J112" s="541">
        <f t="shared" si="7"/>
        <v>10.98</v>
      </c>
      <c r="K112" s="136"/>
    </row>
    <row r="113" spans="1:11" ht="18.600000000000001" customHeight="1" x14ac:dyDescent="0.25">
      <c r="A113" s="271"/>
      <c r="B113" s="271"/>
      <c r="C113" s="271"/>
      <c r="D113" s="271"/>
      <c r="E113" s="271"/>
      <c r="F113" s="272"/>
      <c r="G113" s="271"/>
      <c r="H113" s="605" t="s">
        <v>38</v>
      </c>
      <c r="I113" s="605"/>
      <c r="J113" s="273">
        <f>SUM(J108:J112)</f>
        <v>28.6</v>
      </c>
      <c r="K113" s="136"/>
    </row>
    <row r="114" spans="1:11" ht="24" customHeight="1" x14ac:dyDescent="0.25">
      <c r="A114" s="245" t="s">
        <v>1046</v>
      </c>
      <c r="B114" s="246" t="s">
        <v>2</v>
      </c>
      <c r="C114" s="245" t="s">
        <v>3</v>
      </c>
      <c r="D114" s="245" t="s">
        <v>1187</v>
      </c>
      <c r="E114" s="603" t="s">
        <v>29</v>
      </c>
      <c r="F114" s="604"/>
      <c r="G114" s="247" t="s">
        <v>5</v>
      </c>
      <c r="H114" s="248" t="s">
        <v>6</v>
      </c>
      <c r="I114" s="246" t="s">
        <v>7</v>
      </c>
      <c r="J114" s="246" t="s">
        <v>9</v>
      </c>
      <c r="K114" s="136"/>
    </row>
    <row r="115" spans="1:11" ht="32.25" customHeight="1" x14ac:dyDescent="0.25">
      <c r="A115" s="251"/>
      <c r="B115" s="279"/>
      <c r="C115" s="251"/>
      <c r="D115" s="251" t="s">
        <v>358</v>
      </c>
      <c r="E115" s="601" t="s">
        <v>31</v>
      </c>
      <c r="F115" s="602"/>
      <c r="G115" s="274" t="s">
        <v>14</v>
      </c>
      <c r="H115" s="275">
        <v>1</v>
      </c>
      <c r="I115" s="255"/>
      <c r="J115" s="255">
        <f>J129</f>
        <v>520.75999999999988</v>
      </c>
      <c r="K115" s="136"/>
    </row>
    <row r="116" spans="1:11" ht="34.5" customHeight="1" x14ac:dyDescent="0.25">
      <c r="A116" s="256" t="s">
        <v>30</v>
      </c>
      <c r="B116" s="257">
        <v>87316</v>
      </c>
      <c r="C116" s="256" t="s">
        <v>13</v>
      </c>
      <c r="D116" s="256" t="s">
        <v>282</v>
      </c>
      <c r="E116" s="586" t="s">
        <v>31</v>
      </c>
      <c r="F116" s="587"/>
      <c r="G116" s="258" t="s">
        <v>84</v>
      </c>
      <c r="H116" s="259">
        <v>6.9000000000000006E-2</v>
      </c>
      <c r="I116" s="260">
        <v>535.62</v>
      </c>
      <c r="J116" s="260">
        <f>TRUNC(H116*I116,2)</f>
        <v>36.950000000000003</v>
      </c>
      <c r="K116" s="136"/>
    </row>
    <row r="117" spans="1:11" ht="37.5" customHeight="1" x14ac:dyDescent="0.25">
      <c r="A117" s="256" t="s">
        <v>30</v>
      </c>
      <c r="B117" s="257">
        <v>88309</v>
      </c>
      <c r="C117" s="256" t="s">
        <v>13</v>
      </c>
      <c r="D117" s="256" t="s">
        <v>283</v>
      </c>
      <c r="E117" s="586" t="s">
        <v>31</v>
      </c>
      <c r="F117" s="587"/>
      <c r="G117" s="258" t="s">
        <v>32</v>
      </c>
      <c r="H117" s="259">
        <v>2.367</v>
      </c>
      <c r="I117" s="260">
        <v>28.29</v>
      </c>
      <c r="J117" s="260">
        <f t="shared" ref="J117:J128" si="8">TRUNC(H117*I117,2)</f>
        <v>66.959999999999994</v>
      </c>
      <c r="K117" s="136"/>
    </row>
    <row r="118" spans="1:11" ht="38.25" customHeight="1" x14ac:dyDescent="0.25">
      <c r="A118" s="256" t="s">
        <v>30</v>
      </c>
      <c r="B118" s="257">
        <v>88316</v>
      </c>
      <c r="C118" s="256" t="s">
        <v>13</v>
      </c>
      <c r="D118" s="256" t="s">
        <v>284</v>
      </c>
      <c r="E118" s="586" t="s">
        <v>31</v>
      </c>
      <c r="F118" s="587"/>
      <c r="G118" s="258" t="s">
        <v>32</v>
      </c>
      <c r="H118" s="259">
        <v>1.85</v>
      </c>
      <c r="I118" s="260">
        <v>22.98</v>
      </c>
      <c r="J118" s="260">
        <f t="shared" si="8"/>
        <v>42.51</v>
      </c>
      <c r="K118" s="136"/>
    </row>
    <row r="119" spans="1:11" ht="39" customHeight="1" x14ac:dyDescent="0.25">
      <c r="A119" s="256" t="s">
        <v>30</v>
      </c>
      <c r="B119" s="257">
        <v>94970</v>
      </c>
      <c r="C119" s="256" t="s">
        <v>13</v>
      </c>
      <c r="D119" s="256" t="s">
        <v>285</v>
      </c>
      <c r="E119" s="586" t="s">
        <v>31</v>
      </c>
      <c r="F119" s="587"/>
      <c r="G119" s="258" t="s">
        <v>84</v>
      </c>
      <c r="H119" s="259">
        <v>0.41899999999999998</v>
      </c>
      <c r="I119" s="260">
        <v>521.82000000000005</v>
      </c>
      <c r="J119" s="260">
        <f t="shared" si="8"/>
        <v>218.64</v>
      </c>
      <c r="K119" s="136"/>
    </row>
    <row r="120" spans="1:11" ht="34.5" customHeight="1" x14ac:dyDescent="0.25">
      <c r="A120" s="256" t="s">
        <v>30</v>
      </c>
      <c r="B120" s="257">
        <v>97734</v>
      </c>
      <c r="C120" s="256" t="s">
        <v>13</v>
      </c>
      <c r="D120" s="256" t="s">
        <v>1174</v>
      </c>
      <c r="E120" s="586" t="s">
        <v>31</v>
      </c>
      <c r="F120" s="587"/>
      <c r="G120" s="258" t="s">
        <v>84</v>
      </c>
      <c r="H120" s="259">
        <v>2.5000000000000001E-2</v>
      </c>
      <c r="I120" s="260">
        <v>3032.55</v>
      </c>
      <c r="J120" s="260">
        <f t="shared" si="8"/>
        <v>75.81</v>
      </c>
      <c r="K120" s="136"/>
    </row>
    <row r="121" spans="1:11" ht="45.75" customHeight="1" x14ac:dyDescent="0.25">
      <c r="A121" s="256" t="s">
        <v>30</v>
      </c>
      <c r="B121" s="257">
        <v>100475</v>
      </c>
      <c r="C121" s="256" t="s">
        <v>13</v>
      </c>
      <c r="D121" s="256" t="s">
        <v>359</v>
      </c>
      <c r="E121" s="586" t="s">
        <v>31</v>
      </c>
      <c r="F121" s="587"/>
      <c r="G121" s="258" t="s">
        <v>84</v>
      </c>
      <c r="H121" s="259">
        <v>5.1999999999999998E-2</v>
      </c>
      <c r="I121" s="260">
        <v>795.54</v>
      </c>
      <c r="J121" s="260">
        <f t="shared" si="8"/>
        <v>41.36</v>
      </c>
      <c r="K121" s="136"/>
    </row>
    <row r="122" spans="1:11" ht="29.25" customHeight="1" x14ac:dyDescent="0.25">
      <c r="A122" s="256" t="s">
        <v>30</v>
      </c>
      <c r="B122" s="257">
        <v>101616</v>
      </c>
      <c r="C122" s="256" t="s">
        <v>13</v>
      </c>
      <c r="D122" s="256" t="s">
        <v>1175</v>
      </c>
      <c r="E122" s="586" t="s">
        <v>31</v>
      </c>
      <c r="F122" s="587"/>
      <c r="G122" s="258" t="s">
        <v>21</v>
      </c>
      <c r="H122" s="259">
        <v>0.49</v>
      </c>
      <c r="I122" s="260">
        <v>7.75</v>
      </c>
      <c r="J122" s="260">
        <f t="shared" si="8"/>
        <v>3.79</v>
      </c>
      <c r="K122" s="136"/>
    </row>
    <row r="123" spans="1:11" ht="32.25" customHeight="1" x14ac:dyDescent="0.25">
      <c r="A123" s="261" t="s">
        <v>34</v>
      </c>
      <c r="B123" s="262">
        <v>2692</v>
      </c>
      <c r="C123" s="263" t="s">
        <v>379</v>
      </c>
      <c r="D123" s="263" t="s">
        <v>344</v>
      </c>
      <c r="E123" s="590" t="s">
        <v>35</v>
      </c>
      <c r="F123" s="591"/>
      <c r="G123" s="264" t="s">
        <v>37</v>
      </c>
      <c r="H123" s="265">
        <v>4.0000000000000001E-3</v>
      </c>
      <c r="I123" s="266">
        <v>7.59</v>
      </c>
      <c r="J123" s="541">
        <f t="shared" si="8"/>
        <v>0.03</v>
      </c>
      <c r="K123" s="136"/>
    </row>
    <row r="124" spans="1:11" ht="25.5" customHeight="1" x14ac:dyDescent="0.25">
      <c r="A124" s="261" t="s">
        <v>34</v>
      </c>
      <c r="B124" s="262">
        <v>4491</v>
      </c>
      <c r="C124" s="263" t="s">
        <v>379</v>
      </c>
      <c r="D124" s="263" t="s">
        <v>345</v>
      </c>
      <c r="E124" s="590" t="s">
        <v>35</v>
      </c>
      <c r="F124" s="591"/>
      <c r="G124" s="264" t="s">
        <v>16</v>
      </c>
      <c r="H124" s="265">
        <v>8.8999999999999996E-2</v>
      </c>
      <c r="I124" s="266">
        <v>10.85</v>
      </c>
      <c r="J124" s="541">
        <f t="shared" si="8"/>
        <v>0.96</v>
      </c>
      <c r="K124" s="136"/>
    </row>
    <row r="125" spans="1:11" ht="25.5" customHeight="1" x14ac:dyDescent="0.25">
      <c r="A125" s="261" t="s">
        <v>34</v>
      </c>
      <c r="B125" s="262">
        <v>4517</v>
      </c>
      <c r="C125" s="263" t="s">
        <v>379</v>
      </c>
      <c r="D125" s="263" t="s">
        <v>346</v>
      </c>
      <c r="E125" s="590" t="s">
        <v>35</v>
      </c>
      <c r="F125" s="591"/>
      <c r="G125" s="264" t="s">
        <v>16</v>
      </c>
      <c r="H125" s="265">
        <v>0.106</v>
      </c>
      <c r="I125" s="266">
        <v>3.8</v>
      </c>
      <c r="J125" s="541">
        <f t="shared" si="8"/>
        <v>0.4</v>
      </c>
      <c r="K125" s="136"/>
    </row>
    <row r="126" spans="1:11" ht="25.5" customHeight="1" x14ac:dyDescent="0.25">
      <c r="A126" s="261" t="s">
        <v>34</v>
      </c>
      <c r="B126" s="262">
        <v>5069</v>
      </c>
      <c r="C126" s="263" t="s">
        <v>379</v>
      </c>
      <c r="D126" s="263" t="s">
        <v>347</v>
      </c>
      <c r="E126" s="590" t="s">
        <v>35</v>
      </c>
      <c r="F126" s="591"/>
      <c r="G126" s="264" t="s">
        <v>19</v>
      </c>
      <c r="H126" s="265">
        <v>8.9999999999999993E-3</v>
      </c>
      <c r="I126" s="266">
        <v>16.55</v>
      </c>
      <c r="J126" s="541">
        <f t="shared" si="8"/>
        <v>0.14000000000000001</v>
      </c>
      <c r="K126" s="136"/>
    </row>
    <row r="127" spans="1:11" ht="33.75" customHeight="1" x14ac:dyDescent="0.25">
      <c r="A127" s="261" t="s">
        <v>34</v>
      </c>
      <c r="B127" s="262">
        <v>6193</v>
      </c>
      <c r="C127" s="263" t="s">
        <v>379</v>
      </c>
      <c r="D127" s="263" t="s">
        <v>360</v>
      </c>
      <c r="E127" s="590" t="s">
        <v>35</v>
      </c>
      <c r="F127" s="591"/>
      <c r="G127" s="264" t="s">
        <v>16</v>
      </c>
      <c r="H127" s="265">
        <v>0.33100000000000002</v>
      </c>
      <c r="I127" s="266">
        <v>20.56</v>
      </c>
      <c r="J127" s="541">
        <f t="shared" si="8"/>
        <v>6.8</v>
      </c>
      <c r="K127" s="136"/>
    </row>
    <row r="128" spans="1:11" ht="25.5" customHeight="1" x14ac:dyDescent="0.25">
      <c r="A128" s="261" t="s">
        <v>34</v>
      </c>
      <c r="B128" s="262">
        <v>7258</v>
      </c>
      <c r="C128" s="263" t="s">
        <v>379</v>
      </c>
      <c r="D128" s="263" t="s">
        <v>361</v>
      </c>
      <c r="E128" s="590" t="s">
        <v>35</v>
      </c>
      <c r="F128" s="591"/>
      <c r="G128" s="264" t="s">
        <v>14</v>
      </c>
      <c r="H128" s="265">
        <v>61.43</v>
      </c>
      <c r="I128" s="266">
        <v>0.43</v>
      </c>
      <c r="J128" s="541">
        <f t="shared" si="8"/>
        <v>26.41</v>
      </c>
      <c r="K128" s="136"/>
    </row>
    <row r="129" spans="1:13" ht="20.399999999999999" customHeight="1" x14ac:dyDescent="0.25">
      <c r="A129" s="271"/>
      <c r="B129" s="276"/>
      <c r="C129" s="276"/>
      <c r="D129" s="276"/>
      <c r="E129" s="276"/>
      <c r="F129" s="276"/>
      <c r="G129" s="276"/>
      <c r="H129" s="280"/>
      <c r="I129" s="280" t="s">
        <v>38</v>
      </c>
      <c r="J129" s="281">
        <f>SUM(J116:J128)</f>
        <v>520.75999999999988</v>
      </c>
      <c r="K129" s="136"/>
    </row>
    <row r="130" spans="1:13" ht="20.25" customHeight="1" x14ac:dyDescent="0.25">
      <c r="A130" s="245" t="s">
        <v>149</v>
      </c>
      <c r="B130" s="246" t="s">
        <v>2</v>
      </c>
      <c r="C130" s="245" t="s">
        <v>3</v>
      </c>
      <c r="D130" s="245" t="s">
        <v>1125</v>
      </c>
      <c r="E130" s="603" t="s">
        <v>29</v>
      </c>
      <c r="F130" s="604"/>
      <c r="G130" s="247" t="s">
        <v>5</v>
      </c>
      <c r="H130" s="248" t="s">
        <v>6</v>
      </c>
      <c r="I130" s="246" t="s">
        <v>7</v>
      </c>
      <c r="J130" s="246" t="s">
        <v>9</v>
      </c>
      <c r="K130" s="136"/>
      <c r="L130">
        <v>545.52</v>
      </c>
      <c r="M130" s="37" t="e">
        <f>ROUND(#REF!*L130,2)</f>
        <v>#REF!</v>
      </c>
    </row>
    <row r="131" spans="1:13" ht="29.25" customHeight="1" x14ac:dyDescent="0.25">
      <c r="A131" s="251"/>
      <c r="B131" s="279"/>
      <c r="C131" s="251"/>
      <c r="D131" s="251" t="s">
        <v>123</v>
      </c>
      <c r="E131" s="601" t="s">
        <v>31</v>
      </c>
      <c r="F131" s="602"/>
      <c r="G131" s="274" t="s">
        <v>14</v>
      </c>
      <c r="H131" s="275">
        <v>1</v>
      </c>
      <c r="I131" s="255"/>
      <c r="J131" s="255">
        <f>J142</f>
        <v>589.9</v>
      </c>
      <c r="K131" s="136"/>
      <c r="L131">
        <v>45.74</v>
      </c>
      <c r="M131" s="37" t="e">
        <f>ROUND(#REF!*L131,2)</f>
        <v>#REF!</v>
      </c>
    </row>
    <row r="132" spans="1:13" ht="39.75" customHeight="1" x14ac:dyDescent="0.25">
      <c r="A132" s="256" t="s">
        <v>30</v>
      </c>
      <c r="B132" s="257">
        <v>93358</v>
      </c>
      <c r="C132" s="256" t="s">
        <v>13</v>
      </c>
      <c r="D132" s="256" t="s">
        <v>1176</v>
      </c>
      <c r="E132" s="586" t="s">
        <v>31</v>
      </c>
      <c r="F132" s="587"/>
      <c r="G132" s="258" t="s">
        <v>84</v>
      </c>
      <c r="H132" s="259">
        <v>0.06</v>
      </c>
      <c r="I132" s="260">
        <v>90.9</v>
      </c>
      <c r="J132" s="260">
        <f>TRUNC(H132*I132,2)</f>
        <v>5.45</v>
      </c>
      <c r="K132" s="136"/>
    </row>
    <row r="133" spans="1:13" ht="39.75" customHeight="1" x14ac:dyDescent="0.25">
      <c r="A133" s="256" t="s">
        <v>30</v>
      </c>
      <c r="B133" s="257">
        <v>95240</v>
      </c>
      <c r="C133" s="256" t="s">
        <v>13</v>
      </c>
      <c r="D133" s="256" t="s">
        <v>1177</v>
      </c>
      <c r="E133" s="586" t="s">
        <v>31</v>
      </c>
      <c r="F133" s="587"/>
      <c r="G133" s="258" t="s">
        <v>21</v>
      </c>
      <c r="H133" s="259">
        <v>0.03</v>
      </c>
      <c r="I133" s="539">
        <v>20.55</v>
      </c>
      <c r="J133" s="260">
        <f t="shared" ref="J133:J141" si="9">TRUNC(H133*I133,2)</f>
        <v>0.61</v>
      </c>
      <c r="K133" s="136"/>
    </row>
    <row r="134" spans="1:13" ht="43.5" customHeight="1" x14ac:dyDescent="0.25">
      <c r="A134" s="256" t="s">
        <v>30</v>
      </c>
      <c r="B134" s="257">
        <v>92263</v>
      </c>
      <c r="C134" s="256" t="s">
        <v>13</v>
      </c>
      <c r="D134" s="256" t="s">
        <v>214</v>
      </c>
      <c r="E134" s="586" t="s">
        <v>31</v>
      </c>
      <c r="F134" s="587"/>
      <c r="G134" s="258" t="s">
        <v>21</v>
      </c>
      <c r="H134" s="259">
        <v>0.76</v>
      </c>
      <c r="I134" s="260">
        <v>165.9</v>
      </c>
      <c r="J134" s="260">
        <f t="shared" si="9"/>
        <v>126.08</v>
      </c>
      <c r="K134" s="136"/>
    </row>
    <row r="135" spans="1:13" ht="40.5" customHeight="1" x14ac:dyDescent="0.25">
      <c r="A135" s="256" t="s">
        <v>30</v>
      </c>
      <c r="B135" s="257">
        <v>94965</v>
      </c>
      <c r="C135" s="256" t="s">
        <v>13</v>
      </c>
      <c r="D135" s="256" t="s">
        <v>216</v>
      </c>
      <c r="E135" s="586" t="s">
        <v>31</v>
      </c>
      <c r="F135" s="587"/>
      <c r="G135" s="258" t="s">
        <v>84</v>
      </c>
      <c r="H135" s="259">
        <v>0.25</v>
      </c>
      <c r="I135" s="260">
        <v>555.82000000000005</v>
      </c>
      <c r="J135" s="260">
        <f t="shared" si="9"/>
        <v>138.94999999999999</v>
      </c>
      <c r="K135" s="136"/>
    </row>
    <row r="136" spans="1:13" ht="41.25" customHeight="1" x14ac:dyDescent="0.25">
      <c r="A136" s="256" t="s">
        <v>30</v>
      </c>
      <c r="B136" s="257">
        <v>93382</v>
      </c>
      <c r="C136" s="256" t="s">
        <v>13</v>
      </c>
      <c r="D136" s="256" t="s">
        <v>1178</v>
      </c>
      <c r="E136" s="586" t="s">
        <v>31</v>
      </c>
      <c r="F136" s="587"/>
      <c r="G136" s="258" t="s">
        <v>84</v>
      </c>
      <c r="H136" s="259">
        <v>0.03</v>
      </c>
      <c r="I136" s="260">
        <v>26.39</v>
      </c>
      <c r="J136" s="260">
        <f t="shared" si="9"/>
        <v>0.79</v>
      </c>
      <c r="K136" s="136"/>
      <c r="L136">
        <v>545.52</v>
      </c>
      <c r="M136" s="37">
        <f t="shared" ref="M136:M143" si="10">ROUND(H132*L136,2)</f>
        <v>32.729999999999997</v>
      </c>
    </row>
    <row r="137" spans="1:13" ht="40.5" customHeight="1" x14ac:dyDescent="0.25">
      <c r="A137" s="256" t="s">
        <v>30</v>
      </c>
      <c r="B137" s="257">
        <v>98555</v>
      </c>
      <c r="C137" s="256" t="s">
        <v>13</v>
      </c>
      <c r="D137" s="256" t="s">
        <v>1179</v>
      </c>
      <c r="E137" s="586" t="s">
        <v>31</v>
      </c>
      <c r="F137" s="587"/>
      <c r="G137" s="258" t="s">
        <v>21</v>
      </c>
      <c r="H137" s="259">
        <v>0.1</v>
      </c>
      <c r="I137" s="260">
        <v>32.869999999999997</v>
      </c>
      <c r="J137" s="260">
        <f t="shared" si="9"/>
        <v>3.28</v>
      </c>
      <c r="K137" s="136"/>
      <c r="L137">
        <v>19.309999999999999</v>
      </c>
      <c r="M137" s="37">
        <f t="shared" si="10"/>
        <v>0.57999999999999996</v>
      </c>
    </row>
    <row r="138" spans="1:13" ht="41.25" customHeight="1" x14ac:dyDescent="0.25">
      <c r="A138" s="256" t="s">
        <v>30</v>
      </c>
      <c r="B138" s="257">
        <v>92271</v>
      </c>
      <c r="C138" s="256" t="s">
        <v>13</v>
      </c>
      <c r="D138" s="256" t="s">
        <v>215</v>
      </c>
      <c r="E138" s="586" t="s">
        <v>31</v>
      </c>
      <c r="F138" s="587"/>
      <c r="G138" s="258" t="s">
        <v>21</v>
      </c>
      <c r="H138" s="259">
        <v>1.6</v>
      </c>
      <c r="I138" s="260">
        <v>116.15</v>
      </c>
      <c r="J138" s="260">
        <f t="shared" si="9"/>
        <v>185.84</v>
      </c>
      <c r="K138" s="136"/>
      <c r="L138">
        <v>16.38</v>
      </c>
      <c r="M138" s="37">
        <f t="shared" si="10"/>
        <v>12.45</v>
      </c>
    </row>
    <row r="139" spans="1:13" ht="39" customHeight="1" x14ac:dyDescent="0.25">
      <c r="A139" s="256" t="s">
        <v>30</v>
      </c>
      <c r="B139" s="257">
        <v>88489</v>
      </c>
      <c r="C139" s="256" t="s">
        <v>13</v>
      </c>
      <c r="D139" s="256" t="s">
        <v>449</v>
      </c>
      <c r="E139" s="586" t="s">
        <v>31</v>
      </c>
      <c r="F139" s="587"/>
      <c r="G139" s="258" t="s">
        <v>21</v>
      </c>
      <c r="H139" s="259">
        <v>1.36</v>
      </c>
      <c r="I139" s="260">
        <v>14.29</v>
      </c>
      <c r="J139" s="260">
        <f t="shared" si="9"/>
        <v>19.43</v>
      </c>
      <c r="K139" s="136"/>
      <c r="L139">
        <v>20.21</v>
      </c>
      <c r="M139" s="37">
        <f t="shared" si="10"/>
        <v>5.05</v>
      </c>
    </row>
    <row r="140" spans="1:13" ht="39" customHeight="1" x14ac:dyDescent="0.25">
      <c r="A140" s="256" t="s">
        <v>30</v>
      </c>
      <c r="B140" s="257">
        <v>88309</v>
      </c>
      <c r="C140" s="256" t="s">
        <v>13</v>
      </c>
      <c r="D140" s="256" t="s">
        <v>283</v>
      </c>
      <c r="E140" s="586" t="s">
        <v>31</v>
      </c>
      <c r="F140" s="587"/>
      <c r="G140" s="258" t="s">
        <v>32</v>
      </c>
      <c r="H140" s="259">
        <v>2.367</v>
      </c>
      <c r="I140" s="260">
        <v>28.29</v>
      </c>
      <c r="J140" s="260">
        <f t="shared" si="9"/>
        <v>66.959999999999994</v>
      </c>
      <c r="K140" s="136"/>
      <c r="L140">
        <v>45.74</v>
      </c>
      <c r="M140" s="37">
        <f t="shared" si="10"/>
        <v>1.37</v>
      </c>
    </row>
    <row r="141" spans="1:13" ht="25.5" customHeight="1" x14ac:dyDescent="0.25">
      <c r="A141" s="256" t="s">
        <v>30</v>
      </c>
      <c r="B141" s="257">
        <v>88316</v>
      </c>
      <c r="C141" s="256" t="s">
        <v>13</v>
      </c>
      <c r="D141" s="256" t="s">
        <v>284</v>
      </c>
      <c r="E141" s="586" t="s">
        <v>31</v>
      </c>
      <c r="F141" s="587"/>
      <c r="G141" s="258" t="s">
        <v>32</v>
      </c>
      <c r="H141" s="259">
        <v>1.85</v>
      </c>
      <c r="I141" s="260">
        <v>22.98</v>
      </c>
      <c r="J141" s="260">
        <f t="shared" si="9"/>
        <v>42.51</v>
      </c>
      <c r="K141" s="136"/>
      <c r="L141">
        <v>41.19</v>
      </c>
      <c r="M141" s="37">
        <f t="shared" si="10"/>
        <v>4.12</v>
      </c>
    </row>
    <row r="142" spans="1:13" ht="28.5" customHeight="1" x14ac:dyDescent="0.25">
      <c r="I142" s="280" t="s">
        <v>38</v>
      </c>
      <c r="J142" s="281">
        <f>SUM(J132:J141)</f>
        <v>589.9</v>
      </c>
      <c r="K142" s="136"/>
      <c r="L142">
        <v>0.77</v>
      </c>
      <c r="M142" s="37">
        <f t="shared" si="10"/>
        <v>1.23</v>
      </c>
    </row>
    <row r="143" spans="1:13" ht="34.5" customHeight="1" x14ac:dyDescent="0.25">
      <c r="K143" s="136"/>
      <c r="L143">
        <v>11.76</v>
      </c>
      <c r="M143" s="37">
        <f t="shared" si="10"/>
        <v>15.99</v>
      </c>
    </row>
    <row r="144" spans="1:13" ht="33" customHeight="1" x14ac:dyDescent="0.25">
      <c r="K144" s="136"/>
    </row>
    <row r="145" spans="1:11" ht="34.5" customHeight="1" x14ac:dyDescent="0.25">
      <c r="K145" s="136"/>
    </row>
    <row r="146" spans="1:11" ht="35.25" customHeight="1" x14ac:dyDescent="0.25">
      <c r="K146" s="136"/>
    </row>
    <row r="147" spans="1:11" ht="33" customHeight="1" x14ac:dyDescent="0.25">
      <c r="K147" s="136"/>
    </row>
    <row r="148" spans="1:11" ht="32.25" customHeight="1" x14ac:dyDescent="0.25">
      <c r="K148" s="136"/>
    </row>
    <row r="149" spans="1:11" ht="33" customHeight="1" x14ac:dyDescent="0.25">
      <c r="K149" s="136"/>
    </row>
    <row r="150" spans="1:11" ht="30" customHeight="1" x14ac:dyDescent="0.25">
      <c r="K150" s="136"/>
    </row>
    <row r="151" spans="1:11" x14ac:dyDescent="0.25">
      <c r="A151" s="13"/>
      <c r="K151" s="136"/>
    </row>
    <row r="152" spans="1:11" x14ac:dyDescent="0.25">
      <c r="A152" s="13"/>
      <c r="B152" s="13"/>
      <c r="C152" s="13"/>
      <c r="D152" s="13"/>
      <c r="E152" s="13"/>
      <c r="F152" s="14"/>
      <c r="G152" s="13"/>
      <c r="H152" s="210"/>
      <c r="I152" s="210"/>
      <c r="J152" s="15"/>
      <c r="K152" s="136"/>
    </row>
    <row r="153" spans="1:11" x14ac:dyDescent="0.25">
      <c r="A153" s="13"/>
      <c r="B153" s="13"/>
      <c r="C153" s="13"/>
      <c r="D153" s="13"/>
      <c r="E153" s="13"/>
      <c r="F153" s="14"/>
      <c r="G153" s="13"/>
      <c r="H153" s="210"/>
      <c r="I153" s="210"/>
      <c r="J153" s="15"/>
      <c r="K153" s="136"/>
    </row>
    <row r="154" spans="1:11" x14ac:dyDescent="0.25">
      <c r="A154" s="13"/>
      <c r="B154" s="13"/>
      <c r="C154" s="13"/>
      <c r="D154" s="13"/>
      <c r="E154" s="13"/>
      <c r="F154" s="14"/>
      <c r="G154" s="13"/>
      <c r="H154" s="25"/>
      <c r="I154" s="210"/>
      <c r="J154" s="15"/>
      <c r="K154" s="136"/>
    </row>
    <row r="155" spans="1:11" ht="28.5" customHeight="1" x14ac:dyDescent="0.25"/>
    <row r="157" spans="1:11" ht="27" customHeight="1" x14ac:dyDescent="0.25"/>
    <row r="158" spans="1:11" ht="51" customHeight="1" x14ac:dyDescent="0.25"/>
    <row r="159" spans="1:11" ht="51" customHeight="1" x14ac:dyDescent="0.25"/>
    <row r="160" spans="1:11" ht="27" customHeight="1" x14ac:dyDescent="0.25"/>
    <row r="161" ht="27.75" customHeight="1" x14ac:dyDescent="0.25"/>
    <row r="162" ht="25.5" customHeight="1" x14ac:dyDescent="0.25"/>
    <row r="163" ht="39" customHeight="1" x14ac:dyDescent="0.25"/>
    <row r="164" ht="40.5" customHeight="1" x14ac:dyDescent="0.25"/>
    <row r="165" ht="28.5" customHeight="1" x14ac:dyDescent="0.25"/>
    <row r="175" ht="25.5" customHeight="1" x14ac:dyDescent="0.25"/>
    <row r="180" spans="1:1" x14ac:dyDescent="0.25">
      <c r="A180" s="13"/>
    </row>
  </sheetData>
  <mergeCells count="136">
    <mergeCell ref="E12:F12"/>
    <mergeCell ref="E13:F13"/>
    <mergeCell ref="E14:F14"/>
    <mergeCell ref="E15:F15"/>
    <mergeCell ref="E16:F16"/>
    <mergeCell ref="E17:F17"/>
    <mergeCell ref="E18:F18"/>
    <mergeCell ref="H36:I36"/>
    <mergeCell ref="E28:F28"/>
    <mergeCell ref="E29:F29"/>
    <mergeCell ref="E30:F30"/>
    <mergeCell ref="E31:F31"/>
    <mergeCell ref="E32:F32"/>
    <mergeCell ref="E33:F33"/>
    <mergeCell ref="E34:F34"/>
    <mergeCell ref="E35:F35"/>
    <mergeCell ref="A2:J2"/>
    <mergeCell ref="H113:I113"/>
    <mergeCell ref="E139:F139"/>
    <mergeCell ref="E114:F114"/>
    <mergeCell ref="E115:F115"/>
    <mergeCell ref="E116:F116"/>
    <mergeCell ref="E117:F117"/>
    <mergeCell ref="E118:F118"/>
    <mergeCell ref="E123:F123"/>
    <mergeCell ref="E122:F122"/>
    <mergeCell ref="E121:F121"/>
    <mergeCell ref="E120:F120"/>
    <mergeCell ref="E119:F119"/>
    <mergeCell ref="E130:F130"/>
    <mergeCell ref="E134:F134"/>
    <mergeCell ref="E133:F133"/>
    <mergeCell ref="E132:F132"/>
    <mergeCell ref="E131:F131"/>
    <mergeCell ref="E127:F127"/>
    <mergeCell ref="E128:F128"/>
    <mergeCell ref="E104:F104"/>
    <mergeCell ref="E97:F97"/>
    <mergeCell ref="E98:F98"/>
    <mergeCell ref="E99:F99"/>
    <mergeCell ref="E94:F94"/>
    <mergeCell ref="E95:F95"/>
    <mergeCell ref="E79:F79"/>
    <mergeCell ref="E135:F135"/>
    <mergeCell ref="E91:F91"/>
    <mergeCell ref="E92:F92"/>
    <mergeCell ref="E93:F93"/>
    <mergeCell ref="E100:F100"/>
    <mergeCell ref="E96:F96"/>
    <mergeCell ref="E90:F90"/>
    <mergeCell ref="E124:F124"/>
    <mergeCell ref="E101:F101"/>
    <mergeCell ref="E102:F102"/>
    <mergeCell ref="E103:F103"/>
    <mergeCell ref="E106:F106"/>
    <mergeCell ref="E107:F107"/>
    <mergeCell ref="E108:F108"/>
    <mergeCell ref="E109:F109"/>
    <mergeCell ref="E110:F110"/>
    <mergeCell ref="E111:F111"/>
    <mergeCell ref="E112:F112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C1:I1"/>
    <mergeCell ref="E50:F50"/>
    <mergeCell ref="H52:I52"/>
    <mergeCell ref="A7:J7"/>
    <mergeCell ref="E65:F65"/>
    <mergeCell ref="E59:F59"/>
    <mergeCell ref="E51:F51"/>
    <mergeCell ref="E43:F43"/>
    <mergeCell ref="E45:F45"/>
    <mergeCell ref="A3:B3"/>
    <mergeCell ref="A5:B5"/>
    <mergeCell ref="A6:B6"/>
    <mergeCell ref="C6:I6"/>
    <mergeCell ref="E62:F62"/>
    <mergeCell ref="E63:F63"/>
    <mergeCell ref="E64:F64"/>
    <mergeCell ref="C5:I5"/>
    <mergeCell ref="C3:H3"/>
    <mergeCell ref="C4:H4"/>
    <mergeCell ref="E46:F46"/>
    <mergeCell ref="E78:F78"/>
    <mergeCell ref="E47:F47"/>
    <mergeCell ref="E48:F48"/>
    <mergeCell ref="E38:F38"/>
    <mergeCell ref="E39:F39"/>
    <mergeCell ref="E66:F66"/>
    <mergeCell ref="E77:F77"/>
    <mergeCell ref="E76:F76"/>
    <mergeCell ref="E75:F75"/>
    <mergeCell ref="E74:F74"/>
    <mergeCell ref="E73:F73"/>
    <mergeCell ref="E72:F72"/>
    <mergeCell ref="E71:F71"/>
    <mergeCell ref="E70:F70"/>
    <mergeCell ref="E69:F69"/>
    <mergeCell ref="E68:F68"/>
    <mergeCell ref="E24:F24"/>
    <mergeCell ref="E25:F25"/>
    <mergeCell ref="E26:F26"/>
    <mergeCell ref="E27:F27"/>
    <mergeCell ref="E10:F10"/>
    <mergeCell ref="E11:F11"/>
    <mergeCell ref="E67:F67"/>
    <mergeCell ref="E19:F19"/>
    <mergeCell ref="H22:I22"/>
    <mergeCell ref="E20:F20"/>
    <mergeCell ref="E21:F21"/>
    <mergeCell ref="E140:F140"/>
    <mergeCell ref="E141:F141"/>
    <mergeCell ref="E58:F58"/>
    <mergeCell ref="E49:F49"/>
    <mergeCell ref="H44:I44"/>
    <mergeCell ref="E40:F40"/>
    <mergeCell ref="E41:F41"/>
    <mergeCell ref="E42:F42"/>
    <mergeCell ref="E125:F125"/>
    <mergeCell ref="E126:F126"/>
    <mergeCell ref="E136:F136"/>
    <mergeCell ref="E137:F137"/>
    <mergeCell ref="E138:F138"/>
    <mergeCell ref="E60:F60"/>
    <mergeCell ref="H61:I61"/>
    <mergeCell ref="E54:F54"/>
    <mergeCell ref="E55:F55"/>
    <mergeCell ref="E56:F56"/>
    <mergeCell ref="E57:F57"/>
  </mergeCells>
  <phoneticPr fontId="17" type="noConversion"/>
  <pageMargins left="1.28" right="0.51181102362204722" top="0.78740157480314965" bottom="0.78740157480314965" header="0.31496062992125984" footer="0.31496062992125984"/>
  <pageSetup paperSize="9" scale="42" fitToHeight="0" orientation="portrait" r:id="rId1"/>
  <headerFooter>
    <oddFooter>&amp;CPágina &amp;P de &amp;N</oddFooter>
  </headerFooter>
  <rowBreaks count="2" manualBreakCount="2">
    <brk id="59" max="9" man="1"/>
    <brk id="96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0"/>
  <sheetViews>
    <sheetView view="pageBreakPreview" zoomScale="50" zoomScaleNormal="100" zoomScaleSheetLayoutView="50" workbookViewId="0">
      <selection activeCell="A38" sqref="A38"/>
    </sheetView>
  </sheetViews>
  <sheetFormatPr defaultRowHeight="13.8" x14ac:dyDescent="0.25"/>
  <cols>
    <col min="1" max="1" width="17.19921875" style="27" customWidth="1"/>
    <col min="2" max="2" width="39.09765625" customWidth="1"/>
    <col min="3" max="3" width="24" style="82" customWidth="1"/>
    <col min="4" max="4" width="11.19921875" style="116" customWidth="1"/>
    <col min="5" max="5" width="21.19921875" customWidth="1"/>
    <col min="6" max="6" width="20.09765625" customWidth="1"/>
    <col min="7" max="7" width="19.8984375" customWidth="1"/>
    <col min="8" max="8" width="19.69921875" customWidth="1"/>
    <col min="9" max="9" width="21.3984375" customWidth="1"/>
    <col min="10" max="10" width="24.09765625" customWidth="1"/>
    <col min="11" max="11" width="8.69921875" customWidth="1"/>
    <col min="12" max="12" width="17" style="32" customWidth="1"/>
    <col min="13" max="13" width="10.3984375" customWidth="1"/>
  </cols>
  <sheetData>
    <row r="1" spans="1:13" ht="86.25" customHeight="1" x14ac:dyDescent="0.25">
      <c r="A1" s="1"/>
      <c r="B1" s="567" t="s">
        <v>64</v>
      </c>
      <c r="C1" s="567"/>
      <c r="D1" s="567"/>
      <c r="E1" s="567"/>
      <c r="F1" s="567"/>
      <c r="G1" s="567"/>
      <c r="H1" s="567"/>
      <c r="I1" s="567"/>
      <c r="J1" s="71"/>
      <c r="K1" s="71"/>
      <c r="L1"/>
    </row>
    <row r="2" spans="1:13" ht="18" customHeight="1" x14ac:dyDescent="0.25">
      <c r="A2" s="612" t="s">
        <v>475</v>
      </c>
      <c r="B2" s="612"/>
      <c r="C2" s="612"/>
      <c r="D2" s="612"/>
      <c r="E2" s="612"/>
      <c r="F2" s="612"/>
      <c r="G2" s="612"/>
      <c r="H2" s="612"/>
      <c r="I2" s="612"/>
      <c r="J2" s="612"/>
      <c r="K2" s="71"/>
      <c r="L2"/>
    </row>
    <row r="3" spans="1:13" ht="30" customHeight="1" x14ac:dyDescent="0.25">
      <c r="A3" s="197" t="s">
        <v>65</v>
      </c>
      <c r="B3" s="574" t="str">
        <f>ORÇAMENTO!C4</f>
        <v>CONTRATAÇÃO DE EMPRESA ESPECIALIZADA PARA EXECUÇÃO DOS SERVIÇOS REMANESCENTES E COMPLEMENTARES VISANDO À RETOMADA E CONCLUSÃO DA OBRA DE CONSTRUÇÃO DA UNIDADE BÁSICA DE SAÚDE – UBS MALVINAS</v>
      </c>
      <c r="C3" s="574"/>
      <c r="D3" s="574"/>
      <c r="E3" s="574"/>
      <c r="F3" s="574"/>
      <c r="G3" s="574"/>
      <c r="H3" s="574"/>
      <c r="I3" s="202" t="s">
        <v>265</v>
      </c>
      <c r="J3" s="155">
        <v>0.2452</v>
      </c>
      <c r="K3" s="73"/>
      <c r="L3"/>
    </row>
    <row r="4" spans="1:13" ht="14.25" customHeight="1" x14ac:dyDescent="0.25">
      <c r="A4" s="197" t="s">
        <v>267</v>
      </c>
      <c r="B4" s="574" t="s">
        <v>468</v>
      </c>
      <c r="C4" s="574"/>
      <c r="D4" s="574"/>
      <c r="E4" s="574"/>
      <c r="F4" s="574"/>
      <c r="G4" s="574"/>
      <c r="H4" s="575"/>
      <c r="I4" s="201" t="s">
        <v>266</v>
      </c>
      <c r="J4" s="155">
        <v>0.16320000000000001</v>
      </c>
      <c r="K4" s="73"/>
      <c r="L4"/>
    </row>
    <row r="5" spans="1:13" ht="14.25" customHeight="1" x14ac:dyDescent="0.25">
      <c r="A5" s="197" t="s">
        <v>66</v>
      </c>
      <c r="B5" s="574" t="s">
        <v>476</v>
      </c>
      <c r="C5" s="574"/>
      <c r="D5" s="574"/>
      <c r="E5" s="574"/>
      <c r="F5" s="574"/>
      <c r="G5" s="574"/>
      <c r="H5" s="574"/>
      <c r="I5" s="201"/>
      <c r="J5" s="155"/>
      <c r="K5" s="73"/>
      <c r="L5"/>
    </row>
    <row r="6" spans="1:13" ht="26.25" customHeight="1" thickBot="1" x14ac:dyDescent="0.3">
      <c r="A6" s="203" t="s">
        <v>67</v>
      </c>
      <c r="B6" s="573" t="s">
        <v>1109</v>
      </c>
      <c r="C6" s="574"/>
      <c r="D6" s="574"/>
      <c r="E6" s="574"/>
      <c r="F6" s="574"/>
      <c r="G6" s="574"/>
      <c r="H6" s="574"/>
      <c r="I6" s="575"/>
      <c r="J6" s="70"/>
      <c r="K6" s="73"/>
      <c r="L6"/>
    </row>
    <row r="7" spans="1:13" ht="16.2" thickBot="1" x14ac:dyDescent="0.3">
      <c r="A7" s="610" t="s">
        <v>68</v>
      </c>
      <c r="B7" s="610"/>
      <c r="C7" s="610"/>
      <c r="D7" s="610"/>
      <c r="E7" s="610"/>
      <c r="F7" s="610"/>
      <c r="G7" s="610"/>
      <c r="H7" s="610"/>
      <c r="I7" s="610"/>
      <c r="J7" s="610"/>
      <c r="K7" s="108"/>
    </row>
    <row r="8" spans="1:13" ht="14.4" thickBot="1" x14ac:dyDescent="0.3">
      <c r="A8" s="81"/>
      <c r="B8" s="74"/>
      <c r="C8" s="83"/>
      <c r="D8" s="120"/>
      <c r="E8" s="74"/>
      <c r="F8" s="74"/>
      <c r="G8" s="74"/>
      <c r="H8" s="74"/>
      <c r="I8" s="74"/>
      <c r="J8" s="74"/>
      <c r="K8" s="74"/>
    </row>
    <row r="9" spans="1:13" s="34" customFormat="1" x14ac:dyDescent="0.25">
      <c r="A9" s="131" t="s">
        <v>69</v>
      </c>
      <c r="B9" s="132" t="s">
        <v>70</v>
      </c>
      <c r="C9" s="133" t="s">
        <v>71</v>
      </c>
      <c r="D9" s="134" t="s">
        <v>72</v>
      </c>
      <c r="E9" s="132" t="s">
        <v>91</v>
      </c>
      <c r="F9" s="132" t="s">
        <v>92</v>
      </c>
      <c r="G9" s="132" t="s">
        <v>93</v>
      </c>
      <c r="H9" s="132" t="s">
        <v>94</v>
      </c>
      <c r="I9" s="132" t="s">
        <v>95</v>
      </c>
      <c r="J9" s="132" t="s">
        <v>96</v>
      </c>
      <c r="K9" s="109"/>
      <c r="L9" s="85"/>
    </row>
    <row r="10" spans="1:13" ht="15.6" x14ac:dyDescent="0.3">
      <c r="A10" s="90"/>
      <c r="B10" s="91"/>
      <c r="C10" s="92"/>
      <c r="D10" s="96"/>
      <c r="E10" s="93"/>
      <c r="F10" s="93"/>
      <c r="G10" s="93"/>
      <c r="H10" s="93"/>
      <c r="I10" s="93"/>
      <c r="J10" s="94"/>
      <c r="K10" s="101"/>
    </row>
    <row r="11" spans="1:13" s="61" customFormat="1" ht="15.6" x14ac:dyDescent="0.3">
      <c r="A11" s="237">
        <v>1</v>
      </c>
      <c r="B11" s="128" t="s">
        <v>11</v>
      </c>
      <c r="C11" s="97">
        <f>ORÇAMENTO!K10</f>
        <v>38536.19</v>
      </c>
      <c r="D11" s="96">
        <f>C11/C34</f>
        <v>3.5751959663646006E-2</v>
      </c>
      <c r="E11" s="96">
        <v>1</v>
      </c>
      <c r="F11" s="96"/>
      <c r="G11" s="93"/>
      <c r="H11" s="93"/>
      <c r="I11" s="93"/>
      <c r="J11" s="93"/>
      <c r="K11" s="110"/>
      <c r="L11" s="86"/>
    </row>
    <row r="12" spans="1:13" ht="15.6" x14ac:dyDescent="0.3">
      <c r="A12" s="238"/>
      <c r="B12" s="93"/>
      <c r="C12" s="97"/>
      <c r="D12" s="96"/>
      <c r="E12" s="130">
        <f>ROUND(C11*E11,2)</f>
        <v>38536.19</v>
      </c>
      <c r="F12" s="98"/>
      <c r="G12" s="93"/>
      <c r="H12" s="93"/>
      <c r="I12" s="93"/>
      <c r="J12" s="93"/>
      <c r="K12" s="101"/>
      <c r="L12" s="32">
        <f>E12</f>
        <v>38536.19</v>
      </c>
    </row>
    <row r="13" spans="1:13" s="88" customFormat="1" ht="15.6" x14ac:dyDescent="0.3">
      <c r="A13" s="237">
        <v>2</v>
      </c>
      <c r="B13" s="129" t="s">
        <v>45</v>
      </c>
      <c r="C13" s="97">
        <f>ORÇAMENTO!K19</f>
        <v>104881.92</v>
      </c>
      <c r="D13" s="96">
        <f>C13/C34</f>
        <v>9.7304226839387775E-2</v>
      </c>
      <c r="E13" s="117">
        <f>SUM(1/6)</f>
        <v>0.16666666666666666</v>
      </c>
      <c r="F13" s="117">
        <f>SUM(1/6)</f>
        <v>0.16666666666666666</v>
      </c>
      <c r="G13" s="117">
        <f t="shared" ref="G13:J13" si="0">SUM(1/6)</f>
        <v>0.16666666666666666</v>
      </c>
      <c r="H13" s="117">
        <f t="shared" si="0"/>
        <v>0.16666666666666666</v>
      </c>
      <c r="I13" s="117">
        <f t="shared" si="0"/>
        <v>0.16666666666666666</v>
      </c>
      <c r="J13" s="117">
        <f t="shared" si="0"/>
        <v>0.16666666666666666</v>
      </c>
      <c r="K13" s="111"/>
      <c r="L13" s="87"/>
    </row>
    <row r="14" spans="1:13" ht="15.6" x14ac:dyDescent="0.3">
      <c r="A14" s="238"/>
      <c r="B14" s="93"/>
      <c r="C14" s="97"/>
      <c r="D14" s="96"/>
      <c r="E14" s="130">
        <f>ROUND(C13*E13,2)</f>
        <v>17480.32</v>
      </c>
      <c r="F14" s="130">
        <f>ROUND(C13*F13,2)</f>
        <v>17480.32</v>
      </c>
      <c r="G14" s="130">
        <f>ROUND(C13*G13,2)</f>
        <v>17480.32</v>
      </c>
      <c r="H14" s="130">
        <f>ROUND(C13*H13,2)</f>
        <v>17480.32</v>
      </c>
      <c r="I14" s="130">
        <f>ROUND(C13*I13,2)</f>
        <v>17480.32</v>
      </c>
      <c r="J14" s="130">
        <f>ROUND(C13*J13,2)</f>
        <v>17480.32</v>
      </c>
      <c r="K14" s="112"/>
      <c r="L14" s="32">
        <f>SUM(E14:J14)</f>
        <v>104881.92000000001</v>
      </c>
      <c r="M14" s="84">
        <f>L14-C13</f>
        <v>0</v>
      </c>
    </row>
    <row r="15" spans="1:13" s="61" customFormat="1" ht="15.6" x14ac:dyDescent="0.3">
      <c r="A15" s="237">
        <v>3</v>
      </c>
      <c r="B15" s="213" t="str">
        <f>ORÇAMENTO!D22</f>
        <v>ESTRUTURAS METÁLICAS</v>
      </c>
      <c r="C15" s="97">
        <f>ORÇAMENTO!K22</f>
        <v>92140.650000000009</v>
      </c>
      <c r="D15" s="96">
        <f>C15/C34</f>
        <v>8.5483510491881118E-2</v>
      </c>
      <c r="E15" s="523"/>
      <c r="F15" s="99"/>
      <c r="G15" s="99">
        <v>1</v>
      </c>
      <c r="H15" s="93"/>
      <c r="I15" s="93"/>
      <c r="J15" s="93"/>
      <c r="K15" s="110"/>
      <c r="L15" s="86"/>
    </row>
    <row r="16" spans="1:13" ht="15.6" x14ac:dyDescent="0.3">
      <c r="A16" s="238"/>
      <c r="B16" s="93"/>
      <c r="C16" s="97"/>
      <c r="D16" s="96"/>
      <c r="F16" s="97"/>
      <c r="G16" s="130">
        <f>ROUND(C15*G15,2)</f>
        <v>92140.65</v>
      </c>
      <c r="H16" s="93"/>
      <c r="I16" s="93"/>
      <c r="J16" s="93"/>
      <c r="K16" s="101"/>
      <c r="L16" s="32">
        <f>SUM(F16:J16)</f>
        <v>92140.65</v>
      </c>
      <c r="M16" s="84">
        <f>L16-C15</f>
        <v>0</v>
      </c>
    </row>
    <row r="17" spans="1:13" s="61" customFormat="1" ht="15.6" x14ac:dyDescent="0.3">
      <c r="A17" s="237">
        <v>4</v>
      </c>
      <c r="B17" s="129" t="str">
        <f>ORÇAMENTO!D33</f>
        <v>ALVENARIA - VEDAÇÃO E MURIO EXTERNO</v>
      </c>
      <c r="C17" s="97">
        <f>ORÇAMENTO!K33</f>
        <v>17471.830000000002</v>
      </c>
      <c r="D17" s="96">
        <f>C17/C34</f>
        <v>1.6209494540328981E-2</v>
      </c>
      <c r="E17" s="96">
        <v>0.3</v>
      </c>
      <c r="F17" s="96">
        <v>0.5</v>
      </c>
      <c r="G17" s="96">
        <v>0.2</v>
      </c>
      <c r="H17" s="96"/>
      <c r="I17" s="96"/>
      <c r="J17" s="93"/>
      <c r="K17" s="110"/>
      <c r="L17" s="86"/>
      <c r="M17" s="89"/>
    </row>
    <row r="18" spans="1:13" ht="15.6" x14ac:dyDescent="0.3">
      <c r="A18" s="238"/>
      <c r="B18" s="93"/>
      <c r="C18" s="97"/>
      <c r="D18" s="96"/>
      <c r="E18" s="130">
        <f>ROUND(E17*C17,2)</f>
        <v>5241.55</v>
      </c>
      <c r="F18" s="130">
        <f>ROUND(F17*C17,2)</f>
        <v>8735.92</v>
      </c>
      <c r="G18" s="130">
        <f>ROUND(C17*G17,2)</f>
        <v>3494.37</v>
      </c>
      <c r="H18" s="97"/>
      <c r="I18" s="97"/>
      <c r="J18" s="93"/>
      <c r="K18" s="101"/>
      <c r="L18" s="32">
        <f>SUM(E18:J18)</f>
        <v>17471.84</v>
      </c>
      <c r="M18" s="84">
        <f t="shared" ref="M18:M29" si="1">L18-C17</f>
        <v>9.9999999983992893E-3</v>
      </c>
    </row>
    <row r="19" spans="1:13" s="61" customFormat="1" ht="15.6" x14ac:dyDescent="0.3">
      <c r="A19" s="237">
        <v>5</v>
      </c>
      <c r="B19" s="129" t="str">
        <f>ORÇAMENTO!D45</f>
        <v>COBERTURA</v>
      </c>
      <c r="C19" s="97">
        <f>ORÇAMENTO!K45</f>
        <v>64567.460000000006</v>
      </c>
      <c r="D19" s="96">
        <f>C19/C34</f>
        <v>5.9902476749883082E-2</v>
      </c>
      <c r="E19" s="96"/>
      <c r="F19" s="96">
        <v>0.1</v>
      </c>
      <c r="G19" s="96">
        <v>0.7</v>
      </c>
      <c r="H19" s="96">
        <v>0.2</v>
      </c>
      <c r="I19" s="96"/>
      <c r="J19" s="99"/>
      <c r="K19" s="113"/>
      <c r="L19" s="86"/>
      <c r="M19" s="89">
        <f t="shared" si="1"/>
        <v>0</v>
      </c>
    </row>
    <row r="20" spans="1:13" ht="15.6" x14ac:dyDescent="0.3">
      <c r="A20" s="238"/>
      <c r="B20" s="93"/>
      <c r="C20" s="97"/>
      <c r="D20" s="96"/>
      <c r="E20" s="97"/>
      <c r="F20" s="130">
        <f>(F19*C19)</f>
        <v>6456.746000000001</v>
      </c>
      <c r="G20" s="130">
        <f>(G19*C19)</f>
        <v>45197.222000000002</v>
      </c>
      <c r="H20" s="211">
        <f>(H19*C19)</f>
        <v>12913.492000000002</v>
      </c>
      <c r="I20" s="212"/>
      <c r="J20" s="98"/>
      <c r="K20" s="114"/>
      <c r="L20" s="32">
        <f>E20+F20+G20+H20</f>
        <v>64567.460000000006</v>
      </c>
      <c r="M20" s="84">
        <f t="shared" si="1"/>
        <v>0</v>
      </c>
    </row>
    <row r="21" spans="1:13" s="61" customFormat="1" ht="15.6" x14ac:dyDescent="0.3">
      <c r="A21" s="237">
        <v>6</v>
      </c>
      <c r="B21" s="129" t="str">
        <f>ORÇAMENTO!D55</f>
        <v xml:space="preserve">REVESTIMENTOS </v>
      </c>
      <c r="C21" s="97">
        <f>ORÇAMENTO!K55</f>
        <v>323474.21000000002</v>
      </c>
      <c r="D21" s="96">
        <f>C21/C34</f>
        <v>0.30010327715712831</v>
      </c>
      <c r="E21" s="117"/>
      <c r="F21" s="99"/>
      <c r="G21" s="117"/>
      <c r="H21" s="117">
        <v>0.5</v>
      </c>
      <c r="I21" s="117">
        <v>0.5</v>
      </c>
      <c r="J21" s="117"/>
      <c r="K21" s="110"/>
      <c r="L21" s="86"/>
      <c r="M21" s="89">
        <f t="shared" si="1"/>
        <v>0</v>
      </c>
    </row>
    <row r="22" spans="1:13" ht="15.6" x14ac:dyDescent="0.3">
      <c r="A22" s="238"/>
      <c r="B22" s="93"/>
      <c r="C22" s="97"/>
      <c r="D22" s="96"/>
      <c r="E22" s="97"/>
      <c r="F22" s="97"/>
      <c r="G22" s="97"/>
      <c r="H22" s="130">
        <f>(H21*C21)</f>
        <v>161737.10500000001</v>
      </c>
      <c r="I22" s="130">
        <f>(I21*C21)</f>
        <v>161737.10500000001</v>
      </c>
      <c r="J22" s="212"/>
      <c r="K22" s="114"/>
      <c r="L22" s="32">
        <f>H22+I22</f>
        <v>323474.21000000002</v>
      </c>
      <c r="M22" s="84">
        <f t="shared" si="1"/>
        <v>0</v>
      </c>
    </row>
    <row r="23" spans="1:13" s="61" customFormat="1" ht="15.6" x14ac:dyDescent="0.3">
      <c r="A23" s="237">
        <v>7</v>
      </c>
      <c r="B23" s="129" t="str">
        <f>ORÇAMENTO!D81</f>
        <v xml:space="preserve">ESQUADRIAS </v>
      </c>
      <c r="C23" s="97">
        <f>ORÇAMENTO!K81</f>
        <v>79127.209999999992</v>
      </c>
      <c r="D23" s="96">
        <f>C23/C34</f>
        <v>7.3410288360547485E-2</v>
      </c>
      <c r="E23" s="99"/>
      <c r="F23" s="99"/>
      <c r="G23" s="99"/>
      <c r="H23" s="96">
        <v>0.35</v>
      </c>
      <c r="I23" s="96">
        <v>0.5</v>
      </c>
      <c r="J23" s="96">
        <v>0.15</v>
      </c>
      <c r="K23" s="113"/>
      <c r="L23" s="86"/>
      <c r="M23" s="89">
        <f t="shared" si="1"/>
        <v>0</v>
      </c>
    </row>
    <row r="24" spans="1:13" ht="15.6" x14ac:dyDescent="0.3">
      <c r="A24" s="238"/>
      <c r="B24" s="93"/>
      <c r="C24" s="97"/>
      <c r="D24" s="96"/>
      <c r="E24" s="97"/>
      <c r="F24" s="97"/>
      <c r="G24" s="97"/>
      <c r="H24" s="130">
        <f>ROUND(C23*H23,2)</f>
        <v>27694.52</v>
      </c>
      <c r="I24" s="130">
        <f>ROUND(C23*I23,2)</f>
        <v>39563.61</v>
      </c>
      <c r="J24" s="130">
        <f>ROUND(C23*J23,2)</f>
        <v>11869.08</v>
      </c>
      <c r="K24" s="114"/>
      <c r="L24" s="32">
        <f>J24+I24+H24+G24+F24+E24</f>
        <v>79127.210000000006</v>
      </c>
      <c r="M24" s="84">
        <f t="shared" si="1"/>
        <v>0</v>
      </c>
    </row>
    <row r="25" spans="1:13" s="61" customFormat="1" ht="15.6" x14ac:dyDescent="0.3">
      <c r="A25" s="237">
        <v>8</v>
      </c>
      <c r="B25" s="129" t="str">
        <f>ORÇAMENTO!D95</f>
        <v>INSTALAÇÕES ELÉTRICAS  E DE LÓGICA</v>
      </c>
      <c r="C25" s="97">
        <f>ORÇAMENTO!K95</f>
        <v>120894.65000000002</v>
      </c>
      <c r="D25" s="96">
        <f>C25/C34</f>
        <v>0.11216004099913879</v>
      </c>
      <c r="E25" s="93"/>
      <c r="F25" s="93"/>
      <c r="G25" s="99"/>
      <c r="H25" s="96"/>
      <c r="I25" s="96">
        <v>0.5</v>
      </c>
      <c r="J25" s="96">
        <v>0.5</v>
      </c>
      <c r="K25" s="113"/>
      <c r="L25" s="86"/>
      <c r="M25" s="89">
        <f t="shared" si="1"/>
        <v>0</v>
      </c>
    </row>
    <row r="26" spans="1:13" ht="15.6" x14ac:dyDescent="0.3">
      <c r="A26" s="238"/>
      <c r="B26" s="93"/>
      <c r="C26" s="97"/>
      <c r="D26" s="96"/>
      <c r="E26" s="93"/>
      <c r="F26" s="93"/>
      <c r="G26" s="97"/>
      <c r="H26" s="97"/>
      <c r="I26" s="130">
        <f>(C25*I25)</f>
        <v>60447.325000000012</v>
      </c>
      <c r="J26" s="130">
        <f>(C25*J25)</f>
        <v>60447.325000000012</v>
      </c>
      <c r="K26" s="114"/>
      <c r="L26" s="32">
        <f>SUM(G26:J26)</f>
        <v>120894.65000000002</v>
      </c>
      <c r="M26" s="84">
        <f t="shared" si="1"/>
        <v>0</v>
      </c>
    </row>
    <row r="27" spans="1:13" s="61" customFormat="1" ht="15.6" x14ac:dyDescent="0.3">
      <c r="A27" s="237">
        <v>9</v>
      </c>
      <c r="B27" s="129" t="str">
        <f>ORÇAMENTO!D174</f>
        <v>INSTALAÇÕES HIDRAULICAS</v>
      </c>
      <c r="C27" s="97">
        <f>ORÇAMENTO!K174</f>
        <v>147247.91</v>
      </c>
      <c r="D27" s="96">
        <f>C27/C34</f>
        <v>0.13660928438634376</v>
      </c>
      <c r="E27" s="93"/>
      <c r="F27" s="96"/>
      <c r="G27" s="96">
        <v>0.2</v>
      </c>
      <c r="H27" s="96">
        <v>0.4</v>
      </c>
      <c r="I27" s="96">
        <v>0.25</v>
      </c>
      <c r="J27" s="96">
        <v>0.15</v>
      </c>
      <c r="K27" s="113"/>
      <c r="L27" s="86"/>
      <c r="M27" s="89">
        <f t="shared" si="1"/>
        <v>0</v>
      </c>
    </row>
    <row r="28" spans="1:13" ht="15.6" x14ac:dyDescent="0.3">
      <c r="A28" s="238"/>
      <c r="B28" s="93"/>
      <c r="C28" s="97"/>
      <c r="D28" s="96"/>
      <c r="E28" s="93"/>
      <c r="F28" s="97"/>
      <c r="G28" s="211">
        <f>(G27*C27)</f>
        <v>29449.582000000002</v>
      </c>
      <c r="H28" s="130">
        <f>(C27*H27)</f>
        <v>58899.164000000004</v>
      </c>
      <c r="I28" s="130">
        <f>(C27*I27)</f>
        <v>36811.977500000001</v>
      </c>
      <c r="J28" s="130">
        <f>(C27*J27)</f>
        <v>22087.1865</v>
      </c>
      <c r="K28" s="114"/>
      <c r="L28" s="32">
        <f>SUM(F28:J28)</f>
        <v>147247.91000000003</v>
      </c>
      <c r="M28" s="84">
        <f t="shared" si="1"/>
        <v>0</v>
      </c>
    </row>
    <row r="29" spans="1:13" s="61" customFormat="1" ht="15.6" x14ac:dyDescent="0.3">
      <c r="A29" s="237">
        <v>10</v>
      </c>
      <c r="B29" s="129" t="str">
        <f>ORÇAMENTO!D296</f>
        <v>REDE DE AR CONDICIONADO</v>
      </c>
      <c r="C29" s="97">
        <f>ORÇAMENTO!K296</f>
        <v>64251.06</v>
      </c>
      <c r="D29" s="96">
        <f>C29/C34</f>
        <v>5.960893657277741E-2</v>
      </c>
      <c r="E29" s="93"/>
      <c r="F29" s="117" t="s">
        <v>368</v>
      </c>
      <c r="G29" s="117">
        <v>0.3</v>
      </c>
      <c r="H29" s="96">
        <v>0.4</v>
      </c>
      <c r="I29" s="96">
        <v>0.2</v>
      </c>
      <c r="J29" s="96">
        <v>0.1</v>
      </c>
      <c r="K29" s="113"/>
      <c r="L29" s="86"/>
      <c r="M29" s="89">
        <f t="shared" si="1"/>
        <v>0</v>
      </c>
    </row>
    <row r="30" spans="1:13" ht="15.6" x14ac:dyDescent="0.3">
      <c r="A30" s="238"/>
      <c r="B30" s="93"/>
      <c r="C30" s="97"/>
      <c r="D30" s="96"/>
      <c r="E30" s="93"/>
      <c r="F30" s="97"/>
      <c r="G30" s="130">
        <f>(G29*C29)</f>
        <v>19275.317999999999</v>
      </c>
      <c r="H30" s="130">
        <f>(H29*C29)</f>
        <v>25700.423999999999</v>
      </c>
      <c r="I30" s="130">
        <f>(I29*C29)</f>
        <v>12850.212</v>
      </c>
      <c r="J30" s="211">
        <f>(J29*C29)</f>
        <v>6425.1059999999998</v>
      </c>
      <c r="K30" s="114"/>
      <c r="L30" s="32">
        <f>I30+H30+G30+F30+J30</f>
        <v>64251.06</v>
      </c>
      <c r="M30" s="84"/>
    </row>
    <row r="31" spans="1:13" s="61" customFormat="1" ht="30.75" customHeight="1" x14ac:dyDescent="0.3">
      <c r="A31" s="237">
        <v>11</v>
      </c>
      <c r="B31" s="216" t="str">
        <f>ORÇAMENTO!D314</f>
        <v>DIVERSOS E LIMPEZA DA OBRA</v>
      </c>
      <c r="C31" s="97">
        <f>ORÇAMENTO!K314</f>
        <v>25281.21</v>
      </c>
      <c r="D31" s="96">
        <f>C31/C34</f>
        <v>2.3454648738449855E-2</v>
      </c>
      <c r="E31" s="93"/>
      <c r="F31" s="93"/>
      <c r="G31" s="93"/>
      <c r="H31" s="118"/>
      <c r="I31" s="96">
        <v>0.06</v>
      </c>
      <c r="J31" s="96">
        <v>0.94</v>
      </c>
      <c r="K31" s="115"/>
      <c r="L31" s="86"/>
      <c r="M31" s="89" t="e">
        <f>L31-#REF!</f>
        <v>#REF!</v>
      </c>
    </row>
    <row r="32" spans="1:13" ht="15.6" x14ac:dyDescent="0.3">
      <c r="A32" s="95"/>
      <c r="B32" s="93"/>
      <c r="C32" s="97"/>
      <c r="D32" s="96"/>
      <c r="E32" s="93"/>
      <c r="F32" s="93"/>
      <c r="G32" s="93"/>
      <c r="H32" s="118"/>
      <c r="I32" s="130">
        <f>(I31*C31)</f>
        <v>1516.8725999999999</v>
      </c>
      <c r="J32" s="130">
        <f>(J31*C31)</f>
        <v>23764.337399999997</v>
      </c>
      <c r="K32" s="112"/>
      <c r="L32" s="32">
        <f>SUM(I32:J32)</f>
        <v>25281.209999999995</v>
      </c>
      <c r="M32" s="84">
        <f t="shared" ref="M32" si="2">L32-C31</f>
        <v>0</v>
      </c>
    </row>
    <row r="33" spans="1:13" ht="16.2" thickBot="1" x14ac:dyDescent="0.35">
      <c r="A33" s="100"/>
      <c r="B33" s="101"/>
      <c r="C33" s="102"/>
      <c r="D33" s="121"/>
      <c r="E33" s="101"/>
      <c r="F33" s="101"/>
      <c r="G33" s="101"/>
      <c r="H33" s="101"/>
      <c r="I33" s="101"/>
      <c r="J33" s="101"/>
      <c r="K33" s="101"/>
      <c r="M33" s="84" t="e">
        <f>L33-#REF!</f>
        <v>#REF!</v>
      </c>
    </row>
    <row r="34" spans="1:13" s="61" customFormat="1" ht="15.75" customHeight="1" thickBot="1" x14ac:dyDescent="0.35">
      <c r="A34" s="611" t="s">
        <v>80</v>
      </c>
      <c r="B34" s="611"/>
      <c r="C34" s="135">
        <f>SUM(C11+C13+C15+C17+C19+C21+C23+C25+C27+C29+C31,2)</f>
        <v>1077876.3</v>
      </c>
      <c r="D34" s="119">
        <f>D31+D29+D27+D25+D23+D21+D19+D17+D15+D13+D11</f>
        <v>0.99999814449951252</v>
      </c>
      <c r="E34" s="103">
        <f>TRUNC(E12+E14+E18,2)</f>
        <v>61258.06</v>
      </c>
      <c r="F34" s="103">
        <f>TRUNC(F14+F18+F20,2)</f>
        <v>32672.98</v>
      </c>
      <c r="G34" s="103">
        <f>SUM(G14+G16+G18+G20+G28+G30,2)</f>
        <v>207039.462</v>
      </c>
      <c r="H34" s="103">
        <f>SUM(H14+H20+H22+H24+H28+H30,2)</f>
        <v>304427.02500000002</v>
      </c>
      <c r="I34" s="104">
        <f>SUM(I14+I22+I24+I26+I28+I30+I32,2)</f>
        <v>330409.42210000003</v>
      </c>
      <c r="J34" s="105">
        <f>SUM(J14+J24+J28+J32+J26+J30,2)</f>
        <v>142075.35490000001</v>
      </c>
      <c r="K34" s="112"/>
      <c r="L34" s="86">
        <f>SUM(E34:J34)</f>
        <v>1077882.304</v>
      </c>
    </row>
    <row r="35" spans="1:13" ht="14.4" thickBot="1" x14ac:dyDescent="0.3">
      <c r="E35" s="179">
        <f>E34/C34</f>
        <v>5.6832180093392901E-2</v>
      </c>
      <c r="F35" s="180">
        <f>F34/C34</f>
        <v>3.0312365157300517E-2</v>
      </c>
      <c r="G35" s="180">
        <f>G34/C34</f>
        <v>0.19208091132535338</v>
      </c>
      <c r="H35" s="180">
        <f>H34/C34</f>
        <v>0.2824322466316404</v>
      </c>
      <c r="I35" s="180">
        <f>I34/C34</f>
        <v>0.30653742187299232</v>
      </c>
      <c r="J35" s="181">
        <f>J34/C34</f>
        <v>0.13181044513178367</v>
      </c>
      <c r="K35" s="107">
        <f>E35+F35+G35+H35+I35+J35</f>
        <v>1.0000055702124633</v>
      </c>
    </row>
    <row r="36" spans="1:13" ht="14.4" thickBot="1" x14ac:dyDescent="0.3">
      <c r="A36" s="613" t="s">
        <v>1181</v>
      </c>
      <c r="B36" s="613"/>
      <c r="C36" s="613"/>
      <c r="D36" s="613"/>
      <c r="E36" s="179">
        <v>5.62E-2</v>
      </c>
      <c r="F36" s="180">
        <f>E35+F35</f>
        <v>8.7144545250693414E-2</v>
      </c>
      <c r="G36" s="180">
        <f>G35+F35+E35</f>
        <v>0.2792254565760468</v>
      </c>
      <c r="H36" s="180">
        <f>H35+G35+F35+E35</f>
        <v>0.56165770320768715</v>
      </c>
      <c r="I36" s="180">
        <f>I35+H35+G35+F35+E35</f>
        <v>0.86819512508067942</v>
      </c>
      <c r="J36" s="181">
        <f>J35+I35+H35+G35+F35+E35</f>
        <v>1.0000055702124633</v>
      </c>
      <c r="K36" s="107"/>
    </row>
    <row r="37" spans="1:13" ht="14.4" thickBot="1" x14ac:dyDescent="0.3">
      <c r="A37" s="607" t="s">
        <v>1193</v>
      </c>
      <c r="B37" s="608"/>
      <c r="C37" s="608"/>
      <c r="D37" s="609"/>
      <c r="E37" s="182">
        <f>E34</f>
        <v>61258.06</v>
      </c>
      <c r="F37" s="183">
        <f>SUM(E37+F34,2)</f>
        <v>93933.04</v>
      </c>
      <c r="G37" s="183">
        <f>F37+G34</f>
        <v>300972.50199999998</v>
      </c>
      <c r="H37" s="183">
        <f>G37+H34</f>
        <v>605399.527</v>
      </c>
      <c r="I37" s="183">
        <f>H37+I34</f>
        <v>935808.94910000009</v>
      </c>
      <c r="J37" s="184">
        <f>I37+J34</f>
        <v>1077884.304</v>
      </c>
    </row>
    <row r="39" spans="1:13" x14ac:dyDescent="0.25">
      <c r="E39" s="106"/>
    </row>
    <row r="40" spans="1:13" x14ac:dyDescent="0.25">
      <c r="F40" s="35">
        <f>E34+F34+G34+H34+I34+J34</f>
        <v>1077882.304</v>
      </c>
    </row>
  </sheetData>
  <mergeCells count="10">
    <mergeCell ref="A37:D37"/>
    <mergeCell ref="B3:H3"/>
    <mergeCell ref="B5:H5"/>
    <mergeCell ref="B1:I1"/>
    <mergeCell ref="B6:I6"/>
    <mergeCell ref="A7:J7"/>
    <mergeCell ref="A34:B34"/>
    <mergeCell ref="B4:H4"/>
    <mergeCell ref="A2:J2"/>
    <mergeCell ref="A36:D36"/>
  </mergeCells>
  <phoneticPr fontId="17" type="noConversion"/>
  <pageMargins left="0.51181102362204722" right="0.51181102362204722" top="0.78740157480314965" bottom="0.78740157480314965" header="0.31496062992125984" footer="0.31496062992125984"/>
  <pageSetup paperSize="9" scale="55" fitToWidth="30" fitToHeight="30" orientation="landscape" horizontalDpi="360" verticalDpi="360" r:id="rId1"/>
  <headerFooter>
    <oddFooter>&amp;A&amp;RPágina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Q22"/>
  <sheetViews>
    <sheetView view="pageBreakPreview" zoomScaleNormal="100" zoomScaleSheetLayoutView="100" workbookViewId="0">
      <selection activeCell="D22" sqref="D22"/>
    </sheetView>
  </sheetViews>
  <sheetFormatPr defaultColWidth="9" defaultRowHeight="13.8" x14ac:dyDescent="0.25"/>
  <cols>
    <col min="1" max="1" width="36.3984375" style="156" customWidth="1"/>
    <col min="2" max="2" width="35" style="156" customWidth="1"/>
    <col min="3" max="3" width="14" style="156" customWidth="1"/>
    <col min="4" max="4" width="41.8984375" style="156" bestFit="1" customWidth="1"/>
    <col min="5" max="7" width="9" style="156"/>
    <col min="8" max="8" width="41.8984375" style="156" bestFit="1" customWidth="1"/>
    <col min="9" max="9" width="8.5" style="156" bestFit="1" customWidth="1"/>
    <col min="10" max="10" width="5.59765625" style="156" bestFit="1" customWidth="1"/>
    <col min="11" max="11" width="8.5" style="156" bestFit="1" customWidth="1"/>
    <col min="12" max="16384" width="9" style="156"/>
  </cols>
  <sheetData>
    <row r="2" spans="1:17" ht="51.75" customHeight="1" x14ac:dyDescent="0.25">
      <c r="A2" s="628" t="s">
        <v>229</v>
      </c>
      <c r="B2" s="629"/>
      <c r="C2" s="630"/>
    </row>
    <row r="3" spans="1:17" x14ac:dyDescent="0.25">
      <c r="A3" s="631" t="s">
        <v>230</v>
      </c>
      <c r="B3" s="632"/>
      <c r="C3" s="633"/>
      <c r="H3" s="617" t="s">
        <v>231</v>
      </c>
      <c r="I3" s="618"/>
      <c r="J3" s="618"/>
      <c r="K3" s="618"/>
    </row>
    <row r="4" spans="1:17" x14ac:dyDescent="0.25">
      <c r="A4" s="619"/>
      <c r="B4" s="620"/>
      <c r="C4" s="620"/>
      <c r="D4" s="158" t="s">
        <v>232</v>
      </c>
      <c r="H4" s="159"/>
      <c r="I4" s="159" t="s">
        <v>233</v>
      </c>
      <c r="J4" s="159" t="s">
        <v>234</v>
      </c>
      <c r="K4" s="159" t="s">
        <v>235</v>
      </c>
    </row>
    <row r="5" spans="1:17" x14ac:dyDescent="0.25">
      <c r="A5" s="160" t="s">
        <v>236</v>
      </c>
      <c r="B5" s="204" t="s">
        <v>268</v>
      </c>
      <c r="C5" s="157" t="s">
        <v>238</v>
      </c>
      <c r="D5" s="159" t="s">
        <v>239</v>
      </c>
      <c r="H5" s="159" t="s">
        <v>239</v>
      </c>
      <c r="I5" s="162">
        <v>0.2034</v>
      </c>
      <c r="J5" s="162">
        <v>0.22120000000000001</v>
      </c>
      <c r="K5" s="162">
        <v>0.25</v>
      </c>
    </row>
    <row r="6" spans="1:17" x14ac:dyDescent="0.25">
      <c r="A6" s="621" t="s">
        <v>240</v>
      </c>
      <c r="B6" s="622"/>
      <c r="C6" s="623"/>
      <c r="H6" s="159" t="s">
        <v>241</v>
      </c>
      <c r="I6" s="162">
        <v>0.19600000000000001</v>
      </c>
      <c r="J6" s="162">
        <v>0.2097</v>
      </c>
      <c r="K6" s="162">
        <v>0.24229999999999999</v>
      </c>
    </row>
    <row r="7" spans="1:17" x14ac:dyDescent="0.25">
      <c r="A7" s="163" t="s">
        <v>242</v>
      </c>
      <c r="B7" s="164" t="s">
        <v>243</v>
      </c>
      <c r="C7" s="165">
        <f>D7</f>
        <v>0.03</v>
      </c>
      <c r="D7" s="156">
        <f>IF(D5=H5,I10,IF(D5=H6,I11,I12))</f>
        <v>0.03</v>
      </c>
      <c r="H7" s="159" t="s">
        <v>244</v>
      </c>
      <c r="I7" s="162">
        <v>0.111</v>
      </c>
      <c r="J7" s="162">
        <v>0.14019999999999999</v>
      </c>
      <c r="K7" s="162">
        <v>0.16800000000000001</v>
      </c>
    </row>
    <row r="8" spans="1:17" x14ac:dyDescent="0.25">
      <c r="A8" s="166" t="s">
        <v>245</v>
      </c>
      <c r="B8" s="167" t="s">
        <v>246</v>
      </c>
      <c r="C8" s="165">
        <f t="shared" ref="C8:C10" si="0">D8</f>
        <v>5.8999999999999999E-3</v>
      </c>
      <c r="D8" s="156">
        <f>IF(D5=H5,J10,IF(D5=H6,J11,J12))</f>
        <v>5.8999999999999999E-3</v>
      </c>
    </row>
    <row r="9" spans="1:17" x14ac:dyDescent="0.25">
      <c r="A9" s="166" t="s">
        <v>247</v>
      </c>
      <c r="B9" s="167" t="s">
        <v>248</v>
      </c>
      <c r="C9" s="165">
        <f t="shared" si="0"/>
        <v>9.7000000000000003E-3</v>
      </c>
      <c r="D9" s="156">
        <f>IF(D5=H5,K10,IF(D5=H6,K11,K12))</f>
        <v>9.7000000000000003E-3</v>
      </c>
      <c r="I9" s="168" t="s">
        <v>74</v>
      </c>
      <c r="J9" s="168" t="s">
        <v>75</v>
      </c>
      <c r="K9" s="168" t="s">
        <v>76</v>
      </c>
      <c r="L9" s="168" t="s">
        <v>77</v>
      </c>
      <c r="M9" s="168" t="s">
        <v>37</v>
      </c>
      <c r="N9" s="159"/>
      <c r="O9" s="168" t="s">
        <v>249</v>
      </c>
    </row>
    <row r="10" spans="1:17" x14ac:dyDescent="0.25">
      <c r="A10" s="166" t="s">
        <v>250</v>
      </c>
      <c r="B10" s="167" t="s">
        <v>251</v>
      </c>
      <c r="C10" s="165">
        <f t="shared" si="0"/>
        <v>8.0000000000000002E-3</v>
      </c>
      <c r="D10" s="156">
        <f>IF(D5=H5,L10,IF(D5=H6,L11,L12))</f>
        <v>8.0000000000000002E-3</v>
      </c>
      <c r="H10" s="169" t="s">
        <v>239</v>
      </c>
      <c r="I10" s="162">
        <v>0.03</v>
      </c>
      <c r="J10" s="162">
        <v>5.8999999999999999E-3</v>
      </c>
      <c r="K10" s="162">
        <v>9.7000000000000003E-3</v>
      </c>
      <c r="L10" s="162">
        <v>8.0000000000000002E-3</v>
      </c>
      <c r="M10" s="162">
        <v>6.1600000000000002E-2</v>
      </c>
      <c r="N10" s="159"/>
      <c r="O10" s="162">
        <v>0.2452</v>
      </c>
    </row>
    <row r="11" spans="1:17" x14ac:dyDescent="0.25">
      <c r="A11" s="170"/>
      <c r="B11" s="171"/>
      <c r="C11" s="172"/>
      <c r="H11" s="169" t="s">
        <v>241</v>
      </c>
      <c r="I11" s="162">
        <v>3.7999999999999999E-2</v>
      </c>
      <c r="J11" s="162">
        <v>1.0200000000000001E-2</v>
      </c>
      <c r="K11" s="162">
        <v>5.0000000000000001E-3</v>
      </c>
      <c r="L11" s="162">
        <v>3.2000000000000002E-3</v>
      </c>
      <c r="M11" s="162">
        <v>6.6400000000000001E-2</v>
      </c>
      <c r="N11" s="159"/>
      <c r="O11" s="162">
        <v>0.25440000000000002</v>
      </c>
    </row>
    <row r="12" spans="1:17" x14ac:dyDescent="0.25">
      <c r="A12" s="621" t="s">
        <v>252</v>
      </c>
      <c r="B12" s="622"/>
      <c r="C12" s="623"/>
      <c r="H12" s="169" t="s">
        <v>244</v>
      </c>
      <c r="I12" s="162">
        <v>1.4999999999999999E-2</v>
      </c>
      <c r="J12" s="162">
        <v>8.5000000000000006E-3</v>
      </c>
      <c r="K12" s="162">
        <v>5.5999999999999999E-3</v>
      </c>
      <c r="L12" s="162">
        <v>3.0000000000000001E-3</v>
      </c>
      <c r="M12" s="162">
        <v>3.5000000000000003E-2</v>
      </c>
      <c r="N12" s="159"/>
      <c r="O12" s="162">
        <v>0.16320000000000001</v>
      </c>
      <c r="Q12" s="173" t="s">
        <v>253</v>
      </c>
    </row>
    <row r="13" spans="1:17" x14ac:dyDescent="0.25">
      <c r="A13" s="624" t="s">
        <v>254</v>
      </c>
      <c r="B13" s="626" t="s">
        <v>255</v>
      </c>
      <c r="C13" s="174">
        <f>D13</f>
        <v>6.1600000000000002E-2</v>
      </c>
      <c r="D13" s="156">
        <f>IF(D5=H5,M10,IF(D5=H6,M11,M12))</f>
        <v>6.1600000000000002E-2</v>
      </c>
      <c r="H13" s="173"/>
    </row>
    <row r="14" spans="1:17" x14ac:dyDescent="0.25">
      <c r="A14" s="625"/>
      <c r="B14" s="627"/>
      <c r="C14" s="172"/>
    </row>
    <row r="15" spans="1:17" x14ac:dyDescent="0.25">
      <c r="A15" s="621" t="s">
        <v>256</v>
      </c>
      <c r="B15" s="622"/>
      <c r="C15" s="623"/>
      <c r="D15" s="175">
        <f>SUM(C16:C19)</f>
        <v>0.10149999999999999</v>
      </c>
    </row>
    <row r="16" spans="1:17" ht="14.25" customHeight="1" x14ac:dyDescent="0.25">
      <c r="A16" s="207" t="s">
        <v>276</v>
      </c>
      <c r="B16" s="205" t="s">
        <v>269</v>
      </c>
      <c r="C16" s="165">
        <v>6.4999999999999997E-3</v>
      </c>
    </row>
    <row r="17" spans="1:6" ht="14.25" customHeight="1" x14ac:dyDescent="0.25">
      <c r="A17" s="208" t="s">
        <v>275</v>
      </c>
      <c r="B17" s="206" t="s">
        <v>270</v>
      </c>
      <c r="C17" s="176">
        <v>0.03</v>
      </c>
    </row>
    <row r="18" spans="1:6" ht="14.25" customHeight="1" x14ac:dyDescent="0.25">
      <c r="A18" s="208" t="s">
        <v>274</v>
      </c>
      <c r="B18" s="206" t="s">
        <v>271</v>
      </c>
      <c r="C18" s="176">
        <f>D18</f>
        <v>0.02</v>
      </c>
      <c r="D18" s="156">
        <f>IF(D5=H7,0,2%)</f>
        <v>0.02</v>
      </c>
    </row>
    <row r="19" spans="1:6" ht="19.5" customHeight="1" x14ac:dyDescent="0.25">
      <c r="A19" s="166" t="s">
        <v>273</v>
      </c>
      <c r="B19" s="206" t="s">
        <v>272</v>
      </c>
      <c r="C19" s="177">
        <v>4.4999999999999998E-2</v>
      </c>
      <c r="F19" s="156">
        <f>ROUND(((((1+(C7+C9+C10))*(1+C8)*(1+C13))/(1-D15))-1),4)</f>
        <v>0.2452</v>
      </c>
    </row>
    <row r="20" spans="1:6" x14ac:dyDescent="0.25">
      <c r="A20" s="634"/>
      <c r="B20" s="635"/>
      <c r="C20" s="172"/>
    </row>
    <row r="21" spans="1:6" x14ac:dyDescent="0.25">
      <c r="A21" s="636" t="s">
        <v>257</v>
      </c>
      <c r="B21" s="637"/>
      <c r="C21" s="178">
        <f>F19</f>
        <v>0.2452</v>
      </c>
    </row>
    <row r="22" spans="1:6" ht="165" customHeight="1" x14ac:dyDescent="0.25">
      <c r="A22" s="614" t="s">
        <v>258</v>
      </c>
      <c r="B22" s="615"/>
      <c r="C22" s="616"/>
    </row>
  </sheetData>
  <mergeCells count="12">
    <mergeCell ref="A2:C2"/>
    <mergeCell ref="A3:C3"/>
    <mergeCell ref="A15:C15"/>
    <mergeCell ref="A20:B20"/>
    <mergeCell ref="A21:B21"/>
    <mergeCell ref="A22:C22"/>
    <mergeCell ref="H3:K3"/>
    <mergeCell ref="A4:C4"/>
    <mergeCell ref="A6:C6"/>
    <mergeCell ref="A12:C12"/>
    <mergeCell ref="A13:A14"/>
    <mergeCell ref="B13:B14"/>
  </mergeCells>
  <dataValidations count="1">
    <dataValidation type="list" allowBlank="1" showInputMessage="1" showErrorMessage="1" sqref="D5" xr:uid="{6D7F65F7-65B7-460F-A404-36DAFB6A8334}">
      <formula1>$H$5:$H$7</formula1>
    </dataValidation>
  </dataValidations>
  <pageMargins left="0.51181102362204722" right="0.51181102362204722" top="0.78740157480314965" bottom="0.78740157480314965" header="0.31496062992125984" footer="0.31496062992125984"/>
  <pageSetup paperSize="9" scale="90" orientation="portrait" horizontalDpi="360" verticalDpi="360" r:id="rId1"/>
  <headerFooter>
    <oddFooter>&amp;A&amp;RPágina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C7A96-B9CC-4E19-8743-227BF3E3FDCE}">
  <dimension ref="A2:Q22"/>
  <sheetViews>
    <sheetView view="pageBreakPreview" zoomScale="112" zoomScaleNormal="100" zoomScaleSheetLayoutView="112" workbookViewId="0">
      <selection activeCell="D12" sqref="D12"/>
    </sheetView>
  </sheetViews>
  <sheetFormatPr defaultColWidth="9" defaultRowHeight="13.8" x14ac:dyDescent="0.25"/>
  <cols>
    <col min="1" max="1" width="34.8984375" style="156" customWidth="1"/>
    <col min="2" max="2" width="35" style="156" customWidth="1"/>
    <col min="3" max="3" width="14" style="156" customWidth="1"/>
    <col min="4" max="4" width="41.8984375" style="156" bestFit="1" customWidth="1"/>
    <col min="5" max="7" width="9" style="156"/>
    <col min="8" max="8" width="41.8984375" style="156" bestFit="1" customWidth="1"/>
    <col min="9" max="9" width="8.5" style="156" bestFit="1" customWidth="1"/>
    <col min="10" max="10" width="5.59765625" style="156" bestFit="1" customWidth="1"/>
    <col min="11" max="11" width="8.5" style="156" bestFit="1" customWidth="1"/>
    <col min="12" max="16384" width="9" style="156"/>
  </cols>
  <sheetData>
    <row r="2" spans="1:17" ht="51.75" customHeight="1" x14ac:dyDescent="0.25">
      <c r="A2" s="628" t="s">
        <v>229</v>
      </c>
      <c r="B2" s="629"/>
      <c r="C2" s="630"/>
    </row>
    <row r="3" spans="1:17" x14ac:dyDescent="0.25">
      <c r="A3" s="631" t="s">
        <v>230</v>
      </c>
      <c r="B3" s="632"/>
      <c r="C3" s="633"/>
      <c r="H3" s="617" t="s">
        <v>231</v>
      </c>
      <c r="I3" s="618"/>
      <c r="J3" s="618"/>
      <c r="K3" s="618"/>
    </row>
    <row r="4" spans="1:17" x14ac:dyDescent="0.25">
      <c r="A4" s="619"/>
      <c r="B4" s="620"/>
      <c r="C4" s="620"/>
      <c r="D4" s="158" t="s">
        <v>232</v>
      </c>
      <c r="H4" s="159"/>
      <c r="I4" s="159" t="s">
        <v>233</v>
      </c>
      <c r="J4" s="159" t="s">
        <v>234</v>
      </c>
      <c r="K4" s="159" t="s">
        <v>235</v>
      </c>
    </row>
    <row r="5" spans="1:17" x14ac:dyDescent="0.25">
      <c r="A5" s="160" t="s">
        <v>236</v>
      </c>
      <c r="B5" s="161" t="s">
        <v>237</v>
      </c>
      <c r="C5" s="157" t="s">
        <v>238</v>
      </c>
      <c r="D5" s="159" t="s">
        <v>244</v>
      </c>
      <c r="H5" s="159" t="s">
        <v>239</v>
      </c>
      <c r="I5" s="162">
        <v>0.2034</v>
      </c>
      <c r="J5" s="162">
        <v>0.22120000000000001</v>
      </c>
      <c r="K5" s="162">
        <v>0.25</v>
      </c>
    </row>
    <row r="6" spans="1:17" x14ac:dyDescent="0.25">
      <c r="A6" s="621" t="s">
        <v>240</v>
      </c>
      <c r="B6" s="622"/>
      <c r="C6" s="623"/>
      <c r="H6" s="159" t="s">
        <v>241</v>
      </c>
      <c r="I6" s="162">
        <v>0.19600000000000001</v>
      </c>
      <c r="J6" s="162">
        <v>0.2097</v>
      </c>
      <c r="K6" s="162">
        <v>0.24229999999999999</v>
      </c>
    </row>
    <row r="7" spans="1:17" x14ac:dyDescent="0.25">
      <c r="A7" s="163" t="s">
        <v>242</v>
      </c>
      <c r="B7" s="164" t="s">
        <v>243</v>
      </c>
      <c r="C7" s="165">
        <f>D7</f>
        <v>1.4999999999999999E-2</v>
      </c>
      <c r="D7" s="156">
        <f>IF(D5=H5,I10,IF(D5=H6,I11,I12))</f>
        <v>1.4999999999999999E-2</v>
      </c>
      <c r="H7" s="159" t="s">
        <v>244</v>
      </c>
      <c r="I7" s="162">
        <v>0.111</v>
      </c>
      <c r="J7" s="162">
        <v>0.14019999999999999</v>
      </c>
      <c r="K7" s="162">
        <v>0.16800000000000001</v>
      </c>
    </row>
    <row r="8" spans="1:17" x14ac:dyDescent="0.25">
      <c r="A8" s="166" t="s">
        <v>245</v>
      </c>
      <c r="B8" s="167" t="s">
        <v>246</v>
      </c>
      <c r="C8" s="165">
        <f t="shared" ref="C8:C10" si="0">D8</f>
        <v>8.5000000000000006E-3</v>
      </c>
      <c r="D8" s="156">
        <f>IF(D5=H5,J10,IF(D5=H6,J11,J12))</f>
        <v>8.5000000000000006E-3</v>
      </c>
    </row>
    <row r="9" spans="1:17" x14ac:dyDescent="0.25">
      <c r="A9" s="166" t="s">
        <v>247</v>
      </c>
      <c r="B9" s="167" t="s">
        <v>248</v>
      </c>
      <c r="C9" s="165">
        <f t="shared" si="0"/>
        <v>5.5999999999999999E-3</v>
      </c>
      <c r="D9" s="156">
        <f>IF(D5=H5,K10,IF(D5=H6,K11,K12))</f>
        <v>5.5999999999999999E-3</v>
      </c>
      <c r="I9" s="168" t="s">
        <v>74</v>
      </c>
      <c r="J9" s="168" t="s">
        <v>75</v>
      </c>
      <c r="K9" s="168" t="s">
        <v>76</v>
      </c>
      <c r="L9" s="168" t="s">
        <v>77</v>
      </c>
      <c r="M9" s="168" t="s">
        <v>37</v>
      </c>
      <c r="N9" s="159"/>
      <c r="O9" s="168" t="s">
        <v>249</v>
      </c>
    </row>
    <row r="10" spans="1:17" x14ac:dyDescent="0.25">
      <c r="A10" s="166" t="s">
        <v>250</v>
      </c>
      <c r="B10" s="167" t="s">
        <v>251</v>
      </c>
      <c r="C10" s="165">
        <f t="shared" si="0"/>
        <v>3.0000000000000001E-3</v>
      </c>
      <c r="D10" s="156">
        <f>IF(D5=H5,L10,IF(D5=H6,L11,L12))</f>
        <v>3.0000000000000001E-3</v>
      </c>
      <c r="H10" s="169" t="s">
        <v>239</v>
      </c>
      <c r="I10" s="162">
        <v>0.03</v>
      </c>
      <c r="J10" s="162">
        <v>5.8999999999999999E-3</v>
      </c>
      <c r="K10" s="162">
        <v>9.7000000000000003E-3</v>
      </c>
      <c r="L10" s="162">
        <v>8.0000000000000002E-3</v>
      </c>
      <c r="M10" s="162">
        <v>6.1600000000000002E-2</v>
      </c>
      <c r="N10" s="159"/>
      <c r="O10" s="162">
        <v>0.2452</v>
      </c>
    </row>
    <row r="11" spans="1:17" x14ac:dyDescent="0.25">
      <c r="A11" s="170"/>
      <c r="B11" s="171"/>
      <c r="C11" s="172"/>
      <c r="H11" s="169" t="s">
        <v>241</v>
      </c>
      <c r="I11" s="162">
        <v>3.7999999999999999E-2</v>
      </c>
      <c r="J11" s="162">
        <v>1.0200000000000001E-2</v>
      </c>
      <c r="K11" s="162">
        <v>5.0000000000000001E-3</v>
      </c>
      <c r="L11" s="162">
        <v>3.2000000000000002E-3</v>
      </c>
      <c r="M11" s="162">
        <v>6.6400000000000001E-2</v>
      </c>
      <c r="N11" s="159"/>
      <c r="O11" s="162">
        <v>0.25440000000000002</v>
      </c>
    </row>
    <row r="12" spans="1:17" x14ac:dyDescent="0.25">
      <c r="A12" s="621" t="s">
        <v>252</v>
      </c>
      <c r="B12" s="622"/>
      <c r="C12" s="623"/>
      <c r="H12" s="169" t="s">
        <v>244</v>
      </c>
      <c r="I12" s="162">
        <v>1.4999999999999999E-2</v>
      </c>
      <c r="J12" s="162">
        <v>8.5000000000000006E-3</v>
      </c>
      <c r="K12" s="162">
        <v>5.5999999999999999E-3</v>
      </c>
      <c r="L12" s="162">
        <v>3.0000000000000001E-3</v>
      </c>
      <c r="M12" s="162">
        <v>3.5000000000000003E-2</v>
      </c>
      <c r="N12" s="159"/>
      <c r="O12" s="162">
        <v>0.16320000000000001</v>
      </c>
      <c r="Q12" s="173" t="s">
        <v>253</v>
      </c>
    </row>
    <row r="13" spans="1:17" x14ac:dyDescent="0.25">
      <c r="A13" s="624" t="s">
        <v>254</v>
      </c>
      <c r="B13" s="626" t="s">
        <v>255</v>
      </c>
      <c r="C13" s="174">
        <f>D13</f>
        <v>3.5000000000000003E-2</v>
      </c>
      <c r="D13" s="156">
        <f>IF(D5=H5,M10,IF(D5=H6,M11,M12))</f>
        <v>3.5000000000000003E-2</v>
      </c>
      <c r="H13" s="173"/>
    </row>
    <row r="14" spans="1:17" x14ac:dyDescent="0.25">
      <c r="A14" s="625"/>
      <c r="B14" s="627"/>
      <c r="C14" s="172"/>
    </row>
    <row r="15" spans="1:17" x14ac:dyDescent="0.25">
      <c r="A15" s="621" t="s">
        <v>256</v>
      </c>
      <c r="B15" s="622"/>
      <c r="C15" s="623"/>
      <c r="D15" s="175">
        <f>SUM(C16:C19)</f>
        <v>8.1499999999999989E-2</v>
      </c>
    </row>
    <row r="16" spans="1:17" ht="14.25" customHeight="1" x14ac:dyDescent="0.25">
      <c r="A16" s="207" t="s">
        <v>276</v>
      </c>
      <c r="B16" s="205" t="s">
        <v>269</v>
      </c>
      <c r="C16" s="165">
        <v>6.4999999999999997E-3</v>
      </c>
    </row>
    <row r="17" spans="1:6" ht="14.25" customHeight="1" x14ac:dyDescent="0.25">
      <c r="A17" s="208" t="s">
        <v>277</v>
      </c>
      <c r="B17" s="206" t="s">
        <v>270</v>
      </c>
      <c r="C17" s="176">
        <v>0.03</v>
      </c>
    </row>
    <row r="18" spans="1:6" ht="14.25" customHeight="1" x14ac:dyDescent="0.25">
      <c r="A18" s="208" t="s">
        <v>274</v>
      </c>
      <c r="B18" s="206" t="s">
        <v>271</v>
      </c>
      <c r="C18" s="176">
        <f>D18</f>
        <v>0</v>
      </c>
      <c r="D18" s="156">
        <f>IF(D5=H7,0,2%)</f>
        <v>0</v>
      </c>
    </row>
    <row r="19" spans="1:6" ht="17.25" customHeight="1" x14ac:dyDescent="0.25">
      <c r="A19" s="166" t="s">
        <v>273</v>
      </c>
      <c r="B19" s="206" t="s">
        <v>279</v>
      </c>
      <c r="C19" s="177">
        <v>4.4999999999999998E-2</v>
      </c>
      <c r="F19" s="156">
        <f>ROUND(((((1+(C7+C9+C10))*(1+C8)*(1+C13))/(1-D15))-1),4)</f>
        <v>0.16320000000000001</v>
      </c>
    </row>
    <row r="20" spans="1:6" x14ac:dyDescent="0.25">
      <c r="A20" s="634"/>
      <c r="B20" s="635"/>
      <c r="C20" s="172"/>
    </row>
    <row r="21" spans="1:6" x14ac:dyDescent="0.25">
      <c r="A21" s="636" t="s">
        <v>257</v>
      </c>
      <c r="B21" s="637"/>
      <c r="C21" s="178">
        <f>F19</f>
        <v>0.16320000000000001</v>
      </c>
    </row>
    <row r="22" spans="1:6" ht="165" customHeight="1" x14ac:dyDescent="0.25">
      <c r="A22" s="614" t="s">
        <v>258</v>
      </c>
      <c r="B22" s="615"/>
      <c r="C22" s="616"/>
    </row>
  </sheetData>
  <mergeCells count="12">
    <mergeCell ref="A12:C12"/>
    <mergeCell ref="A2:C2"/>
    <mergeCell ref="A3:C3"/>
    <mergeCell ref="H3:K3"/>
    <mergeCell ref="A4:C4"/>
    <mergeCell ref="A6:C6"/>
    <mergeCell ref="A20:B20"/>
    <mergeCell ref="A21:B21"/>
    <mergeCell ref="A22:C22"/>
    <mergeCell ref="A13:A14"/>
    <mergeCell ref="B13:B14"/>
    <mergeCell ref="A15:C15"/>
  </mergeCells>
  <dataValidations count="1">
    <dataValidation type="list" allowBlank="1" showInputMessage="1" showErrorMessage="1" sqref="D5" xr:uid="{BB4E8CE6-E1F1-42F4-B268-DE0C4B45C54E}">
      <formula1>$H$5:$H$7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9</vt:i4>
      </vt:variant>
    </vt:vector>
  </HeadingPairs>
  <TitlesOfParts>
    <vt:vector size="15" baseType="lpstr">
      <vt:lpstr>ORÇAMENTO</vt:lpstr>
      <vt:lpstr>Memória de Cálculo</vt:lpstr>
      <vt:lpstr>Composições</vt:lpstr>
      <vt:lpstr>Cromograma Fisico Financeiro</vt:lpstr>
      <vt:lpstr>BDI</vt:lpstr>
      <vt:lpstr>BDI - II</vt:lpstr>
      <vt:lpstr>BDI!Area_de_impressao</vt:lpstr>
      <vt:lpstr>'BDI - II'!Area_de_impressao</vt:lpstr>
      <vt:lpstr>Composições!Area_de_impressao</vt:lpstr>
      <vt:lpstr>'Cromograma Fisico Financeiro'!Area_de_impressao</vt:lpstr>
      <vt:lpstr>'Memória de Cálculo'!Area_de_impressao</vt:lpstr>
      <vt:lpstr>ORÇAMENTO!Area_de_impressao</vt:lpstr>
      <vt:lpstr>Composições!Titulos_de_impressao</vt:lpstr>
      <vt:lpstr>'Memória de Cálculo'!Titulos_de_impressao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Mariana Silva</cp:lastModifiedBy>
  <cp:revision>0</cp:revision>
  <cp:lastPrinted>2026-03-11T15:36:23Z</cp:lastPrinted>
  <dcterms:created xsi:type="dcterms:W3CDTF">2021-09-21T18:09:13Z</dcterms:created>
  <dcterms:modified xsi:type="dcterms:W3CDTF">2026-03-11T15:36:43Z</dcterms:modified>
</cp:coreProperties>
</file>