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2.bin" ContentType="application/vnd.openxmlformats-officedocument.oleObject"/>
  <Override PartName="/xl/drawings/drawing4.xml" ContentType="application/vnd.openxmlformats-officedocument.drawing+xml"/>
  <Override PartName="/xl/embeddings/oleObject3.bin" ContentType="application/vnd.openxmlformats-officedocument.oleObject"/>
  <Override PartName="/xl/drawings/drawing5.xml" ContentType="application/vnd.openxmlformats-officedocument.drawing+xml"/>
  <Override PartName="/xl/embeddings/oleObject4.bin" ContentType="application/vnd.openxmlformats-officedocument.oleObject"/>
  <Override PartName="/xl/drawings/drawing6.xml" ContentType="application/vnd.openxmlformats-officedocument.drawing+xml"/>
  <Override PartName="/xl/embeddings/oleObject5.bin" ContentType="application/vnd.openxmlformats-officedocument.oleObject"/>
  <Override PartName="/xl/drawings/drawing7.xml" ContentType="application/vnd.openxmlformats-officedocument.drawing+xml"/>
  <Override PartName="/xl/embeddings/oleObject6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24226"/>
  <xr:revisionPtr revIDLastSave="0" documentId="13_ncr:1_{9DD631F3-7176-41CE-A65F-0C348C527E06}" xr6:coauthVersionLast="47" xr6:coauthVersionMax="47" xr10:uidLastSave="{00000000-0000-0000-0000-000000000000}"/>
  <bookViews>
    <workbookView xWindow="-108" yWindow="-108" windowWidth="23256" windowHeight="12456" tabRatio="521" firstSheet="11" activeTab="11" xr2:uid="{00000000-000D-0000-FFFF-FFFF00000000}"/>
  </bookViews>
  <sheets>
    <sheet name="BDI_EDIFICACOES_26,53%_COM" sheetId="65" state="hidden" r:id="rId1"/>
    <sheet name="(ORÇAMENTO GERAL)" sheetId="54" state="hidden" r:id="rId2"/>
    <sheet name="ORÇAMENTO" sheetId="82" r:id="rId3"/>
    <sheet name="MEMÓRIA" sheetId="83" r:id="rId4"/>
    <sheet name="CRONOGRAMA" sheetId="8" r:id="rId5"/>
    <sheet name="QCI (2)" sheetId="88" state="hidden" r:id="rId6"/>
    <sheet name="COMPOSIÇÕES" sheetId="39" r:id="rId7"/>
    <sheet name="COTAÇÃO" sheetId="57" state="hidden" r:id="rId8"/>
    <sheet name="BDI_EDIFICACOES_20,50%_SEM" sheetId="64" r:id="rId9"/>
    <sheet name="BDI_PRAÇAS_SEM_NOVA_CPRB_20%" sheetId="56" state="hidden" r:id="rId10"/>
    <sheet name="BDI_FORNECIMENTO_11,10%_SEM" sheetId="74" r:id="rId11"/>
    <sheet name="_RESUMO COMPARATIVO_" sheetId="26" r:id="rId12"/>
    <sheet name="COMP_ENCARGOS_SOCIAIS_SEM_D" sheetId="85" r:id="rId13"/>
    <sheet name="CURVA ABC" sheetId="86" r:id="rId14"/>
    <sheet name="QCI" sheetId="87" r:id="rId15"/>
    <sheet name="ETP" sheetId="89" r:id="rId16"/>
    <sheet name="BDI_FORNECIMENTO_16,32%_COM" sheetId="75" state="hidden" r:id="rId17"/>
    <sheet name="BDI_PRAÇAS_COM_NOVA_CPRB_26,01%" sheetId="55" state="hidden" r:id="rId18"/>
  </sheets>
  <externalReferences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</externalReferences>
  <definedNames>
    <definedName name="\d">#N/A</definedName>
    <definedName name="\f">#N/A</definedName>
    <definedName name="\p">#N/A</definedName>
    <definedName name="__123Graph_A" localSheetId="8" hidden="1">#REF!</definedName>
    <definedName name="__123Graph_A" localSheetId="0" hidden="1">#REF!</definedName>
    <definedName name="__123Graph_A" localSheetId="10" hidden="1">#REF!</definedName>
    <definedName name="__123Graph_A" localSheetId="16" hidden="1">#REF!</definedName>
    <definedName name="__123Graph_A" localSheetId="17" hidden="1">#REF!</definedName>
    <definedName name="__123Graph_A" localSheetId="9" hidden="1">#REF!</definedName>
    <definedName name="__123Graph_A" localSheetId="6" hidden="1">#REF!</definedName>
    <definedName name="__123Graph_A" localSheetId="7" hidden="1">#REF!</definedName>
    <definedName name="__123Graph_A" hidden="1">#REF!</definedName>
    <definedName name="__123Graph_B" localSheetId="8" hidden="1">#REF!</definedName>
    <definedName name="__123Graph_B" localSheetId="0" hidden="1">#REF!</definedName>
    <definedName name="__123Graph_B" localSheetId="10" hidden="1">#REF!</definedName>
    <definedName name="__123Graph_B" localSheetId="16" hidden="1">#REF!</definedName>
    <definedName name="__123Graph_B" localSheetId="6" hidden="1">#REF!</definedName>
    <definedName name="__123Graph_B" localSheetId="7" hidden="1">#REF!</definedName>
    <definedName name="__123Graph_B" hidden="1">#REF!</definedName>
    <definedName name="__123Graph_C" localSheetId="8" hidden="1">#REF!</definedName>
    <definedName name="__123Graph_C" localSheetId="0" hidden="1">#REF!</definedName>
    <definedName name="__123Graph_C" localSheetId="10" hidden="1">#REF!</definedName>
    <definedName name="__123Graph_C" localSheetId="16" hidden="1">#REF!</definedName>
    <definedName name="__123Graph_C" localSheetId="6" hidden="1">#REF!</definedName>
    <definedName name="__123Graph_C" localSheetId="7" hidden="1">#REF!</definedName>
    <definedName name="__123Graph_C" hidden="1">#REF!</definedName>
    <definedName name="__123Graph_D" hidden="1">'[1]Etapa Única'!$C$125:$C$134</definedName>
    <definedName name="__123Graph_E" hidden="1">'[1]Etapa Única'!$E$125:$E$134</definedName>
    <definedName name="__123Graph_X" localSheetId="8" hidden="1">#REF!</definedName>
    <definedName name="__123Graph_X" localSheetId="0" hidden="1">#REF!</definedName>
    <definedName name="__123Graph_X" localSheetId="10" hidden="1">#REF!</definedName>
    <definedName name="__123Graph_X" localSheetId="16" hidden="1">#REF!</definedName>
    <definedName name="__123Graph_X" localSheetId="17" hidden="1">#REF!</definedName>
    <definedName name="__123Graph_X" localSheetId="9" hidden="1">#REF!</definedName>
    <definedName name="__123Graph_X" localSheetId="6" hidden="1">#REF!</definedName>
    <definedName name="__123Graph_X" localSheetId="7" hidden="1">#REF!</definedName>
    <definedName name="__123Graph_X" hidden="1">#REF!</definedName>
    <definedName name="_BSADJ">#REF!</definedName>
    <definedName name="_BSTGT">#REF!</definedName>
    <definedName name="_Fill" hidden="1">#REF!</definedName>
    <definedName name="_IND1">#REF!</definedName>
    <definedName name="_IND2">#REF!</definedName>
    <definedName name="_Key1" localSheetId="17" hidden="1">#REF!</definedName>
    <definedName name="_Key1" localSheetId="9" hidden="1">#REF!</definedName>
    <definedName name="_Key1" localSheetId="7" hidden="1">#REF!</definedName>
    <definedName name="_Key1" hidden="1">#REF!</definedName>
    <definedName name="_Key2" localSheetId="17" hidden="1">#REF!</definedName>
    <definedName name="_Key2" localSheetId="9" hidden="1">#REF!</definedName>
    <definedName name="_Key2" hidden="1">#REF!</definedName>
    <definedName name="_MM" localSheetId="8" hidden="1">#REF!</definedName>
    <definedName name="_MM" localSheetId="0" hidden="1">#REF!</definedName>
    <definedName name="_MM" localSheetId="10" hidden="1">#REF!</definedName>
    <definedName name="_MM" localSheetId="16" hidden="1">#REF!</definedName>
    <definedName name="_MM" localSheetId="6" hidden="1">#REF!</definedName>
    <definedName name="_MM" localSheetId="7" hidden="1">#REF!</definedName>
    <definedName name="_MM" hidden="1">#REF!</definedName>
    <definedName name="_Order1" hidden="1">255</definedName>
    <definedName name="_Order2" hidden="1">255</definedName>
    <definedName name="_Sort" localSheetId="8" hidden="1">#REF!</definedName>
    <definedName name="_Sort" localSheetId="0" hidden="1">#REF!</definedName>
    <definedName name="_Sort" localSheetId="10" hidden="1">#REF!</definedName>
    <definedName name="_Sort" localSheetId="16" hidden="1">#REF!</definedName>
    <definedName name="_Sort" localSheetId="17" hidden="1">#REF!</definedName>
    <definedName name="_Sort" localSheetId="9" hidden="1">#REF!</definedName>
    <definedName name="_Sort" localSheetId="7" hidden="1">#REF!</definedName>
    <definedName name="_Sort" hidden="1">#REF!</definedName>
    <definedName name="a">#REF!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RE" localSheetId="17" hidden="1">#REF!</definedName>
    <definedName name="ACRE" localSheetId="9" hidden="1">#REF!</definedName>
    <definedName name="ACRE" hidden="1">#REF!</definedName>
    <definedName name="ademir" localSheetId="8" hidden="1">{#N/A,#N/A,FALSE,"Cronograma";#N/A,#N/A,FALSE,"Cronogr. 2"}</definedName>
    <definedName name="ademir" localSheetId="0" hidden="1">{#N/A,#N/A,FALSE,"Cronograma";#N/A,#N/A,FALSE,"Cronogr. 2"}</definedName>
    <definedName name="ademir" localSheetId="10" hidden="1">{#N/A,#N/A,FALSE,"Cronograma";#N/A,#N/A,FALSE,"Cronogr. 2"}</definedName>
    <definedName name="ademir" localSheetId="16" hidden="1">{#N/A,#N/A,FALSE,"Cronograma";#N/A,#N/A,FALSE,"Cronogr. 2"}</definedName>
    <definedName name="ademir" localSheetId="17" hidden="1">{#N/A,#N/A,FALSE,"Cronograma";#N/A,#N/A,FALSE,"Cronogr. 2"}</definedName>
    <definedName name="ademir" localSheetId="9" hidden="1">{#N/A,#N/A,FALSE,"Cronograma";#N/A,#N/A,FALSE,"Cronogr. 2"}</definedName>
    <definedName name="ademir" localSheetId="12" hidden="1">{#N/A,#N/A,FALSE,"Cronograma";#N/A,#N/A,FALSE,"Cronogr. 2"}</definedName>
    <definedName name="ademir" localSheetId="7" hidden="1">{#N/A,#N/A,FALSE,"Cronograma";#N/A,#N/A,FALSE,"Cronogr. 2"}</definedName>
    <definedName name="ademir" localSheetId="14" hidden="1">{#N/A,#N/A,FALSE,"Cronograma";#N/A,#N/A,FALSE,"Cronogr. 2"}</definedName>
    <definedName name="ademir" localSheetId="5" hidden="1">{#N/A,#N/A,FALSE,"Cronograma";#N/A,#N/A,FALSE,"Cronogr. 2"}</definedName>
    <definedName name="ademir" hidden="1">{#N/A,#N/A,FALSE,"Cronograma";#N/A,#N/A,FALSE,"Cronogr. 2"}</definedName>
    <definedName name="_xlnm.Print_Area" localSheetId="1">'(ORÇAMENTO GERAL)'!$A$1:$Q$405</definedName>
    <definedName name="_xlnm.Print_Area" localSheetId="11">'_RESUMO COMPARATIVO_'!$A$1:$D$17</definedName>
    <definedName name="_xlnm.Print_Area" localSheetId="8">'BDI_EDIFICACOES_20,50%_SEM'!$B$2:$D$38</definedName>
    <definedName name="_xlnm.Print_Area" localSheetId="0">'BDI_EDIFICACOES_26,53%_COM'!$B$2:$D$44</definedName>
    <definedName name="_xlnm.Print_Area" localSheetId="10">'BDI_FORNECIMENTO_11,10%_SEM'!$B$2:$D$38</definedName>
    <definedName name="_xlnm.Print_Area" localSheetId="16">'BDI_FORNECIMENTO_16,32%_COM'!$B$2:$D$38</definedName>
    <definedName name="_xlnm.Print_Area" localSheetId="17">'BDI_PRAÇAS_COM_NOVA_CPRB_26,01%'!$B$2:$D$45</definedName>
    <definedName name="_xlnm.Print_Area" localSheetId="9">'BDI_PRAÇAS_SEM_NOVA_CPRB_20%'!$B$2:$D$45</definedName>
    <definedName name="_xlnm.Print_Area" localSheetId="6">COMPOSIÇÕES!$A$1:$K$159</definedName>
    <definedName name="_xlnm.Print_Area" localSheetId="7">COTAÇÃO!$A$1:$K$18</definedName>
    <definedName name="_xlnm.Print_Area" localSheetId="4">CRONOGRAMA!$A$1:$I$55</definedName>
    <definedName name="_xlnm.Print_Area" localSheetId="13">'CURVA ABC'!$A$1:$Q$93</definedName>
    <definedName name="_xlnm.Print_Area" localSheetId="15">ETP!$A$1:$C$112</definedName>
    <definedName name="_xlnm.Print_Area" localSheetId="3">MEMÓRIA!$A$1:$H$399</definedName>
    <definedName name="_xlnm.Print_Area" localSheetId="2">ORÇAMENTO!$A$1:$I$118</definedName>
    <definedName name="_xlnm.Print_Area" localSheetId="14">QCI!$A$1:$E$24</definedName>
    <definedName name="_xlnm.Print_Area" localSheetId="5">'QCI (2)'!$A$1:$E$15</definedName>
    <definedName name="Área_impressão_IM">#REF!</definedName>
    <definedName name="Área_impressão_IM2">#REF!</definedName>
    <definedName name="AreaTeste" localSheetId="11">#REF!</definedName>
    <definedName name="AreaTeste" localSheetId="17">#REF!</definedName>
    <definedName name="AreaTeste" localSheetId="9">#REF!</definedName>
    <definedName name="AreaTeste" localSheetId="7">#REF!</definedName>
    <definedName name="AreaTeste" localSheetId="14">#REF!</definedName>
    <definedName name="AreaTeste" localSheetId="5">#REF!</definedName>
    <definedName name="AreaTeste">#REF!</definedName>
    <definedName name="AreaTeste2" localSheetId="11">#REF!</definedName>
    <definedName name="AreaTeste2" localSheetId="17">#REF!</definedName>
    <definedName name="AreaTeste2" localSheetId="9">#REF!</definedName>
    <definedName name="AreaTeste2" localSheetId="14">#REF!</definedName>
    <definedName name="AreaTeste2" localSheetId="5">#REF!</definedName>
    <definedName name="AreaTeste2">#REF!</definedName>
    <definedName name="_xlnm.Database">#REF!</definedName>
    <definedName name="bdi">#REF!</definedName>
    <definedName name="BDIlds">'[2]LIGAÇÕES DOMICILIARES (SER)'!$K$13</definedName>
    <definedName name="BDIm">#REF!</definedName>
    <definedName name="BDIs">[3]Serv!$I$11</definedName>
    <definedName name="bosta" localSheetId="8" hidden="1">{#N/A,#N/A,FALSE,"Cronograma";#N/A,#N/A,FALSE,"Cronogr. 2"}</definedName>
    <definedName name="bosta" localSheetId="0" hidden="1">{#N/A,#N/A,FALSE,"Cronograma";#N/A,#N/A,FALSE,"Cronogr. 2"}</definedName>
    <definedName name="bosta" localSheetId="10" hidden="1">{#N/A,#N/A,FALSE,"Cronograma";#N/A,#N/A,FALSE,"Cronogr. 2"}</definedName>
    <definedName name="bosta" localSheetId="16" hidden="1">{#N/A,#N/A,FALSE,"Cronograma";#N/A,#N/A,FALSE,"Cronogr. 2"}</definedName>
    <definedName name="bosta" localSheetId="17" hidden="1">{#N/A,#N/A,FALSE,"Cronograma";#N/A,#N/A,FALSE,"Cronogr. 2"}</definedName>
    <definedName name="bosta" localSheetId="9" hidden="1">{#N/A,#N/A,FALSE,"Cronograma";#N/A,#N/A,FALSE,"Cronogr. 2"}</definedName>
    <definedName name="bosta" localSheetId="12" hidden="1">{#N/A,#N/A,FALSE,"Cronograma";#N/A,#N/A,FALSE,"Cronogr. 2"}</definedName>
    <definedName name="bosta" localSheetId="7" hidden="1">{#N/A,#N/A,FALSE,"Cronograma";#N/A,#N/A,FALSE,"Cronogr. 2"}</definedName>
    <definedName name="bosta" localSheetId="14" hidden="1">{#N/A,#N/A,FALSE,"Cronograma";#N/A,#N/A,FALSE,"Cronogr. 2"}</definedName>
    <definedName name="bosta" localSheetId="5" hidden="1">{#N/A,#N/A,FALSE,"Cronograma";#N/A,#N/A,FALSE,"Cronogr. 2"}</definedName>
    <definedName name="bosta" hidden="1">{#N/A,#N/A,FALSE,"Cronograma";#N/A,#N/A,FALSE,"Cronogr. 2"}</definedName>
    <definedName name="CA´L" localSheetId="8" hidden="1">{#N/A,#N/A,FALSE,"Cronograma";#N/A,#N/A,FALSE,"Cronogr. 2"}</definedName>
    <definedName name="CA´L" localSheetId="0" hidden="1">{#N/A,#N/A,FALSE,"Cronograma";#N/A,#N/A,FALSE,"Cronogr. 2"}</definedName>
    <definedName name="CA´L" localSheetId="10" hidden="1">{#N/A,#N/A,FALSE,"Cronograma";#N/A,#N/A,FALSE,"Cronogr. 2"}</definedName>
    <definedName name="CA´L" localSheetId="16" hidden="1">{#N/A,#N/A,FALSE,"Cronograma";#N/A,#N/A,FALSE,"Cronogr. 2"}</definedName>
    <definedName name="CA´L" localSheetId="17" hidden="1">{#N/A,#N/A,FALSE,"Cronograma";#N/A,#N/A,FALSE,"Cronogr. 2"}</definedName>
    <definedName name="CA´L" localSheetId="9" hidden="1">{#N/A,#N/A,FALSE,"Cronograma";#N/A,#N/A,FALSE,"Cronogr. 2"}</definedName>
    <definedName name="CA´L" localSheetId="12" hidden="1">{#N/A,#N/A,FALSE,"Cronograma";#N/A,#N/A,FALSE,"Cronogr. 2"}</definedName>
    <definedName name="CA´L" localSheetId="7" hidden="1">{#N/A,#N/A,FALSE,"Cronograma";#N/A,#N/A,FALSE,"Cronogr. 2"}</definedName>
    <definedName name="CA´L" localSheetId="14" hidden="1">{#N/A,#N/A,FALSE,"Cronograma";#N/A,#N/A,FALSE,"Cronogr. 2"}</definedName>
    <definedName name="CA´L" localSheetId="5" hidden="1">{#N/A,#N/A,FALSE,"Cronograma";#N/A,#N/A,FALSE,"Cronogr. 2"}</definedName>
    <definedName name="CA´L" hidden="1">{#N/A,#N/A,FALSE,"Cronograma";#N/A,#N/A,FALSE,"Cronogr. 2"}</definedName>
    <definedName name="cb">#REF!</definedName>
    <definedName name="ccc">#REF!</definedName>
    <definedName name="CélulaInicioPlanilha" localSheetId="11">#REF!</definedName>
    <definedName name="CélulaInicioPlanilha" localSheetId="17">#REF!</definedName>
    <definedName name="CélulaInicioPlanilha" localSheetId="9">#REF!</definedName>
    <definedName name="CélulaInicioPlanilha" localSheetId="7">#REF!</definedName>
    <definedName name="CélulaInicioPlanilha" localSheetId="14">#REF!</definedName>
    <definedName name="CélulaInicioPlanilha" localSheetId="5">#REF!</definedName>
    <definedName name="CélulaInicioPlanilha">#REF!</definedName>
    <definedName name="CélulaResumo" localSheetId="11">#REF!</definedName>
    <definedName name="CélulaResumo" localSheetId="17">#REF!</definedName>
    <definedName name="CélulaResumo" localSheetId="9">#REF!</definedName>
    <definedName name="CélulaResumo" localSheetId="14">#REF!</definedName>
    <definedName name="CélulaResumo" localSheetId="5">#REF!</definedName>
    <definedName name="CélulaResumo">#REF!</definedName>
    <definedName name="cer">#REF!</definedName>
    <definedName name="COM">#REF!</definedName>
    <definedName name="concorrentes" localSheetId="8" hidden="1">{#N/A,#N/A,FALSE,"Cronograma";#N/A,#N/A,FALSE,"Cronogr. 2"}</definedName>
    <definedName name="concorrentes" localSheetId="0" hidden="1">{#N/A,#N/A,FALSE,"Cronograma";#N/A,#N/A,FALSE,"Cronogr. 2"}</definedName>
    <definedName name="concorrentes" localSheetId="10" hidden="1">{#N/A,#N/A,FALSE,"Cronograma";#N/A,#N/A,FALSE,"Cronogr. 2"}</definedName>
    <definedName name="concorrentes" localSheetId="16" hidden="1">{#N/A,#N/A,FALSE,"Cronograma";#N/A,#N/A,FALSE,"Cronogr. 2"}</definedName>
    <definedName name="concorrentes" localSheetId="17" hidden="1">{#N/A,#N/A,FALSE,"Cronograma";#N/A,#N/A,FALSE,"Cronogr. 2"}</definedName>
    <definedName name="concorrentes" localSheetId="9" hidden="1">{#N/A,#N/A,FALSE,"Cronograma";#N/A,#N/A,FALSE,"Cronogr. 2"}</definedName>
    <definedName name="concorrentes" localSheetId="12" hidden="1">{#N/A,#N/A,FALSE,"Cronograma";#N/A,#N/A,FALSE,"Cronogr. 2"}</definedName>
    <definedName name="concorrentes" localSheetId="7" hidden="1">{#N/A,#N/A,FALSE,"Cronograma";#N/A,#N/A,FALSE,"Cronogr. 2"}</definedName>
    <definedName name="concorrentes" localSheetId="14" hidden="1">{#N/A,#N/A,FALSE,"Cronograma";#N/A,#N/A,FALSE,"Cronogr. 2"}</definedName>
    <definedName name="concorrentes" localSheetId="5" hidden="1">{#N/A,#N/A,FALSE,"Cronograma";#N/A,#N/A,FALSE,"Cronogr. 2"}</definedName>
    <definedName name="concorrentes" hidden="1">{#N/A,#N/A,FALSE,"Cronograma";#N/A,#N/A,FALSE,"Cronogr. 2"}</definedName>
    <definedName name="_xlnm.Criteria">#REF!</definedName>
    <definedName name="CRITERIOS2">#REF!</definedName>
    <definedName name="dssds">#REF!</definedName>
    <definedName name="Exist">#REF!</definedName>
    <definedName name="F" localSheetId="8" hidden="1">#REF!</definedName>
    <definedName name="F" localSheetId="0" hidden="1">#REF!</definedName>
    <definedName name="F" localSheetId="10" hidden="1">#REF!</definedName>
    <definedName name="F" localSheetId="16" hidden="1">#REF!</definedName>
    <definedName name="F" localSheetId="17" hidden="1">#REF!</definedName>
    <definedName name="F" localSheetId="9" hidden="1">#REF!</definedName>
    <definedName name="F" localSheetId="6" hidden="1">#REF!</definedName>
    <definedName name="F" localSheetId="7" hidden="1">#REF!</definedName>
    <definedName name="F" hidden="1">#REF!</definedName>
    <definedName name="fdfd" localSheetId="11">#REF!</definedName>
    <definedName name="fdfd" localSheetId="17">#REF!</definedName>
    <definedName name="fdfd">#REF!</definedName>
    <definedName name="g" localSheetId="8" hidden="1">#REF!</definedName>
    <definedName name="g" localSheetId="0" hidden="1">#REF!</definedName>
    <definedName name="g" localSheetId="10" hidden="1">#REF!</definedName>
    <definedName name="g" localSheetId="16" hidden="1">#REF!</definedName>
    <definedName name="g" localSheetId="6" hidden="1">#REF!</definedName>
    <definedName name="g" localSheetId="7" hidden="1">#REF!</definedName>
    <definedName name="g" hidden="1">#REF!</definedName>
    <definedName name="h" localSheetId="8" hidden="1">#REF!</definedName>
    <definedName name="h" localSheetId="0" hidden="1">#REF!</definedName>
    <definedName name="h" localSheetId="10" hidden="1">#REF!</definedName>
    <definedName name="h" localSheetId="16" hidden="1">#REF!</definedName>
    <definedName name="h" localSheetId="6" hidden="1">#REF!</definedName>
    <definedName name="h" localSheetId="7" hidden="1">#REF!</definedName>
    <definedName name="h" hidden="1">#REF!</definedName>
    <definedName name="I" localSheetId="8" hidden="1">[4]Poço!#REF!</definedName>
    <definedName name="I" localSheetId="0" hidden="1">[4]Poço!#REF!</definedName>
    <definedName name="I" localSheetId="10" hidden="1">[4]Poço!#REF!</definedName>
    <definedName name="I" localSheetId="16" hidden="1">[4]Poço!#REF!</definedName>
    <definedName name="I" localSheetId="6" hidden="1">[4]Poço!#REF!</definedName>
    <definedName name="I" localSheetId="7" hidden="1">[4]Poço!#REF!</definedName>
    <definedName name="I" hidden="1">[4]Poço!#REF!</definedName>
    <definedName name="INCC">[3]Mat!$J$9</definedName>
    <definedName name="INCC1">[3]Serv!$I$10</definedName>
    <definedName name="j">#REF!</definedName>
    <definedName name="jfhdskjg" localSheetId="11">#REF!</definedName>
    <definedName name="jfhdskjg" localSheetId="17">#REF!</definedName>
    <definedName name="jfhdskjg" localSheetId="9">#REF!</definedName>
    <definedName name="jfhdskjg" localSheetId="7">#REF!</definedName>
    <definedName name="jfhdskjg">#REF!</definedName>
    <definedName name="K">#REF!</definedName>
    <definedName name="kapa">[5]resumo!$D$2</definedName>
    <definedName name="KAPA1">#REF!</definedName>
    <definedName name="KAPAs">[3]Serv!$E$9</definedName>
    <definedName name="Ks">'[6]SERVIÇOS '!$G$10</definedName>
    <definedName name="lista">#REF!</definedName>
    <definedName name="lista.coluna">#REF!</definedName>
    <definedName name="lista.linha">#REF!</definedName>
    <definedName name="Macro1">#N/A</definedName>
    <definedName name="MATBDI">#REF!</definedName>
    <definedName name="nil">#REF!</definedName>
    <definedName name="nilo">#REF!</definedName>
    <definedName name="ok" localSheetId="17">#REF!</definedName>
    <definedName name="ok" localSheetId="9">#REF!</definedName>
    <definedName name="ok">#REF!</definedName>
    <definedName name="orçamento" localSheetId="11">#REF!</definedName>
    <definedName name="orçamento">#REF!</definedName>
    <definedName name="ORÇAMENTO5156465">#REF!</definedName>
    <definedName name="POP">#REF!</definedName>
    <definedName name="Popular" localSheetId="8" hidden="1">{#N/A,#N/A,FALSE,"Cronograma";#N/A,#N/A,FALSE,"Cronogr. 2"}</definedName>
    <definedName name="Popular" localSheetId="0" hidden="1">{#N/A,#N/A,FALSE,"Cronograma";#N/A,#N/A,FALSE,"Cronogr. 2"}</definedName>
    <definedName name="Popular" localSheetId="10" hidden="1">{#N/A,#N/A,FALSE,"Cronograma";#N/A,#N/A,FALSE,"Cronogr. 2"}</definedName>
    <definedName name="Popular" localSheetId="16" hidden="1">{#N/A,#N/A,FALSE,"Cronograma";#N/A,#N/A,FALSE,"Cronogr. 2"}</definedName>
    <definedName name="Popular" localSheetId="17" hidden="1">{#N/A,#N/A,FALSE,"Cronograma";#N/A,#N/A,FALSE,"Cronogr. 2"}</definedName>
    <definedName name="Popular" localSheetId="9" hidden="1">{#N/A,#N/A,FALSE,"Cronograma";#N/A,#N/A,FALSE,"Cronogr. 2"}</definedName>
    <definedName name="Popular" localSheetId="12" hidden="1">{#N/A,#N/A,FALSE,"Cronograma";#N/A,#N/A,FALSE,"Cronogr. 2"}</definedName>
    <definedName name="Popular" localSheetId="7" hidden="1">{#N/A,#N/A,FALSE,"Cronograma";#N/A,#N/A,FALSE,"Cronogr. 2"}</definedName>
    <definedName name="Popular" localSheetId="14" hidden="1">{#N/A,#N/A,FALSE,"Cronograma";#N/A,#N/A,FALSE,"Cronogr. 2"}</definedName>
    <definedName name="Popular" localSheetId="5" hidden="1">{#N/A,#N/A,FALSE,"Cronograma";#N/A,#N/A,FALSE,"Cronogr. 2"}</definedName>
    <definedName name="Popular" hidden="1">{#N/A,#N/A,FALSE,"Cronograma";#N/A,#N/A,FALSE,"Cronogr. 2"}</definedName>
    <definedName name="Print_Area_MI">#REF!</definedName>
    <definedName name="PRINT2">#REF!</definedName>
    <definedName name="QTD">[7]Serviços!$E$7</definedName>
    <definedName name="Recalque">#REF!</definedName>
    <definedName name="rio" localSheetId="8" hidden="1">{#N/A,#N/A,FALSE,"Cronograma";#N/A,#N/A,FALSE,"Cronogr. 2"}</definedName>
    <definedName name="rio" localSheetId="0" hidden="1">{#N/A,#N/A,FALSE,"Cronograma";#N/A,#N/A,FALSE,"Cronogr. 2"}</definedName>
    <definedName name="rio" localSheetId="10" hidden="1">{#N/A,#N/A,FALSE,"Cronograma";#N/A,#N/A,FALSE,"Cronogr. 2"}</definedName>
    <definedName name="rio" localSheetId="16" hidden="1">{#N/A,#N/A,FALSE,"Cronograma";#N/A,#N/A,FALSE,"Cronogr. 2"}</definedName>
    <definedName name="rio" localSheetId="17" hidden="1">{#N/A,#N/A,FALSE,"Cronograma";#N/A,#N/A,FALSE,"Cronogr. 2"}</definedName>
    <definedName name="rio" localSheetId="9" hidden="1">{#N/A,#N/A,FALSE,"Cronograma";#N/A,#N/A,FALSE,"Cronogr. 2"}</definedName>
    <definedName name="rio" localSheetId="12" hidden="1">{#N/A,#N/A,FALSE,"Cronograma";#N/A,#N/A,FALSE,"Cronogr. 2"}</definedName>
    <definedName name="rio" localSheetId="7" hidden="1">{#N/A,#N/A,FALSE,"Cronograma";#N/A,#N/A,FALSE,"Cronogr. 2"}</definedName>
    <definedName name="rio" localSheetId="14" hidden="1">{#N/A,#N/A,FALSE,"Cronograma";#N/A,#N/A,FALSE,"Cronogr. 2"}</definedName>
    <definedName name="rio" localSheetId="5" hidden="1">{#N/A,#N/A,FALSE,"Cronograma";#N/A,#N/A,FALSE,"Cronogr. 2"}</definedName>
    <definedName name="rio" hidden="1">{#N/A,#N/A,FALSE,"Cronograma";#N/A,#N/A,FALSE,"Cronogr. 2"}</definedName>
    <definedName name="s">#REF!</definedName>
    <definedName name="sadsdf">#REF!</definedName>
    <definedName name="sddddddddddd">#REF!</definedName>
    <definedName name="SDFSFS">#REF!</definedName>
    <definedName name="SENHAGT" hidden="1">"PM2CAIXA"</definedName>
    <definedName name="SINAPI_AC" localSheetId="8" hidden="1">#REF!</definedName>
    <definedName name="SINAPI_AC" localSheetId="0" hidden="1">#REF!</definedName>
    <definedName name="SINAPI_AC" localSheetId="10" hidden="1">#REF!</definedName>
    <definedName name="SINAPI_AC" localSheetId="16" hidden="1">#REF!</definedName>
    <definedName name="SINAPI_AC" localSheetId="17" hidden="1">#REF!</definedName>
    <definedName name="SINAPI_AC" localSheetId="9" hidden="1">#REF!</definedName>
    <definedName name="SINAPI_AC" localSheetId="7" hidden="1">#REF!</definedName>
    <definedName name="SINAPI_AC" hidden="1">#REF!</definedName>
    <definedName name="ss" localSheetId="8" hidden="1">{#N/A,#N/A,FALSE,"Cronograma";#N/A,#N/A,FALSE,"Cronogr. 2"}</definedName>
    <definedName name="ss" localSheetId="0" hidden="1">{#N/A,#N/A,FALSE,"Cronograma";#N/A,#N/A,FALSE,"Cronogr. 2"}</definedName>
    <definedName name="ss" localSheetId="10" hidden="1">{#N/A,#N/A,FALSE,"Cronograma";#N/A,#N/A,FALSE,"Cronogr. 2"}</definedName>
    <definedName name="ss" localSheetId="16" hidden="1">{#N/A,#N/A,FALSE,"Cronograma";#N/A,#N/A,FALSE,"Cronogr. 2"}</definedName>
    <definedName name="ss" localSheetId="17" hidden="1">{#N/A,#N/A,FALSE,"Cronograma";#N/A,#N/A,FALSE,"Cronogr. 2"}</definedName>
    <definedName name="ss" localSheetId="9" hidden="1">{#N/A,#N/A,FALSE,"Cronograma";#N/A,#N/A,FALSE,"Cronogr. 2"}</definedName>
    <definedName name="ss" localSheetId="12" hidden="1">{#N/A,#N/A,FALSE,"Cronograma";#N/A,#N/A,FALSE,"Cronogr. 2"}</definedName>
    <definedName name="ss" localSheetId="7" hidden="1">{#N/A,#N/A,FALSE,"Cronograma";#N/A,#N/A,FALSE,"Cronogr. 2"}</definedName>
    <definedName name="ss" localSheetId="14" hidden="1">{#N/A,#N/A,FALSE,"Cronograma";#N/A,#N/A,FALSE,"Cronogr. 2"}</definedName>
    <definedName name="ss" localSheetId="5" hidden="1">{#N/A,#N/A,FALSE,"Cronograma";#N/A,#N/A,FALSE,"Cronogr. 2"}</definedName>
    <definedName name="ss" hidden="1">{#N/A,#N/A,FALSE,"Cronograma";#N/A,#N/A,FALSE,"Cronogr. 2"}</definedName>
    <definedName name="TABELA" localSheetId="11">'[8]PLANILHA FONTE'!$B$1:$G$290</definedName>
    <definedName name="TABELA" localSheetId="17">'[9]PLANILHA FONTE'!$B$1:$G$290</definedName>
    <definedName name="TABELA" localSheetId="9">'[9]PLANILHA FONTE'!$B$1:$G$290</definedName>
    <definedName name="TABELA">'[10]PLANILHA FONTE'!$B$1:$G$290</definedName>
    <definedName name="_xlnm.Print_Titles" localSheetId="1">'(ORÇAMENTO GERAL)'!$1:$14</definedName>
    <definedName name="_xlnm.Print_Titles" localSheetId="11">'_RESUMO COMPARATIVO_'!$1:$9</definedName>
    <definedName name="_xlnm.Print_Titles" localSheetId="6">COMPOSIÇÕES!$1:$8</definedName>
    <definedName name="_xlnm.Print_Titles" localSheetId="7">COTAÇÃO!$1:$8</definedName>
    <definedName name="_xlnm.Print_Titles" localSheetId="13">'CURVA ABC'!$1:$11</definedName>
    <definedName name="_xlnm.Print_Titles" localSheetId="15">ETP!$1:$5</definedName>
    <definedName name="_xlnm.Print_Titles" localSheetId="3">MEMÓRIA!$1:$8</definedName>
    <definedName name="_xlnm.Print_Titles" localSheetId="2">ORÇAMENTO!$1:$11</definedName>
    <definedName name="_xlnm.Print_Titles" localSheetId="14">QCI!$1:$9</definedName>
    <definedName name="_xlnm.Print_Titles" localSheetId="5">'QCI (2)'!$1:$9</definedName>
    <definedName name="truncar">[3]Serv!#REF!</definedName>
    <definedName name="vhvb">#REF!</definedName>
    <definedName name="vvvvvvvvvvvvvv">#REF!</definedName>
    <definedName name="wrn.Cronograma." localSheetId="8" hidden="1">{#N/A,#N/A,FALSE,"Cronograma";#N/A,#N/A,FALSE,"Cronogr. 2"}</definedName>
    <definedName name="wrn.Cronograma." localSheetId="0" hidden="1">{#N/A,#N/A,FALSE,"Cronograma";#N/A,#N/A,FALSE,"Cronogr. 2"}</definedName>
    <definedName name="wrn.Cronograma." localSheetId="10" hidden="1">{#N/A,#N/A,FALSE,"Cronograma";#N/A,#N/A,FALSE,"Cronogr. 2"}</definedName>
    <definedName name="wrn.Cronograma." localSheetId="16" hidden="1">{#N/A,#N/A,FALSE,"Cronograma";#N/A,#N/A,FALSE,"Cronogr. 2"}</definedName>
    <definedName name="wrn.Cronograma." localSheetId="17" hidden="1">{#N/A,#N/A,FALSE,"Cronograma";#N/A,#N/A,FALSE,"Cronogr. 2"}</definedName>
    <definedName name="wrn.Cronograma." localSheetId="9" hidden="1">{#N/A,#N/A,FALSE,"Cronograma";#N/A,#N/A,FALSE,"Cronogr. 2"}</definedName>
    <definedName name="wrn.Cronograma." localSheetId="12" hidden="1">{#N/A,#N/A,FALSE,"Cronograma";#N/A,#N/A,FALSE,"Cronogr. 2"}</definedName>
    <definedName name="wrn.Cronograma." localSheetId="7" hidden="1">{#N/A,#N/A,FALSE,"Cronograma";#N/A,#N/A,FALSE,"Cronogr. 2"}</definedName>
    <definedName name="wrn.Cronograma." localSheetId="14" hidden="1">{#N/A,#N/A,FALSE,"Cronograma";#N/A,#N/A,FALSE,"Cronogr. 2"}</definedName>
    <definedName name="wrn.Cronograma." localSheetId="5" hidden="1">{#N/A,#N/A,FALSE,"Cronograma";#N/A,#N/A,FALSE,"Cronogr. 2"}</definedName>
    <definedName name="wrn.Cronograma." hidden="1">{#N/A,#N/A,FALSE,"Cronograma";#N/A,#N/A,FALSE,"Cronogr. 2"}</definedName>
    <definedName name="wrn.GERAL." localSheetId="8" hidden="1">{#N/A,#N/A,FALSE,"ET-CAPA";#N/A,#N/A,FALSE,"ET-PAG1";#N/A,#N/A,FALSE,"ET-PAG2";#N/A,#N/A,FALSE,"ET-PAG3";#N/A,#N/A,FALSE,"ET-PAG4";#N/A,#N/A,FALSE,"ET-PAG5"}</definedName>
    <definedName name="wrn.GERAL." localSheetId="0" hidden="1">{#N/A,#N/A,FALSE,"ET-CAPA";#N/A,#N/A,FALSE,"ET-PAG1";#N/A,#N/A,FALSE,"ET-PAG2";#N/A,#N/A,FALSE,"ET-PAG3";#N/A,#N/A,FALSE,"ET-PAG4";#N/A,#N/A,FALSE,"ET-PAG5"}</definedName>
    <definedName name="wrn.GERAL." localSheetId="10" hidden="1">{#N/A,#N/A,FALSE,"ET-CAPA";#N/A,#N/A,FALSE,"ET-PAG1";#N/A,#N/A,FALSE,"ET-PAG2";#N/A,#N/A,FALSE,"ET-PAG3";#N/A,#N/A,FALSE,"ET-PAG4";#N/A,#N/A,FALSE,"ET-PAG5"}</definedName>
    <definedName name="wrn.GERAL." localSheetId="16" hidden="1">{#N/A,#N/A,FALSE,"ET-CAPA";#N/A,#N/A,FALSE,"ET-PAG1";#N/A,#N/A,FALSE,"ET-PAG2";#N/A,#N/A,FALSE,"ET-PAG3";#N/A,#N/A,FALSE,"ET-PAG4";#N/A,#N/A,FALSE,"ET-PAG5"}</definedName>
    <definedName name="wrn.GERAL." localSheetId="17" hidden="1">{#N/A,#N/A,FALSE,"ET-CAPA";#N/A,#N/A,FALSE,"ET-PAG1";#N/A,#N/A,FALSE,"ET-PAG2";#N/A,#N/A,FALSE,"ET-PAG3";#N/A,#N/A,FALSE,"ET-PAG4";#N/A,#N/A,FALSE,"ET-PAG5"}</definedName>
    <definedName name="wrn.GERAL." localSheetId="9" hidden="1">{#N/A,#N/A,FALSE,"ET-CAPA";#N/A,#N/A,FALSE,"ET-PAG1";#N/A,#N/A,FALSE,"ET-PAG2";#N/A,#N/A,FALSE,"ET-PAG3";#N/A,#N/A,FALSE,"ET-PAG4";#N/A,#N/A,FALSE,"ET-PAG5"}</definedName>
    <definedName name="wrn.GERAL." localSheetId="12" hidden="1">{#N/A,#N/A,FALSE,"ET-CAPA";#N/A,#N/A,FALSE,"ET-PAG1";#N/A,#N/A,FALSE,"ET-PAG2";#N/A,#N/A,FALSE,"ET-PAG3";#N/A,#N/A,FALSE,"ET-PAG4";#N/A,#N/A,FALSE,"ET-PAG5"}</definedName>
    <definedName name="wrn.GERAL." localSheetId="7" hidden="1">{#N/A,#N/A,FALSE,"ET-CAPA";#N/A,#N/A,FALSE,"ET-PAG1";#N/A,#N/A,FALSE,"ET-PAG2";#N/A,#N/A,FALSE,"ET-PAG3";#N/A,#N/A,FALSE,"ET-PAG4";#N/A,#N/A,FALSE,"ET-PAG5"}</definedName>
    <definedName name="wrn.GERAL." localSheetId="14" hidden="1">{#N/A,#N/A,FALSE,"ET-CAPA";#N/A,#N/A,FALSE,"ET-PAG1";#N/A,#N/A,FALSE,"ET-PAG2";#N/A,#N/A,FALSE,"ET-PAG3";#N/A,#N/A,FALSE,"ET-PAG4";#N/A,#N/A,FALSE,"ET-PAG5"}</definedName>
    <definedName name="wrn.GERAL." localSheetId="5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PENDENCIAS." localSheetId="8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5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81029"/>
</workbook>
</file>

<file path=xl/calcChain.xml><?xml version="1.0" encoding="utf-8"?>
<calcChain xmlns="http://schemas.openxmlformats.org/spreadsheetml/2006/main">
  <c r="E13" i="88" l="1"/>
  <c r="E12" i="88"/>
  <c r="E11" i="88"/>
  <c r="C24" i="88"/>
  <c r="B10" i="88"/>
  <c r="A5" i="88"/>
  <c r="A4" i="88"/>
  <c r="A3" i="88"/>
  <c r="A5" i="87"/>
  <c r="A4" i="87"/>
  <c r="A3" i="87"/>
  <c r="E22" i="87"/>
  <c r="E21" i="87"/>
  <c r="E20" i="87"/>
  <c r="E19" i="87"/>
  <c r="E18" i="87"/>
  <c r="E17" i="87"/>
  <c r="E16" i="87"/>
  <c r="E15" i="87"/>
  <c r="E14" i="87"/>
  <c r="E13" i="87"/>
  <c r="E12" i="87"/>
  <c r="E11" i="87"/>
  <c r="C33" i="87"/>
  <c r="B10" i="87"/>
  <c r="L126" i="82"/>
  <c r="M15" i="86" l="1"/>
  <c r="M16" i="86"/>
  <c r="M17" i="86"/>
  <c r="M18" i="86"/>
  <c r="M19" i="86"/>
  <c r="L15" i="86"/>
  <c r="L16" i="86" s="1"/>
  <c r="L17" i="86" s="1"/>
  <c r="L18" i="86" s="1"/>
  <c r="L19" i="86" s="1"/>
  <c r="L20" i="86" s="1"/>
  <c r="L21" i="86" s="1"/>
  <c r="L22" i="86" s="1"/>
  <c r="L23" i="86" s="1"/>
  <c r="L24" i="86" s="1"/>
  <c r="L25" i="86" s="1"/>
  <c r="L26" i="86" s="1"/>
  <c r="L27" i="86" s="1"/>
  <c r="L28" i="86" s="1"/>
  <c r="L29" i="86" s="1"/>
  <c r="L30" i="86" s="1"/>
  <c r="L31" i="86" s="1"/>
  <c r="L32" i="86" s="1"/>
  <c r="L33" i="86" s="1"/>
  <c r="L34" i="86" s="1"/>
  <c r="L35" i="86" s="1"/>
  <c r="L36" i="86" s="1"/>
  <c r="L37" i="86" s="1"/>
  <c r="L38" i="86" s="1"/>
  <c r="L39" i="86" s="1"/>
  <c r="L40" i="86" s="1"/>
  <c r="L41" i="86" s="1"/>
  <c r="L42" i="86" s="1"/>
  <c r="L43" i="86" s="1"/>
  <c r="L44" i="86" s="1"/>
  <c r="L45" i="86" s="1"/>
  <c r="L46" i="86" s="1"/>
  <c r="L47" i="86" s="1"/>
  <c r="L48" i="86" s="1"/>
  <c r="L49" i="86" s="1"/>
  <c r="L50" i="86" s="1"/>
  <c r="L51" i="86" s="1"/>
  <c r="L52" i="86" s="1"/>
  <c r="L53" i="86" s="1"/>
  <c r="L54" i="86" s="1"/>
  <c r="L55" i="86" s="1"/>
  <c r="L56" i="86" s="1"/>
  <c r="L57" i="86" s="1"/>
  <c r="L58" i="86" s="1"/>
  <c r="L59" i="86" s="1"/>
  <c r="L60" i="86" s="1"/>
  <c r="L61" i="86" s="1"/>
  <c r="L62" i="86" s="1"/>
  <c r="L63" i="86" s="1"/>
  <c r="L64" i="86" s="1"/>
  <c r="L65" i="86" s="1"/>
  <c r="L66" i="86" s="1"/>
  <c r="L67" i="86" s="1"/>
  <c r="L68" i="86" s="1"/>
  <c r="L69" i="86" s="1"/>
  <c r="L70" i="86" s="1"/>
  <c r="L71" i="86" s="1"/>
  <c r="L72" i="86" s="1"/>
  <c r="L73" i="86" s="1"/>
  <c r="L74" i="86" s="1"/>
  <c r="L75" i="86" s="1"/>
  <c r="L76" i="86" s="1"/>
  <c r="L77" i="86" s="1"/>
  <c r="L78" i="86" s="1"/>
  <c r="L79" i="86" s="1"/>
  <c r="L80" i="86" s="1"/>
  <c r="L81" i="86" s="1"/>
  <c r="L82" i="86" s="1"/>
  <c r="L83" i="86" s="1"/>
  <c r="L84" i="86" s="1"/>
  <c r="L85" i="86" s="1"/>
  <c r="L86" i="86" s="1"/>
  <c r="L87" i="86" s="1"/>
  <c r="L88" i="86" s="1"/>
  <c r="L89" i="86" s="1"/>
  <c r="L90" i="86" s="1"/>
  <c r="L91" i="86" s="1"/>
  <c r="K15" i="86"/>
  <c r="K16" i="86"/>
  <c r="K17" i="86"/>
  <c r="K18" i="86"/>
  <c r="K19" i="86"/>
  <c r="K20" i="86"/>
  <c r="K21" i="86"/>
  <c r="K22" i="86"/>
  <c r="K23" i="86"/>
  <c r="K24" i="86"/>
  <c r="K25" i="86"/>
  <c r="K26" i="86"/>
  <c r="K27" i="86"/>
  <c r="K28" i="86"/>
  <c r="K29" i="86"/>
  <c r="K30" i="86"/>
  <c r="K31" i="86"/>
  <c r="K32" i="86"/>
  <c r="K33" i="86"/>
  <c r="K34" i="86"/>
  <c r="K35" i="86"/>
  <c r="K36" i="86"/>
  <c r="K37" i="86"/>
  <c r="K38" i="86"/>
  <c r="K39" i="86"/>
  <c r="K40" i="86"/>
  <c r="K41" i="86"/>
  <c r="K42" i="86"/>
  <c r="K43" i="86"/>
  <c r="K44" i="86"/>
  <c r="K45" i="86"/>
  <c r="K46" i="86"/>
  <c r="K47" i="86"/>
  <c r="K48" i="86"/>
  <c r="K49" i="86"/>
  <c r="K50" i="86"/>
  <c r="K51" i="86"/>
  <c r="K52" i="86"/>
  <c r="K53" i="86"/>
  <c r="K54" i="86"/>
  <c r="K55" i="86"/>
  <c r="K56" i="86"/>
  <c r="K57" i="86"/>
  <c r="K58" i="86"/>
  <c r="K59" i="86"/>
  <c r="K60" i="86"/>
  <c r="K61" i="86"/>
  <c r="K62" i="86"/>
  <c r="K63" i="86"/>
  <c r="K64" i="86"/>
  <c r="K65" i="86"/>
  <c r="K66" i="86"/>
  <c r="K67" i="86"/>
  <c r="K68" i="86"/>
  <c r="K69" i="86"/>
  <c r="K70" i="86"/>
  <c r="K71" i="86"/>
  <c r="K72" i="86"/>
  <c r="K73" i="86"/>
  <c r="K74" i="86"/>
  <c r="K75" i="86"/>
  <c r="K76" i="86"/>
  <c r="K77" i="86"/>
  <c r="K78" i="86"/>
  <c r="K79" i="86"/>
  <c r="K80" i="86"/>
  <c r="K81" i="86"/>
  <c r="K82" i="86"/>
  <c r="K83" i="86"/>
  <c r="K84" i="86"/>
  <c r="K85" i="86"/>
  <c r="K86" i="86"/>
  <c r="K87" i="86"/>
  <c r="K88" i="86"/>
  <c r="K89" i="86"/>
  <c r="K90" i="86"/>
  <c r="K91" i="86"/>
  <c r="K14" i="86"/>
  <c r="K13" i="86"/>
  <c r="K12" i="86"/>
  <c r="L12" i="86" s="1"/>
  <c r="M12" i="86" s="1"/>
  <c r="H56" i="86"/>
  <c r="I56" i="86" s="1"/>
  <c r="H72" i="86"/>
  <c r="I72" i="86" s="1"/>
  <c r="H74" i="86"/>
  <c r="I74" i="86" s="1"/>
  <c r="H16" i="86"/>
  <c r="I16" i="86" s="1"/>
  <c r="H78" i="86"/>
  <c r="I78" i="86" s="1"/>
  <c r="H89" i="86"/>
  <c r="I89" i="86" s="1"/>
  <c r="H87" i="86"/>
  <c r="I87" i="86" s="1"/>
  <c r="H73" i="86"/>
  <c r="I73" i="86" s="1"/>
  <c r="H85" i="86"/>
  <c r="I85" i="86" s="1"/>
  <c r="H88" i="86"/>
  <c r="I88" i="86" s="1"/>
  <c r="H91" i="86"/>
  <c r="I91" i="86" s="1"/>
  <c r="H36" i="86"/>
  <c r="I36" i="86" s="1"/>
  <c r="H86" i="86"/>
  <c r="I86" i="86" s="1"/>
  <c r="H66" i="86"/>
  <c r="I66" i="86" s="1"/>
  <c r="H29" i="86"/>
  <c r="I29" i="86" s="1"/>
  <c r="H26" i="86"/>
  <c r="I26" i="86" s="1"/>
  <c r="H76" i="86"/>
  <c r="I76" i="86" s="1"/>
  <c r="H90" i="86"/>
  <c r="I90" i="86" s="1"/>
  <c r="G69" i="86"/>
  <c r="H69" i="86" s="1"/>
  <c r="I69" i="86" s="1"/>
  <c r="H64" i="86"/>
  <c r="I64" i="86" s="1"/>
  <c r="H51" i="86"/>
  <c r="I51" i="86" s="1"/>
  <c r="G46" i="86"/>
  <c r="H46" i="86" s="1"/>
  <c r="I46" i="86" s="1"/>
  <c r="H77" i="86"/>
  <c r="I77" i="86" s="1"/>
  <c r="H80" i="86"/>
  <c r="I80" i="86" s="1"/>
  <c r="H81" i="86"/>
  <c r="I81" i="86" s="1"/>
  <c r="H84" i="86"/>
  <c r="I84" i="86" s="1"/>
  <c r="H40" i="86"/>
  <c r="I40" i="86" s="1"/>
  <c r="H82" i="86"/>
  <c r="I82" i="86" s="1"/>
  <c r="G79" i="86"/>
  <c r="H79" i="86" s="1"/>
  <c r="I79" i="86" s="1"/>
  <c r="H28" i="86"/>
  <c r="I28" i="86" s="1"/>
  <c r="H58" i="86"/>
  <c r="I58" i="86" s="1"/>
  <c r="G43" i="86"/>
  <c r="H43" i="86" s="1"/>
  <c r="I43" i="86" s="1"/>
  <c r="G70" i="86"/>
  <c r="H70" i="86" s="1"/>
  <c r="I70" i="86" s="1"/>
  <c r="G33" i="86"/>
  <c r="H33" i="86" s="1"/>
  <c r="I33" i="86" s="1"/>
  <c r="H57" i="86"/>
  <c r="I57" i="86" s="1"/>
  <c r="H63" i="86"/>
  <c r="I63" i="86" s="1"/>
  <c r="H34" i="86"/>
  <c r="I34" i="86" s="1"/>
  <c r="H32" i="86"/>
  <c r="I32" i="86" s="1"/>
  <c r="H53" i="86"/>
  <c r="I53" i="86" s="1"/>
  <c r="H65" i="86"/>
  <c r="I65" i="86" s="1"/>
  <c r="H17" i="86"/>
  <c r="I17" i="86" s="1"/>
  <c r="H67" i="86"/>
  <c r="I67" i="86" s="1"/>
  <c r="H68" i="86"/>
  <c r="I68" i="86" s="1"/>
  <c r="H60" i="86"/>
  <c r="I60" i="86" s="1"/>
  <c r="H30" i="86"/>
  <c r="I30" i="86" s="1"/>
  <c r="H42" i="86"/>
  <c r="I42" i="86" s="1"/>
  <c r="H50" i="86"/>
  <c r="I50" i="86" s="1"/>
  <c r="H49" i="86"/>
  <c r="I49" i="86" s="1"/>
  <c r="H47" i="86"/>
  <c r="I47" i="86" s="1"/>
  <c r="H61" i="86"/>
  <c r="I61" i="86" s="1"/>
  <c r="H23" i="86"/>
  <c r="I23" i="86" s="1"/>
  <c r="H35" i="86"/>
  <c r="I35" i="86" s="1"/>
  <c r="H12" i="86"/>
  <c r="I12" i="86" s="1"/>
  <c r="H55" i="86"/>
  <c r="I55" i="86" s="1"/>
  <c r="H14" i="86"/>
  <c r="I14" i="86" s="1"/>
  <c r="H20" i="86"/>
  <c r="I20" i="86" s="1"/>
  <c r="H22" i="86"/>
  <c r="I22" i="86" s="1"/>
  <c r="H18" i="86"/>
  <c r="I18" i="86" s="1"/>
  <c r="H13" i="86"/>
  <c r="I13" i="86" s="1"/>
  <c r="H31" i="86"/>
  <c r="I31" i="86" s="1"/>
  <c r="H62" i="86"/>
  <c r="I62" i="86" s="1"/>
  <c r="H15" i="86"/>
  <c r="I15" i="86" s="1"/>
  <c r="H19" i="86"/>
  <c r="I19" i="86" s="1"/>
  <c r="H59" i="86"/>
  <c r="I59" i="86" s="1"/>
  <c r="H54" i="86"/>
  <c r="I54" i="86" s="1"/>
  <c r="H39" i="86"/>
  <c r="I39" i="86" s="1"/>
  <c r="H45" i="86"/>
  <c r="I45" i="86" s="1"/>
  <c r="H25" i="86"/>
  <c r="I25" i="86" s="1"/>
  <c r="H24" i="86"/>
  <c r="I24" i="86" s="1"/>
  <c r="H75" i="86"/>
  <c r="I75" i="86" s="1"/>
  <c r="H48" i="86"/>
  <c r="I48" i="86" s="1"/>
  <c r="H37" i="86"/>
  <c r="I37" i="86" s="1"/>
  <c r="H71" i="86"/>
  <c r="I71" i="86" s="1"/>
  <c r="H83" i="86"/>
  <c r="I83" i="86" s="1"/>
  <c r="H41" i="86"/>
  <c r="I41" i="86" s="1"/>
  <c r="H27" i="86"/>
  <c r="I27" i="86" s="1"/>
  <c r="H44" i="86"/>
  <c r="I44" i="86" s="1"/>
  <c r="H52" i="86"/>
  <c r="I52" i="86" s="1"/>
  <c r="H38" i="86"/>
  <c r="I38" i="86" s="1"/>
  <c r="G21" i="86"/>
  <c r="H21" i="86" s="1"/>
  <c r="I21" i="86" s="1"/>
  <c r="L13" i="86" l="1"/>
  <c r="M13" i="86" s="1"/>
  <c r="I93" i="86"/>
  <c r="I95" i="86"/>
  <c r="B397" i="83"/>
  <c r="B393" i="83"/>
  <c r="H392" i="83"/>
  <c r="H393" i="83" s="1"/>
  <c r="B389" i="83"/>
  <c r="H388" i="83"/>
  <c r="H389" i="83" s="1"/>
  <c r="B385" i="83"/>
  <c r="H384" i="83"/>
  <c r="H385" i="83" s="1"/>
  <c r="B379" i="83"/>
  <c r="H378" i="83"/>
  <c r="H379" i="83" s="1"/>
  <c r="B375" i="83"/>
  <c r="H374" i="83"/>
  <c r="H375" i="83" s="1"/>
  <c r="B371" i="83"/>
  <c r="H370" i="83"/>
  <c r="H371" i="83" s="1"/>
  <c r="B367" i="83"/>
  <c r="H366" i="83"/>
  <c r="H367" i="83" s="1"/>
  <c r="B363" i="83"/>
  <c r="H362" i="83"/>
  <c r="H361" i="83"/>
  <c r="B358" i="83"/>
  <c r="H357" i="83"/>
  <c r="H356" i="83"/>
  <c r="B353" i="83"/>
  <c r="H352" i="83"/>
  <c r="H353" i="83" s="1"/>
  <c r="B349" i="83"/>
  <c r="H348" i="83"/>
  <c r="H349" i="83" s="1"/>
  <c r="B345" i="83"/>
  <c r="H344" i="83"/>
  <c r="H345" i="83" s="1"/>
  <c r="B341" i="83"/>
  <c r="H340" i="83"/>
  <c r="H341" i="83" s="1"/>
  <c r="B337" i="83"/>
  <c r="D336" i="83"/>
  <c r="H336" i="83" s="1"/>
  <c r="H337" i="83" s="1"/>
  <c r="B333" i="83"/>
  <c r="D332" i="83"/>
  <c r="H332" i="83" s="1"/>
  <c r="H333" i="83" s="1"/>
  <c r="B329" i="83"/>
  <c r="H328" i="83"/>
  <c r="H329" i="83" s="1"/>
  <c r="B325" i="83"/>
  <c r="H324" i="83"/>
  <c r="H325" i="83" s="1"/>
  <c r="B321" i="83"/>
  <c r="H320" i="83"/>
  <c r="H321" i="83" s="1"/>
  <c r="B315" i="83"/>
  <c r="H314" i="83"/>
  <c r="H315" i="83" s="1"/>
  <c r="B311" i="83"/>
  <c r="H310" i="83"/>
  <c r="H309" i="83"/>
  <c r="H311" i="83" s="1"/>
  <c r="B306" i="83"/>
  <c r="H305" i="83"/>
  <c r="H306" i="83" s="1"/>
  <c r="B302" i="83"/>
  <c r="H301" i="83"/>
  <c r="H302" i="83" s="1"/>
  <c r="B298" i="83"/>
  <c r="H297" i="83"/>
  <c r="H298" i="83" s="1"/>
  <c r="B294" i="83"/>
  <c r="H293" i="83"/>
  <c r="H294" i="83" s="1"/>
  <c r="B290" i="83"/>
  <c r="H289" i="83"/>
  <c r="H290" i="83" s="1"/>
  <c r="B285" i="83"/>
  <c r="H284" i="83"/>
  <c r="H283" i="83"/>
  <c r="H282" i="83"/>
  <c r="B279" i="83"/>
  <c r="H278" i="83"/>
  <c r="H279" i="83" s="1"/>
  <c r="B275" i="83"/>
  <c r="H274" i="83"/>
  <c r="H275" i="83" s="1"/>
  <c r="B270" i="83"/>
  <c r="H269" i="83"/>
  <c r="H270" i="83" s="1"/>
  <c r="B266" i="83"/>
  <c r="H265" i="83"/>
  <c r="H266" i="83" s="1"/>
  <c r="B262" i="83"/>
  <c r="H261" i="83"/>
  <c r="H260" i="83"/>
  <c r="H259" i="83"/>
  <c r="B256" i="83"/>
  <c r="H255" i="83"/>
  <c r="H256" i="83" s="1"/>
  <c r="B252" i="83"/>
  <c r="H251" i="83"/>
  <c r="H250" i="83"/>
  <c r="H252" i="83" s="1"/>
  <c r="B245" i="83"/>
  <c r="B241" i="83"/>
  <c r="H240" i="83"/>
  <c r="H239" i="83"/>
  <c r="H238" i="83"/>
  <c r="H237" i="83"/>
  <c r="B234" i="83"/>
  <c r="B230" i="83"/>
  <c r="B226" i="83"/>
  <c r="E225" i="83"/>
  <c r="H225" i="83" s="1"/>
  <c r="H226" i="83" s="1"/>
  <c r="B220" i="83"/>
  <c r="H219" i="83"/>
  <c r="H220" i="83" s="1"/>
  <c r="B216" i="83"/>
  <c r="H215" i="83"/>
  <c r="H214" i="83"/>
  <c r="B211" i="83"/>
  <c r="H210" i="83"/>
  <c r="H209" i="83"/>
  <c r="H208" i="83"/>
  <c r="H207" i="83"/>
  <c r="H206" i="83"/>
  <c r="B203" i="83"/>
  <c r="H202" i="83"/>
  <c r="H203" i="83" s="1"/>
  <c r="B199" i="83"/>
  <c r="H198" i="83"/>
  <c r="H197" i="83"/>
  <c r="B194" i="83"/>
  <c r="H193" i="83"/>
  <c r="H192" i="83"/>
  <c r="H191" i="83"/>
  <c r="H190" i="83"/>
  <c r="H189" i="83"/>
  <c r="H188" i="83"/>
  <c r="H187" i="83"/>
  <c r="H186" i="83"/>
  <c r="H185" i="83"/>
  <c r="B182" i="83"/>
  <c r="H181" i="83"/>
  <c r="H180" i="83"/>
  <c r="H179" i="83"/>
  <c r="H178" i="83"/>
  <c r="H177" i="83"/>
  <c r="B172" i="83"/>
  <c r="H171" i="83"/>
  <c r="H172" i="83" s="1"/>
  <c r="B168" i="83"/>
  <c r="H167" i="83"/>
  <c r="H168" i="83" s="1"/>
  <c r="B164" i="83"/>
  <c r="H163" i="83"/>
  <c r="H162" i="83"/>
  <c r="B159" i="83"/>
  <c r="H158" i="83"/>
  <c r="H159" i="83" s="1"/>
  <c r="B155" i="83"/>
  <c r="E154" i="83"/>
  <c r="H154" i="83" s="1"/>
  <c r="H155" i="83" s="1"/>
  <c r="B151" i="83"/>
  <c r="H150" i="83"/>
  <c r="H149" i="83"/>
  <c r="B146" i="83"/>
  <c r="H145" i="83"/>
  <c r="E144" i="83"/>
  <c r="H144" i="83" s="1"/>
  <c r="B139" i="83"/>
  <c r="H138" i="83"/>
  <c r="H139" i="83" s="1"/>
  <c r="B135" i="83"/>
  <c r="B131" i="83"/>
  <c r="B127" i="83"/>
  <c r="E126" i="83"/>
  <c r="H126" i="83" s="1"/>
  <c r="H127" i="83" s="1"/>
  <c r="B121" i="83"/>
  <c r="E120" i="83"/>
  <c r="H120" i="83" s="1"/>
  <c r="H121" i="83" s="1"/>
  <c r="B117" i="83"/>
  <c r="B113" i="83"/>
  <c r="E112" i="83"/>
  <c r="H112" i="83" s="1"/>
  <c r="E111" i="83"/>
  <c r="H111" i="83" s="1"/>
  <c r="B107" i="83"/>
  <c r="H106" i="83"/>
  <c r="H107" i="83" s="1"/>
  <c r="B101" i="83"/>
  <c r="H100" i="83"/>
  <c r="H101" i="83" s="1"/>
  <c r="B95" i="83"/>
  <c r="H94" i="83"/>
  <c r="H95" i="83" s="1"/>
  <c r="B88" i="83"/>
  <c r="H87" i="83"/>
  <c r="H88" i="83" s="1"/>
  <c r="B84" i="83"/>
  <c r="E83" i="83"/>
  <c r="H83" i="83" s="1"/>
  <c r="H84" i="83" s="1"/>
  <c r="B80" i="83"/>
  <c r="H79" i="83"/>
  <c r="H80" i="83" s="1"/>
  <c r="B76" i="83"/>
  <c r="H75" i="83"/>
  <c r="H74" i="83"/>
  <c r="B71" i="83"/>
  <c r="H70" i="83"/>
  <c r="H69" i="83"/>
  <c r="H68" i="83"/>
  <c r="B65" i="83"/>
  <c r="H64" i="83"/>
  <c r="H63" i="83"/>
  <c r="H62" i="83"/>
  <c r="B57" i="83"/>
  <c r="H56" i="83"/>
  <c r="H57" i="83" s="1"/>
  <c r="B53" i="83"/>
  <c r="H52" i="83"/>
  <c r="H51" i="83"/>
  <c r="H53" i="83" s="1"/>
  <c r="B47" i="83"/>
  <c r="H46" i="83"/>
  <c r="H47" i="83" s="1"/>
  <c r="B43" i="83"/>
  <c r="H42" i="83"/>
  <c r="H43" i="83" s="1"/>
  <c r="B39" i="83"/>
  <c r="H38" i="83"/>
  <c r="H39" i="83" s="1"/>
  <c r="B35" i="83"/>
  <c r="H34" i="83"/>
  <c r="H35" i="83" s="1"/>
  <c r="B31" i="83"/>
  <c r="H30" i="83"/>
  <c r="H31" i="83" s="1"/>
  <c r="B27" i="83"/>
  <c r="H26" i="83"/>
  <c r="H27" i="83" s="1"/>
  <c r="B23" i="83"/>
  <c r="H22" i="83"/>
  <c r="H23" i="83" s="1"/>
  <c r="B19" i="83"/>
  <c r="H18" i="83"/>
  <c r="H19" i="83" s="1"/>
  <c r="B13" i="83"/>
  <c r="H12" i="83"/>
  <c r="H13" i="83" s="1"/>
  <c r="H116" i="82"/>
  <c r="H115" i="82"/>
  <c r="I115" i="82" s="1"/>
  <c r="H114" i="82"/>
  <c r="I114" i="82" s="1"/>
  <c r="H113" i="82"/>
  <c r="I113" i="82" s="1"/>
  <c r="H110" i="82"/>
  <c r="H109" i="82"/>
  <c r="H108" i="82"/>
  <c r="H107" i="82"/>
  <c r="H106" i="82"/>
  <c r="H105" i="82"/>
  <c r="H104" i="82"/>
  <c r="H103" i="82"/>
  <c r="H102" i="82"/>
  <c r="H101" i="82"/>
  <c r="H100" i="82"/>
  <c r="H99" i="82"/>
  <c r="I99" i="82" s="1"/>
  <c r="H98" i="82"/>
  <c r="H97" i="82"/>
  <c r="G96" i="82"/>
  <c r="H96" i="82" s="1"/>
  <c r="H93" i="82"/>
  <c r="H92" i="82"/>
  <c r="G91" i="82"/>
  <c r="H91" i="82" s="1"/>
  <c r="H90" i="82"/>
  <c r="H89" i="82"/>
  <c r="H88" i="82"/>
  <c r="I88" i="82" s="1"/>
  <c r="H87" i="82"/>
  <c r="H86" i="82"/>
  <c r="I86" i="82" s="1"/>
  <c r="H85" i="82"/>
  <c r="G84" i="82"/>
  <c r="H84" i="82" s="1"/>
  <c r="I84" i="82" s="1"/>
  <c r="H83" i="82"/>
  <c r="H82" i="82"/>
  <c r="I82" i="82" s="1"/>
  <c r="G81" i="82"/>
  <c r="H81" i="82" s="1"/>
  <c r="G80" i="82"/>
  <c r="H80" i="82" s="1"/>
  <c r="G79" i="82"/>
  <c r="H79" i="82" s="1"/>
  <c r="I79" i="82" s="1"/>
  <c r="H76" i="82"/>
  <c r="H75" i="82"/>
  <c r="H74" i="82"/>
  <c r="H73" i="82"/>
  <c r="H72" i="82"/>
  <c r="H69" i="82"/>
  <c r="I69" i="82" s="1"/>
  <c r="H68" i="82"/>
  <c r="H67" i="82"/>
  <c r="H66" i="82"/>
  <c r="H65" i="82"/>
  <c r="H64" i="82"/>
  <c r="H63" i="82"/>
  <c r="I63" i="82" s="1"/>
  <c r="H60" i="82"/>
  <c r="H59" i="82"/>
  <c r="I59" i="82" s="1"/>
  <c r="H58" i="82"/>
  <c r="H57" i="82"/>
  <c r="H56" i="82"/>
  <c r="H55" i="82"/>
  <c r="H54" i="82"/>
  <c r="I54" i="82" s="1"/>
  <c r="H51" i="82"/>
  <c r="I51" i="82" s="1"/>
  <c r="H50" i="82"/>
  <c r="H49" i="82"/>
  <c r="H48" i="82"/>
  <c r="H45" i="82"/>
  <c r="I45" i="82" s="1"/>
  <c r="H44" i="82"/>
  <c r="H43" i="82"/>
  <c r="H42" i="82"/>
  <c r="H39" i="82"/>
  <c r="H37" i="82"/>
  <c r="H33" i="82"/>
  <c r="I33" i="82" s="1"/>
  <c r="H32" i="82"/>
  <c r="I32" i="82" s="1"/>
  <c r="H31" i="82"/>
  <c r="H30" i="82"/>
  <c r="H29" i="82"/>
  <c r="I29" i="82" s="1"/>
  <c r="H28" i="82"/>
  <c r="H25" i="82"/>
  <c r="H24" i="82"/>
  <c r="H23" i="82"/>
  <c r="H22" i="82"/>
  <c r="H21" i="82"/>
  <c r="I21" i="82" s="1"/>
  <c r="H20" i="82"/>
  <c r="H19" i="82"/>
  <c r="I19" i="82" s="1"/>
  <c r="H18" i="82"/>
  <c r="I18" i="82" s="1"/>
  <c r="H17" i="82"/>
  <c r="H16" i="82"/>
  <c r="I16" i="82" s="1"/>
  <c r="G13" i="82"/>
  <c r="H13" i="82" s="1"/>
  <c r="F19" i="39"/>
  <c r="F18" i="39"/>
  <c r="J362" i="54"/>
  <c r="J358" i="54"/>
  <c r="J346" i="54"/>
  <c r="F342" i="54"/>
  <c r="F338" i="54"/>
  <c r="J265" i="54"/>
  <c r="J246" i="54"/>
  <c r="J221" i="54"/>
  <c r="J244" i="54"/>
  <c r="J243" i="54"/>
  <c r="J216" i="54"/>
  <c r="J215" i="54"/>
  <c r="J214" i="54"/>
  <c r="J213" i="54"/>
  <c r="J204" i="54"/>
  <c r="J203" i="54"/>
  <c r="J184" i="54"/>
  <c r="J183" i="54"/>
  <c r="J199" i="54"/>
  <c r="J198" i="54"/>
  <c r="J197" i="54"/>
  <c r="J196" i="54"/>
  <c r="J195" i="54"/>
  <c r="J194" i="54"/>
  <c r="J193" i="54"/>
  <c r="J192" i="54"/>
  <c r="G117" i="54"/>
  <c r="J117" i="54" s="1"/>
  <c r="G118" i="54"/>
  <c r="J118" i="54" s="1"/>
  <c r="J93" i="54"/>
  <c r="J94" i="54" s="1"/>
  <c r="K92" i="54" s="1"/>
  <c r="U94" i="54"/>
  <c r="D94" i="54"/>
  <c r="U93" i="54"/>
  <c r="P92" i="54"/>
  <c r="M92" i="54"/>
  <c r="U91" i="54"/>
  <c r="G89" i="54"/>
  <c r="D174" i="54"/>
  <c r="J173" i="54"/>
  <c r="J174" i="54" s="1"/>
  <c r="K172" i="54" s="1"/>
  <c r="P172" i="54"/>
  <c r="M172" i="54"/>
  <c r="D165" i="54"/>
  <c r="J164" i="54"/>
  <c r="J165" i="54" s="1"/>
  <c r="K163" i="54" s="1"/>
  <c r="P163" i="54"/>
  <c r="M163" i="54"/>
  <c r="G231" i="54"/>
  <c r="J231" i="54" s="1"/>
  <c r="J81" i="54"/>
  <c r="D82" i="54"/>
  <c r="J80" i="54"/>
  <c r="P79" i="54"/>
  <c r="M79" i="54"/>
  <c r="J74" i="54"/>
  <c r="J75" i="54"/>
  <c r="J76" i="54"/>
  <c r="D53" i="54"/>
  <c r="J52" i="54"/>
  <c r="J53" i="54" s="1"/>
  <c r="K51" i="54" s="1"/>
  <c r="P51" i="54"/>
  <c r="M51" i="54"/>
  <c r="J70" i="54"/>
  <c r="J69" i="54"/>
  <c r="J112" i="54"/>
  <c r="L14" i="86" l="1"/>
  <c r="M14" i="86" s="1"/>
  <c r="H151" i="83"/>
  <c r="H146" i="83"/>
  <c r="H262" i="83"/>
  <c r="H241" i="83"/>
  <c r="E244" i="83" s="1"/>
  <c r="H244" i="83" s="1"/>
  <c r="H245" i="83" s="1"/>
  <c r="E130" i="83"/>
  <c r="H65" i="83"/>
  <c r="H164" i="83"/>
  <c r="H358" i="83"/>
  <c r="H211" i="83"/>
  <c r="H76" i="83"/>
  <c r="H199" i="83"/>
  <c r="H71" i="83"/>
  <c r="H216" i="83"/>
  <c r="H363" i="83"/>
  <c r="E229" i="83"/>
  <c r="H229" i="83" s="1"/>
  <c r="H230" i="83" s="1"/>
  <c r="H194" i="83"/>
  <c r="E110" i="83"/>
  <c r="H110" i="83" s="1"/>
  <c r="H113" i="83" s="1"/>
  <c r="H285" i="83"/>
  <c r="H182" i="83"/>
  <c r="I108" i="82"/>
  <c r="I57" i="82"/>
  <c r="I22" i="82"/>
  <c r="I65" i="82"/>
  <c r="I103" i="82"/>
  <c r="I110" i="82"/>
  <c r="I97" i="82"/>
  <c r="I24" i="82"/>
  <c r="I91" i="82"/>
  <c r="I58" i="82"/>
  <c r="I93" i="82"/>
  <c r="I90" i="82"/>
  <c r="I106" i="82"/>
  <c r="I17" i="82"/>
  <c r="I49" i="82"/>
  <c r="I13" i="82"/>
  <c r="I12" i="82" s="1"/>
  <c r="I87" i="82"/>
  <c r="I100" i="82"/>
  <c r="I39" i="82"/>
  <c r="I85" i="82"/>
  <c r="I107" i="82"/>
  <c r="I64" i="82"/>
  <c r="I31" i="82"/>
  <c r="I28" i="82"/>
  <c r="I30" i="82"/>
  <c r="I60" i="82"/>
  <c r="I66" i="82"/>
  <c r="I68" i="82"/>
  <c r="I81" i="82"/>
  <c r="I92" i="82"/>
  <c r="I55" i="82"/>
  <c r="I20" i="82"/>
  <c r="I25" i="82"/>
  <c r="I83" i="82"/>
  <c r="I102" i="82"/>
  <c r="I56" i="82"/>
  <c r="I105" i="82"/>
  <c r="I109" i="82"/>
  <c r="I101" i="82"/>
  <c r="I104" i="82"/>
  <c r="I80" i="82"/>
  <c r="I37" i="82"/>
  <c r="I89" i="82"/>
  <c r="I23" i="82"/>
  <c r="I96" i="82"/>
  <c r="I98" i="82"/>
  <c r="J205" i="54"/>
  <c r="Q92" i="54"/>
  <c r="U92" i="54" s="1"/>
  <c r="N92" i="54"/>
  <c r="N172" i="54"/>
  <c r="Q172" i="54"/>
  <c r="Q163" i="54"/>
  <c r="N163" i="54"/>
  <c r="J82" i="54"/>
  <c r="K79" i="54" s="1"/>
  <c r="N79" i="54" s="1"/>
  <c r="Q51" i="54"/>
  <c r="N51" i="54"/>
  <c r="A93" i="86"/>
  <c r="H130" i="83" l="1"/>
  <c r="H131" i="83" s="1"/>
  <c r="E134" i="83"/>
  <c r="H134" i="83" s="1"/>
  <c r="H135" i="83" s="1"/>
  <c r="E396" i="83" s="1"/>
  <c r="H396" i="83" s="1"/>
  <c r="H397" i="83" s="1"/>
  <c r="E233" i="83"/>
  <c r="H233" i="83" s="1"/>
  <c r="H234" i="83" s="1"/>
  <c r="E116" i="83"/>
  <c r="H116" i="83" s="1"/>
  <c r="H117" i="83" s="1"/>
  <c r="I53" i="82"/>
  <c r="I35" i="82"/>
  <c r="I15" i="82"/>
  <c r="I78" i="82"/>
  <c r="I95" i="82"/>
  <c r="I42" i="82"/>
  <c r="I27" i="82"/>
  <c r="I48" i="82"/>
  <c r="I75" i="82"/>
  <c r="I72" i="82"/>
  <c r="I76" i="82"/>
  <c r="I67" i="82"/>
  <c r="I62" i="82" s="1"/>
  <c r="Q79" i="54"/>
  <c r="I73" i="82" l="1"/>
  <c r="I43" i="82"/>
  <c r="I74" i="82"/>
  <c r="I50" i="82"/>
  <c r="I47" i="82" s="1"/>
  <c r="I116" i="82"/>
  <c r="I112" i="82" s="1"/>
  <c r="I44" i="82"/>
  <c r="I41" i="82" l="1"/>
  <c r="I120" i="82"/>
  <c r="I71" i="82"/>
  <c r="I122" i="82" l="1"/>
  <c r="I118" i="82"/>
  <c r="A118" i="82"/>
  <c r="E10" i="87" l="1"/>
  <c r="E10" i="88"/>
  <c r="M121" i="82"/>
  <c r="M119" i="82"/>
  <c r="K10" i="82"/>
  <c r="M13" i="82"/>
  <c r="I124" i="82"/>
  <c r="E15" i="88" l="1"/>
  <c r="E29" i="87"/>
  <c r="C10" i="88"/>
  <c r="D10" i="88" s="1"/>
  <c r="C10" i="87"/>
  <c r="E20" i="88"/>
  <c r="E24" i="87"/>
  <c r="D10" i="87"/>
  <c r="D49" i="54"/>
  <c r="J48" i="54"/>
  <c r="J49" i="54" s="1"/>
  <c r="P47" i="54"/>
  <c r="M47" i="54"/>
  <c r="G126" i="54"/>
  <c r="J126" i="54" s="1"/>
  <c r="P389" i="54"/>
  <c r="M389" i="54"/>
  <c r="C11" i="87" l="1"/>
  <c r="C14" i="87"/>
  <c r="D14" i="87" s="1"/>
  <c r="H14" i="87" s="1"/>
  <c r="C17" i="87"/>
  <c r="C20" i="87"/>
  <c r="D20" i="87" s="1"/>
  <c r="H20" i="87" s="1"/>
  <c r="C13" i="87"/>
  <c r="D13" i="87" s="1"/>
  <c r="H13" i="87" s="1"/>
  <c r="C16" i="87"/>
  <c r="D16" i="87" s="1"/>
  <c r="H16" i="87" s="1"/>
  <c r="C19" i="87"/>
  <c r="D19" i="87" s="1"/>
  <c r="H19" i="87" s="1"/>
  <c r="C22" i="87"/>
  <c r="D22" i="87" s="1"/>
  <c r="H22" i="87" s="1"/>
  <c r="C12" i="87"/>
  <c r="D12" i="87" s="1"/>
  <c r="H12" i="87" s="1"/>
  <c r="C15" i="87"/>
  <c r="D15" i="87" s="1"/>
  <c r="H15" i="87" s="1"/>
  <c r="C18" i="87"/>
  <c r="D18" i="87" s="1"/>
  <c r="H18" i="87" s="1"/>
  <c r="C21" i="87"/>
  <c r="D21" i="87" s="1"/>
  <c r="H21" i="87" s="1"/>
  <c r="F10" i="87"/>
  <c r="C24" i="87"/>
  <c r="H10" i="87"/>
  <c r="C13" i="88"/>
  <c r="D13" i="88" s="1"/>
  <c r="H13" i="88" s="1"/>
  <c r="C12" i="88"/>
  <c r="C11" i="88"/>
  <c r="H10" i="88"/>
  <c r="K47" i="54"/>
  <c r="Q47" i="54" s="1"/>
  <c r="J151" i="54"/>
  <c r="D391" i="54"/>
  <c r="J390" i="54"/>
  <c r="G160" i="54"/>
  <c r="J156" i="54"/>
  <c r="G150" i="54"/>
  <c r="G132" i="54"/>
  <c r="G136" i="54" s="1"/>
  <c r="G140" i="54" s="1"/>
  <c r="J58" i="54"/>
  <c r="J57" i="54"/>
  <c r="D45" i="54"/>
  <c r="J44" i="54"/>
  <c r="J45" i="54" s="1"/>
  <c r="K43" i="54" s="1"/>
  <c r="P43" i="54"/>
  <c r="M43" i="54"/>
  <c r="D41" i="54"/>
  <c r="J40" i="54"/>
  <c r="P39" i="54"/>
  <c r="M39" i="54"/>
  <c r="D37" i="54"/>
  <c r="J36" i="54"/>
  <c r="J37" i="54" s="1"/>
  <c r="K35" i="54" s="1"/>
  <c r="P35" i="54"/>
  <c r="M35" i="54"/>
  <c r="D33" i="54"/>
  <c r="J32" i="54"/>
  <c r="J33" i="54" s="1"/>
  <c r="K31" i="54" s="1"/>
  <c r="P31" i="54"/>
  <c r="M31" i="54"/>
  <c r="D29" i="54"/>
  <c r="J28" i="54"/>
  <c r="J29" i="54" s="1"/>
  <c r="P27" i="54"/>
  <c r="M27" i="54"/>
  <c r="C15" i="88" l="1"/>
  <c r="F10" i="88"/>
  <c r="D11" i="88"/>
  <c r="H11" i="88"/>
  <c r="D12" i="88"/>
  <c r="H12" i="88"/>
  <c r="D17" i="87"/>
  <c r="H17" i="87"/>
  <c r="D11" i="87"/>
  <c r="H11" i="87"/>
  <c r="N47" i="54"/>
  <c r="J391" i="54"/>
  <c r="K389" i="54" s="1"/>
  <c r="Q389" i="54" s="1"/>
  <c r="Q43" i="54"/>
  <c r="N43" i="54"/>
  <c r="J41" i="54"/>
  <c r="K39" i="54" s="1"/>
  <c r="Q35" i="54"/>
  <c r="N35" i="54"/>
  <c r="Q31" i="54"/>
  <c r="N31" i="54"/>
  <c r="K27" i="54"/>
  <c r="N27" i="54" s="1"/>
  <c r="J10" i="87" l="1"/>
  <c r="G10" i="87"/>
  <c r="D24" i="87"/>
  <c r="J10" i="88"/>
  <c r="G10" i="88"/>
  <c r="D15" i="88"/>
  <c r="N389" i="54"/>
  <c r="Q39" i="54"/>
  <c r="N39" i="54"/>
  <c r="Q27" i="54"/>
  <c r="P314" i="54" l="1"/>
  <c r="M314" i="54"/>
  <c r="D317" i="54"/>
  <c r="J316" i="54"/>
  <c r="J315" i="54"/>
  <c r="M319" i="54"/>
  <c r="P319" i="54"/>
  <c r="D321" i="54"/>
  <c r="J320" i="54"/>
  <c r="J321" i="54" s="1"/>
  <c r="K319" i="54" s="1"/>
  <c r="J317" i="54" l="1"/>
  <c r="K314" i="54" s="1"/>
  <c r="N314" i="54" s="1"/>
  <c r="Q319" i="54"/>
  <c r="N319" i="54"/>
  <c r="Q314" i="54" l="1"/>
  <c r="D209" i="54"/>
  <c r="J208" i="54"/>
  <c r="P207" i="54"/>
  <c r="M207" i="54"/>
  <c r="J209" i="54" l="1"/>
  <c r="K207" i="54" s="1"/>
  <c r="N207" i="54" s="1"/>
  <c r="Q207" i="54" l="1"/>
  <c r="P111" i="54" l="1"/>
  <c r="M111" i="54"/>
  <c r="J15" i="57"/>
  <c r="D377" i="54" l="1"/>
  <c r="J376" i="54"/>
  <c r="J377" i="54" s="1"/>
  <c r="K375" i="54" s="1"/>
  <c r="P375" i="54"/>
  <c r="M375" i="54"/>
  <c r="D373" i="54"/>
  <c r="J372" i="54"/>
  <c r="J373" i="54" s="1"/>
  <c r="K371" i="54" s="1"/>
  <c r="P371" i="54"/>
  <c r="M371" i="54"/>
  <c r="Q375" i="54" l="1"/>
  <c r="N375" i="54"/>
  <c r="N371" i="54"/>
  <c r="Q371" i="54"/>
  <c r="D355" i="54" l="1"/>
  <c r="J354" i="54"/>
  <c r="J355" i="54" s="1"/>
  <c r="K353" i="54" s="1"/>
  <c r="P353" i="54"/>
  <c r="M353" i="54"/>
  <c r="H157" i="39"/>
  <c r="J157" i="39"/>
  <c r="D312" i="54"/>
  <c r="J311" i="54"/>
  <c r="J312" i="54" s="1"/>
  <c r="K310" i="54" s="1"/>
  <c r="J144" i="39"/>
  <c r="H144" i="39"/>
  <c r="J143" i="39"/>
  <c r="H143" i="39"/>
  <c r="J142" i="39"/>
  <c r="H142" i="39"/>
  <c r="J141" i="39"/>
  <c r="H141" i="39"/>
  <c r="J140" i="39"/>
  <c r="H140" i="39"/>
  <c r="J139" i="39"/>
  <c r="H139" i="39"/>
  <c r="J290" i="54"/>
  <c r="J289" i="54"/>
  <c r="J73" i="39"/>
  <c r="H73" i="39"/>
  <c r="J72" i="39"/>
  <c r="H72" i="39"/>
  <c r="J71" i="39"/>
  <c r="H71" i="39"/>
  <c r="J70" i="39"/>
  <c r="H70" i="39"/>
  <c r="J69" i="39"/>
  <c r="H69" i="39"/>
  <c r="J68" i="39"/>
  <c r="H68" i="39"/>
  <c r="J56" i="39"/>
  <c r="H56" i="39"/>
  <c r="J55" i="39"/>
  <c r="H55" i="39"/>
  <c r="J54" i="39"/>
  <c r="H54" i="39"/>
  <c r="J53" i="39"/>
  <c r="H53" i="39"/>
  <c r="J52" i="39"/>
  <c r="H52" i="39"/>
  <c r="J51" i="39"/>
  <c r="H51" i="39"/>
  <c r="J50" i="39"/>
  <c r="H50" i="39"/>
  <c r="J36" i="39"/>
  <c r="H36" i="39"/>
  <c r="J35" i="39"/>
  <c r="H35" i="39"/>
  <c r="J34" i="39"/>
  <c r="H34" i="39"/>
  <c r="J33" i="39"/>
  <c r="H33" i="39"/>
  <c r="J187" i="54"/>
  <c r="J186" i="54"/>
  <c r="Q353" i="54" l="1"/>
  <c r="N353" i="54"/>
  <c r="H145" i="39"/>
  <c r="J145" i="39"/>
  <c r="H37" i="39"/>
  <c r="G29" i="39" s="1"/>
  <c r="J37" i="39"/>
  <c r="I29" i="39" s="1"/>
  <c r="H74" i="39"/>
  <c r="L255" i="54" s="1"/>
  <c r="J74" i="39"/>
  <c r="H57" i="39"/>
  <c r="G46" i="39" s="1"/>
  <c r="J57" i="39"/>
  <c r="I46" i="39" s="1"/>
  <c r="I64" i="39" l="1"/>
  <c r="O255" i="54"/>
  <c r="O310" i="54"/>
  <c r="P310" i="54" s="1"/>
  <c r="Q310" i="54" s="1"/>
  <c r="G135" i="39"/>
  <c r="L310" i="54"/>
  <c r="M310" i="54" s="1"/>
  <c r="N310" i="54" s="1"/>
  <c r="I135" i="39"/>
  <c r="G64" i="39"/>
  <c r="D24" i="75" l="1"/>
  <c r="D28" i="75" s="1"/>
  <c r="E21" i="75"/>
  <c r="B8" i="75"/>
  <c r="B7" i="75"/>
  <c r="B6" i="75"/>
  <c r="D24" i="74"/>
  <c r="D28" i="74" s="1"/>
  <c r="E21" i="74"/>
  <c r="B8" i="74"/>
  <c r="B7" i="74"/>
  <c r="B6" i="74"/>
  <c r="J100" i="54" l="1"/>
  <c r="J101" i="54" s="1"/>
  <c r="U90" i="54"/>
  <c r="D90" i="54"/>
  <c r="U89" i="54"/>
  <c r="J89" i="54"/>
  <c r="J90" i="54" s="1"/>
  <c r="K88" i="54" s="1"/>
  <c r="P88" i="54"/>
  <c r="M88" i="54"/>
  <c r="U87" i="54"/>
  <c r="Q88" i="54" l="1"/>
  <c r="U88" i="54" s="1"/>
  <c r="N88" i="54"/>
  <c r="K44" i="8" l="1"/>
  <c r="K41" i="8"/>
  <c r="K38" i="8"/>
  <c r="K35" i="8"/>
  <c r="K32" i="8"/>
  <c r="K29" i="8"/>
  <c r="K26" i="8"/>
  <c r="K23" i="8"/>
  <c r="K20" i="8"/>
  <c r="K17" i="8"/>
  <c r="K14" i="8"/>
  <c r="K11" i="8"/>
  <c r="D281" i="54" l="1"/>
  <c r="J280" i="54"/>
  <c r="J281" i="54" s="1"/>
  <c r="K278" i="54" s="1"/>
  <c r="J257" i="54" l="1"/>
  <c r="J256" i="54"/>
  <c r="J368" i="54"/>
  <c r="D331" i="54"/>
  <c r="J330" i="54"/>
  <c r="J331" i="54" s="1"/>
  <c r="K329" i="54" s="1"/>
  <c r="P329" i="54"/>
  <c r="M329" i="54"/>
  <c r="D327" i="54"/>
  <c r="J326" i="54"/>
  <c r="J327" i="54" s="1"/>
  <c r="K325" i="54" s="1"/>
  <c r="J158" i="39"/>
  <c r="H158" i="39"/>
  <c r="Q329" i="54" l="1"/>
  <c r="N329" i="54"/>
  <c r="H159" i="39"/>
  <c r="J159" i="39"/>
  <c r="I153" i="39" l="1"/>
  <c r="O325" i="54"/>
  <c r="P325" i="54" s="1"/>
  <c r="Q325" i="54" s="1"/>
  <c r="G153" i="39"/>
  <c r="L325" i="54"/>
  <c r="M325" i="54" s="1"/>
  <c r="N325" i="54" s="1"/>
  <c r="D351" i="54" l="1"/>
  <c r="J350" i="54"/>
  <c r="J351" i="54" s="1"/>
  <c r="K349" i="54" s="1"/>
  <c r="P349" i="54"/>
  <c r="M349" i="54"/>
  <c r="D343" i="54"/>
  <c r="J342" i="54"/>
  <c r="J343" i="54" s="1"/>
  <c r="K341" i="54" s="1"/>
  <c r="P341" i="54"/>
  <c r="M341" i="54"/>
  <c r="D339" i="54"/>
  <c r="J338" i="54"/>
  <c r="J339" i="54" s="1"/>
  <c r="K337" i="54" s="1"/>
  <c r="P337" i="54"/>
  <c r="M337" i="54"/>
  <c r="D335" i="54"/>
  <c r="J334" i="54"/>
  <c r="J335" i="54" s="1"/>
  <c r="K333" i="54" s="1"/>
  <c r="P333" i="54"/>
  <c r="M333" i="54"/>
  <c r="J271" i="54"/>
  <c r="Q349" i="54" l="1"/>
  <c r="N349" i="54"/>
  <c r="Q341" i="54"/>
  <c r="N341" i="54"/>
  <c r="Q337" i="54"/>
  <c r="N337" i="54"/>
  <c r="Q333" i="54"/>
  <c r="N333" i="54"/>
  <c r="J185" i="54" l="1"/>
  <c r="J188" i="54" s="1"/>
  <c r="D161" i="54"/>
  <c r="J160" i="54"/>
  <c r="P159" i="54"/>
  <c r="M159" i="54"/>
  <c r="J161" i="54" l="1"/>
  <c r="K159" i="54" s="1"/>
  <c r="Q159" i="54" s="1"/>
  <c r="D145" i="54"/>
  <c r="J144" i="54"/>
  <c r="J145" i="54" s="1"/>
  <c r="K143" i="54" s="1"/>
  <c r="P143" i="54"/>
  <c r="M143" i="54"/>
  <c r="U114" i="54"/>
  <c r="N159" i="54" l="1"/>
  <c r="Q143" i="54"/>
  <c r="N143" i="54"/>
  <c r="J68" i="54"/>
  <c r="J62" i="54"/>
  <c r="D59" i="54"/>
  <c r="P55" i="54"/>
  <c r="M55" i="54"/>
  <c r="J71" i="54" l="1"/>
  <c r="J59" i="54"/>
  <c r="K55" i="54" s="1"/>
  <c r="Q55" i="54" s="1"/>
  <c r="N55" i="54" l="1"/>
  <c r="B8" i="64" l="1"/>
  <c r="B7" i="64"/>
  <c r="B6" i="64"/>
  <c r="D364" i="54" l="1"/>
  <c r="J363" i="54"/>
  <c r="P361" i="54"/>
  <c r="M361" i="54"/>
  <c r="J359" i="54" l="1"/>
  <c r="J364" i="54"/>
  <c r="K361" i="54" s="1"/>
  <c r="Q361" i="54" s="1"/>
  <c r="N361" i="54" l="1"/>
  <c r="J347" i="54" l="1"/>
  <c r="J261" i="54" l="1"/>
  <c r="D240" i="54"/>
  <c r="P238" i="54"/>
  <c r="M238" i="54"/>
  <c r="D236" i="54"/>
  <c r="P234" i="54"/>
  <c r="M234" i="54"/>
  <c r="J220" i="54"/>
  <c r="J222" i="54" s="1"/>
  <c r="J212" i="54"/>
  <c r="D200" i="54"/>
  <c r="J191" i="54"/>
  <c r="J200" i="54" s="1"/>
  <c r="P190" i="54"/>
  <c r="M190" i="54"/>
  <c r="D157" i="54"/>
  <c r="P154" i="54"/>
  <c r="M154" i="54"/>
  <c r="D152" i="54"/>
  <c r="J150" i="54"/>
  <c r="J152" i="54" s="1"/>
  <c r="P149" i="54"/>
  <c r="M149" i="54"/>
  <c r="K190" i="54" l="1"/>
  <c r="Q190" i="54" s="1"/>
  <c r="J155" i="54" l="1"/>
  <c r="N190" i="54"/>
  <c r="K149" i="54"/>
  <c r="Q149" i="54" s="1"/>
  <c r="J157" i="54" l="1"/>
  <c r="K154" i="54" s="1"/>
  <c r="N149" i="54"/>
  <c r="Q154" i="54" l="1"/>
  <c r="N154" i="54"/>
  <c r="J132" i="54" l="1"/>
  <c r="J140" i="54" l="1"/>
  <c r="D141" i="54"/>
  <c r="D127" i="54"/>
  <c r="J141" i="54" l="1"/>
  <c r="G402" i="54" s="1"/>
  <c r="J127" i="54"/>
  <c r="K125" i="54" s="1"/>
  <c r="K139" i="54" l="1"/>
  <c r="P139" i="54"/>
  <c r="P125" i="54"/>
  <c r="Q125" i="54" s="1"/>
  <c r="M139" i="54"/>
  <c r="M125" i="54"/>
  <c r="N125" i="54" s="1"/>
  <c r="N139" i="54" l="1"/>
  <c r="Q139" i="54"/>
  <c r="D28" i="65" l="1"/>
  <c r="D24" i="65"/>
  <c r="E21" i="65"/>
  <c r="B8" i="65"/>
  <c r="B7" i="65"/>
  <c r="B6" i="65"/>
  <c r="D24" i="64"/>
  <c r="D28" i="64" s="1"/>
  <c r="E21" i="64"/>
  <c r="D137" i="54" l="1"/>
  <c r="P135" i="54"/>
  <c r="M135" i="54"/>
  <c r="D133" i="54"/>
  <c r="P131" i="54"/>
  <c r="M131" i="54"/>
  <c r="J133" i="54" l="1"/>
  <c r="K131" i="54" l="1"/>
  <c r="Q131" i="54" s="1"/>
  <c r="J136" i="54"/>
  <c r="J137" i="54" l="1"/>
  <c r="K135" i="54" s="1"/>
  <c r="N131" i="54"/>
  <c r="D63" i="54"/>
  <c r="J63" i="54"/>
  <c r="P61" i="54"/>
  <c r="M61" i="54"/>
  <c r="N135" i="54" l="1"/>
  <c r="Q135" i="54"/>
  <c r="K61" i="54"/>
  <c r="B34" i="8"/>
  <c r="B31" i="8"/>
  <c r="B28" i="8"/>
  <c r="B13" i="8"/>
  <c r="D403" i="54"/>
  <c r="P401" i="54"/>
  <c r="M401" i="54"/>
  <c r="D399" i="54"/>
  <c r="J398" i="54"/>
  <c r="J399" i="54" s="1"/>
  <c r="K397" i="54" s="1"/>
  <c r="P397" i="54"/>
  <c r="M397" i="54"/>
  <c r="D395" i="54"/>
  <c r="J394" i="54"/>
  <c r="J395" i="54" s="1"/>
  <c r="K393" i="54" s="1"/>
  <c r="P393" i="54"/>
  <c r="M393" i="54"/>
  <c r="D381" i="54"/>
  <c r="J380" i="54"/>
  <c r="J381" i="54" s="1"/>
  <c r="K379" i="54" s="1"/>
  <c r="B7" i="57"/>
  <c r="B6" i="57"/>
  <c r="B5" i="57"/>
  <c r="B4" i="57"/>
  <c r="J367" i="54"/>
  <c r="J369" i="54" s="1"/>
  <c r="D347" i="54"/>
  <c r="P345" i="54"/>
  <c r="M345" i="54"/>
  <c r="J111" i="39"/>
  <c r="H111" i="39"/>
  <c r="J110" i="39"/>
  <c r="H110" i="39"/>
  <c r="J109" i="39"/>
  <c r="H109" i="39"/>
  <c r="J108" i="39"/>
  <c r="H108" i="39"/>
  <c r="J107" i="39"/>
  <c r="H107" i="39"/>
  <c r="J106" i="39"/>
  <c r="H106" i="39"/>
  <c r="J105" i="39"/>
  <c r="H105" i="39"/>
  <c r="J104" i="39"/>
  <c r="H104" i="39"/>
  <c r="J103" i="39"/>
  <c r="H103" i="39"/>
  <c r="Q61" i="54" l="1"/>
  <c r="N61" i="54"/>
  <c r="N393" i="54"/>
  <c r="Q393" i="54"/>
  <c r="N397" i="54"/>
  <c r="Q397" i="54"/>
  <c r="K345" i="54"/>
  <c r="Q345" i="54" s="1"/>
  <c r="J112" i="39"/>
  <c r="H112" i="39"/>
  <c r="I99" i="39" l="1"/>
  <c r="O264" i="54"/>
  <c r="G99" i="39"/>
  <c r="L264" i="54"/>
  <c r="N345" i="54"/>
  <c r="P379" i="54" l="1"/>
  <c r="Q379" i="54" s="1"/>
  <c r="M379" i="54"/>
  <c r="N379" i="54" s="1"/>
  <c r="D232" i="54"/>
  <c r="P230" i="54"/>
  <c r="M230" i="54"/>
  <c r="J232" i="54" l="1"/>
  <c r="D226" i="54"/>
  <c r="J225" i="54"/>
  <c r="J226" i="54" s="1"/>
  <c r="K224" i="54" s="1"/>
  <c r="P224" i="54"/>
  <c r="M224" i="54"/>
  <c r="D222" i="54"/>
  <c r="P219" i="54"/>
  <c r="M219" i="54"/>
  <c r="D217" i="54"/>
  <c r="J217" i="54"/>
  <c r="P211" i="54"/>
  <c r="M211" i="54"/>
  <c r="D205" i="54"/>
  <c r="P202" i="54"/>
  <c r="M202" i="54"/>
  <c r="D188" i="54"/>
  <c r="P182" i="54"/>
  <c r="M182" i="54"/>
  <c r="D178" i="54"/>
  <c r="J177" i="54"/>
  <c r="P176" i="54"/>
  <c r="M176" i="54"/>
  <c r="D170" i="54"/>
  <c r="J169" i="54"/>
  <c r="J168" i="54"/>
  <c r="P167" i="54"/>
  <c r="M167" i="54"/>
  <c r="K230" i="54" l="1"/>
  <c r="N230" i="54" s="1"/>
  <c r="G235" i="54"/>
  <c r="J235" i="54" s="1"/>
  <c r="J236" i="54" s="1"/>
  <c r="G239" i="54" s="1"/>
  <c r="J239" i="54" s="1"/>
  <c r="J240" i="54" s="1"/>
  <c r="K182" i="54"/>
  <c r="N182" i="54" s="1"/>
  <c r="K202" i="54"/>
  <c r="Q202" i="54" s="1"/>
  <c r="J178" i="54"/>
  <c r="K176" i="54" s="1"/>
  <c r="Q176" i="54" s="1"/>
  <c r="K211" i="54"/>
  <c r="N211" i="54" s="1"/>
  <c r="K219" i="54"/>
  <c r="Q219" i="54" s="1"/>
  <c r="J170" i="54"/>
  <c r="K167" i="54" s="1"/>
  <c r="Q167" i="54" s="1"/>
  <c r="Q224" i="54"/>
  <c r="N224" i="54"/>
  <c r="Q230" i="54" l="1"/>
  <c r="K234" i="54"/>
  <c r="N234" i="54" s="1"/>
  <c r="K238" i="54"/>
  <c r="Q182" i="54"/>
  <c r="N202" i="54"/>
  <c r="N176" i="54"/>
  <c r="Q211" i="54"/>
  <c r="N167" i="54"/>
  <c r="N219" i="54"/>
  <c r="Q234" i="54" l="1"/>
  <c r="Q238" i="54"/>
  <c r="N238" i="54"/>
  <c r="N147" i="54"/>
  <c r="Q180" i="54"/>
  <c r="C31" i="8" s="1"/>
  <c r="N180" i="54"/>
  <c r="H31" i="8" l="1"/>
  <c r="G31" i="8"/>
  <c r="I31" i="8"/>
  <c r="Q147" i="54"/>
  <c r="C28" i="8" s="1"/>
  <c r="H28" i="8" l="1"/>
  <c r="I28" i="8"/>
  <c r="G28" i="8"/>
  <c r="F28" i="8"/>
  <c r="D107" i="54"/>
  <c r="J106" i="54"/>
  <c r="J107" i="54" s="1"/>
  <c r="P105" i="54"/>
  <c r="M105" i="54"/>
  <c r="D101" i="54"/>
  <c r="P99" i="54"/>
  <c r="M99" i="54"/>
  <c r="K99" i="54" l="1"/>
  <c r="K105" i="54"/>
  <c r="Q105" i="54" s="1"/>
  <c r="Q99" i="54" l="1"/>
  <c r="N99" i="54"/>
  <c r="N105" i="54"/>
  <c r="Q96" i="54" l="1"/>
  <c r="C19" i="8" s="1"/>
  <c r="E19" i="8" s="1"/>
  <c r="N96" i="54"/>
  <c r="D308" i="54"/>
  <c r="J307" i="54"/>
  <c r="P306" i="54"/>
  <c r="M306" i="54"/>
  <c r="D304" i="54"/>
  <c r="J303" i="54"/>
  <c r="P302" i="54"/>
  <c r="M302" i="54"/>
  <c r="D300" i="54"/>
  <c r="J299" i="54"/>
  <c r="P298" i="54"/>
  <c r="M298" i="54"/>
  <c r="D296" i="54"/>
  <c r="J295" i="54"/>
  <c r="P293" i="54"/>
  <c r="M293" i="54"/>
  <c r="D291" i="54"/>
  <c r="J288" i="54"/>
  <c r="J291" i="54" s="1"/>
  <c r="P287" i="54"/>
  <c r="M287" i="54"/>
  <c r="D285" i="54"/>
  <c r="J284" i="54"/>
  <c r="J285" i="54" s="1"/>
  <c r="P283" i="54"/>
  <c r="M283" i="54"/>
  <c r="J267" i="54"/>
  <c r="J296" i="54" l="1"/>
  <c r="K293" i="54" s="1"/>
  <c r="G19" i="8"/>
  <c r="I19" i="8"/>
  <c r="H19" i="8"/>
  <c r="D19" i="8"/>
  <c r="F19" i="8"/>
  <c r="J308" i="54"/>
  <c r="K306" i="54" s="1"/>
  <c r="Q306" i="54" s="1"/>
  <c r="J304" i="54"/>
  <c r="K302" i="54" s="1"/>
  <c r="Q302" i="54" s="1"/>
  <c r="J300" i="54"/>
  <c r="K298" i="54" s="1"/>
  <c r="N298" i="54" s="1"/>
  <c r="K287" i="54"/>
  <c r="Q287" i="54" s="1"/>
  <c r="K283" i="54"/>
  <c r="N283" i="54" s="1"/>
  <c r="N293" i="54" l="1"/>
  <c r="Q293" i="54"/>
  <c r="K19" i="8"/>
  <c r="N302" i="54"/>
  <c r="N306" i="54"/>
  <c r="Q298" i="54"/>
  <c r="N287" i="54"/>
  <c r="Q283" i="54"/>
  <c r="D276" i="54"/>
  <c r="J275" i="54"/>
  <c r="J276" i="54" s="1"/>
  <c r="K274" i="54" s="1"/>
  <c r="P274" i="54"/>
  <c r="M274" i="54"/>
  <c r="D272" i="54"/>
  <c r="J272" i="54"/>
  <c r="K270" i="54" s="1"/>
  <c r="P270" i="54"/>
  <c r="M270" i="54"/>
  <c r="D268" i="54"/>
  <c r="J266" i="54"/>
  <c r="D262" i="54"/>
  <c r="J91" i="39"/>
  <c r="H91" i="39"/>
  <c r="J90" i="39"/>
  <c r="H90" i="39"/>
  <c r="J89" i="39"/>
  <c r="H89" i="39"/>
  <c r="J88" i="39"/>
  <c r="H88" i="39"/>
  <c r="J87" i="39"/>
  <c r="H87" i="39"/>
  <c r="J86" i="39"/>
  <c r="H86" i="39"/>
  <c r="J85" i="39"/>
  <c r="H85" i="39"/>
  <c r="J262" i="54" l="1"/>
  <c r="K260" i="54" s="1"/>
  <c r="J268" i="54"/>
  <c r="K264" i="54" s="1"/>
  <c r="N274" i="54"/>
  <c r="Q274" i="54"/>
  <c r="N270" i="54"/>
  <c r="Q270" i="54"/>
  <c r="J92" i="39"/>
  <c r="J258" i="54"/>
  <c r="H92" i="39"/>
  <c r="I81" i="39" l="1"/>
  <c r="O260" i="54"/>
  <c r="P260" i="54" s="1"/>
  <c r="Q260" i="54" s="1"/>
  <c r="P264" i="54"/>
  <c r="Q264" i="54" s="1"/>
  <c r="M264" i="54"/>
  <c r="N264" i="54" s="1"/>
  <c r="G81" i="39"/>
  <c r="L260" i="54"/>
  <c r="M260" i="54" s="1"/>
  <c r="N260" i="54" s="1"/>
  <c r="J113" i="54" l="1"/>
  <c r="G116" i="54" s="1"/>
  <c r="J116" i="54" s="1"/>
  <c r="J119" i="54" s="1"/>
  <c r="G122" i="54" s="1"/>
  <c r="U113" i="54"/>
  <c r="D113" i="54"/>
  <c r="U110" i="54"/>
  <c r="J19" i="39" l="1"/>
  <c r="J18" i="39"/>
  <c r="D19" i="54"/>
  <c r="J18" i="54"/>
  <c r="J19" i="54" s="1"/>
  <c r="K17" i="54" s="1"/>
  <c r="K111" i="54" l="1"/>
  <c r="N111" i="54" s="1"/>
  <c r="J20" i="39"/>
  <c r="H18" i="39"/>
  <c r="H19" i="39"/>
  <c r="I14" i="39" l="1"/>
  <c r="Q111" i="54"/>
  <c r="O17" i="54"/>
  <c r="P17" i="54" s="1"/>
  <c r="Q17" i="54" s="1"/>
  <c r="H20" i="39"/>
  <c r="U111" i="54" l="1"/>
  <c r="Q15" i="54"/>
  <c r="G14" i="39"/>
  <c r="L17" i="54"/>
  <c r="M17" i="54" s="1"/>
  <c r="N17" i="54" s="1"/>
  <c r="N15" i="54" l="1"/>
  <c r="C10" i="8"/>
  <c r="H10" i="8" l="1"/>
  <c r="I10" i="8"/>
  <c r="F10" i="8"/>
  <c r="G10" i="8"/>
  <c r="D251" i="54" l="1"/>
  <c r="P249" i="54"/>
  <c r="M249" i="54"/>
  <c r="B8" i="56" l="1"/>
  <c r="B7" i="56"/>
  <c r="B6" i="56"/>
  <c r="B8" i="55"/>
  <c r="B7" i="55"/>
  <c r="B6" i="55"/>
  <c r="D30" i="56"/>
  <c r="D26" i="56"/>
  <c r="E23" i="56"/>
  <c r="D20" i="56"/>
  <c r="D18" i="56"/>
  <c r="D26" i="55"/>
  <c r="E23" i="55"/>
  <c r="D18" i="55"/>
  <c r="D20" i="55" s="1"/>
  <c r="D30" i="55" s="1"/>
  <c r="J127" i="39" l="1"/>
  <c r="H127" i="39"/>
  <c r="J126" i="39"/>
  <c r="H126" i="39"/>
  <c r="J124" i="39" l="1"/>
  <c r="H124" i="39"/>
  <c r="J125" i="39"/>
  <c r="H125" i="39"/>
  <c r="J123" i="39"/>
  <c r="H123" i="39"/>
  <c r="B7" i="39" l="1"/>
  <c r="B6" i="39"/>
  <c r="B5" i="39"/>
  <c r="B4" i="39"/>
  <c r="A6" i="26"/>
  <c r="A5" i="26"/>
  <c r="A4" i="26"/>
  <c r="B43" i="8"/>
  <c r="B40" i="8"/>
  <c r="B37" i="8"/>
  <c r="B25" i="8"/>
  <c r="B22" i="8"/>
  <c r="B16" i="8"/>
  <c r="A5" i="8"/>
  <c r="A4" i="8"/>
  <c r="A3" i="8"/>
  <c r="D86" i="54" l="1"/>
  <c r="J85" i="54"/>
  <c r="J86" i="54" s="1"/>
  <c r="P84" i="54"/>
  <c r="M84" i="54"/>
  <c r="D77" i="54"/>
  <c r="P73" i="54"/>
  <c r="M73" i="54"/>
  <c r="D71" i="54"/>
  <c r="P67" i="54"/>
  <c r="M67" i="54"/>
  <c r="K84" i="54" l="1"/>
  <c r="Q84" i="54" s="1"/>
  <c r="K67" i="54" l="1"/>
  <c r="N67" i="54" s="1"/>
  <c r="N84" i="54"/>
  <c r="J77" i="54" l="1"/>
  <c r="K73" i="54" s="1"/>
  <c r="Q67" i="54"/>
  <c r="Q73" i="54" l="1"/>
  <c r="Q65" i="54" s="1"/>
  <c r="C16" i="8" s="1"/>
  <c r="H16" i="8" s="1"/>
  <c r="N73" i="54"/>
  <c r="N65" i="54" s="1"/>
  <c r="D385" i="54"/>
  <c r="J384" i="54"/>
  <c r="J385" i="54" s="1"/>
  <c r="P383" i="54"/>
  <c r="M383" i="54"/>
  <c r="D369" i="54"/>
  <c r="P366" i="54"/>
  <c r="M366" i="54"/>
  <c r="D359" i="54"/>
  <c r="P357" i="54"/>
  <c r="M357" i="54"/>
  <c r="D258" i="54"/>
  <c r="P255" i="54"/>
  <c r="M255" i="54"/>
  <c r="D247" i="54"/>
  <c r="J245" i="54"/>
  <c r="P242" i="54"/>
  <c r="M242" i="54"/>
  <c r="D123" i="54"/>
  <c r="P121" i="54"/>
  <c r="M121" i="54"/>
  <c r="D119" i="54"/>
  <c r="P115" i="54"/>
  <c r="M115" i="54"/>
  <c r="D25" i="54"/>
  <c r="J24" i="54"/>
  <c r="J25" i="54" s="1"/>
  <c r="K23" i="54" s="1"/>
  <c r="P23" i="54"/>
  <c r="M23" i="54"/>
  <c r="J247" i="54" l="1"/>
  <c r="G250" i="54" s="1"/>
  <c r="J250" i="54" s="1"/>
  <c r="J251" i="54" s="1"/>
  <c r="K249" i="54" s="1"/>
  <c r="G16" i="8"/>
  <c r="I16" i="8"/>
  <c r="J402" i="54"/>
  <c r="J403" i="54" s="1"/>
  <c r="K401" i="54" s="1"/>
  <c r="K383" i="54"/>
  <c r="K357" i="54"/>
  <c r="K255" i="54"/>
  <c r="Q255" i="54" s="1"/>
  <c r="K242" i="54"/>
  <c r="Q242" i="54" s="1"/>
  <c r="K366" i="54"/>
  <c r="Q366" i="54" s="1"/>
  <c r="Q23" i="54"/>
  <c r="N23" i="54"/>
  <c r="Q249" i="54" l="1"/>
  <c r="N249" i="54"/>
  <c r="Q401" i="54"/>
  <c r="Q387" i="54" s="1"/>
  <c r="N401" i="54"/>
  <c r="N387" i="54" s="1"/>
  <c r="Q383" i="54"/>
  <c r="N383" i="54"/>
  <c r="N242" i="54"/>
  <c r="Q21" i="54"/>
  <c r="C13" i="8" s="1"/>
  <c r="N255" i="54"/>
  <c r="N129" i="54"/>
  <c r="Q129" i="54"/>
  <c r="N366" i="54"/>
  <c r="Q357" i="54"/>
  <c r="N357" i="54"/>
  <c r="Q323" i="54" l="1"/>
  <c r="N323" i="54"/>
  <c r="I13" i="8"/>
  <c r="G13" i="8"/>
  <c r="H13" i="8"/>
  <c r="C25" i="8"/>
  <c r="E13" i="8"/>
  <c r="F13" i="8"/>
  <c r="D13" i="8"/>
  <c r="J122" i="54"/>
  <c r="J123" i="54" s="1"/>
  <c r="N21" i="54"/>
  <c r="K13" i="8" l="1"/>
  <c r="E25" i="8"/>
  <c r="I25" i="8"/>
  <c r="H25" i="8"/>
  <c r="G25" i="8"/>
  <c r="F25" i="8"/>
  <c r="K121" i="54"/>
  <c r="Q121" i="54" s="1"/>
  <c r="K115" i="54"/>
  <c r="Q115" i="54" s="1"/>
  <c r="D10" i="8"/>
  <c r="E10" i="8"/>
  <c r="N228" i="54" l="1"/>
  <c r="K10" i="8"/>
  <c r="N121" i="54"/>
  <c r="N115" i="54"/>
  <c r="Q228" i="54" l="1"/>
  <c r="C34" i="8" s="1"/>
  <c r="H34" i="8" s="1"/>
  <c r="N109" i="54"/>
  <c r="D34" i="8" l="1"/>
  <c r="F34" i="8"/>
  <c r="E34" i="8"/>
  <c r="I34" i="8"/>
  <c r="G34" i="8"/>
  <c r="Q109" i="54"/>
  <c r="C22" i="8" l="1"/>
  <c r="E22" i="8"/>
  <c r="K34" i="8"/>
  <c r="I22" i="8"/>
  <c r="G22" i="8"/>
  <c r="C43" i="8"/>
  <c r="F22" i="8" l="1"/>
  <c r="H22" i="8"/>
  <c r="I43" i="8"/>
  <c r="H43" i="8"/>
  <c r="G43" i="8"/>
  <c r="D43" i="8"/>
  <c r="E43" i="8"/>
  <c r="F43" i="8"/>
  <c r="J128" i="39"/>
  <c r="H128" i="39"/>
  <c r="L278" i="54" s="1"/>
  <c r="M278" i="54" s="1"/>
  <c r="N278" i="54" s="1"/>
  <c r="N407" i="54" l="1"/>
  <c r="N253" i="54"/>
  <c r="N409" i="54" s="1"/>
  <c r="O278" i="54"/>
  <c r="P278" i="54" s="1"/>
  <c r="Q278" i="54" s="1"/>
  <c r="K43" i="8"/>
  <c r="G119" i="39"/>
  <c r="I119" i="39"/>
  <c r="Q407" i="54" l="1"/>
  <c r="Q253" i="54"/>
  <c r="N405" i="54"/>
  <c r="N411" i="54" s="1"/>
  <c r="C40" i="8"/>
  <c r="Q405" i="54" l="1"/>
  <c r="U17" i="54" s="1"/>
  <c r="Q409" i="54"/>
  <c r="N413" i="54" s="1"/>
  <c r="C37" i="8"/>
  <c r="C46" i="8" s="1"/>
  <c r="G40" i="8"/>
  <c r="I40" i="8"/>
  <c r="H40" i="8"/>
  <c r="Q411" i="54"/>
  <c r="D40" i="8"/>
  <c r="E40" i="8"/>
  <c r="S12" i="54"/>
  <c r="F40" i="8"/>
  <c r="B10" i="26"/>
  <c r="H37" i="8" l="1"/>
  <c r="H49" i="8" s="1"/>
  <c r="I37" i="8"/>
  <c r="I49" i="8" s="1"/>
  <c r="G37" i="8"/>
  <c r="G49" i="8" s="1"/>
  <c r="K40" i="8"/>
  <c r="B12" i="26"/>
  <c r="S13" i="54"/>
  <c r="G50" i="8" l="1"/>
  <c r="I50" i="8"/>
  <c r="H50" i="8"/>
  <c r="C35" i="8"/>
  <c r="C14" i="8"/>
  <c r="C20" i="8"/>
  <c r="D25" i="8" l="1"/>
  <c r="K25" i="8" s="1"/>
  <c r="M644" i="39"/>
  <c r="D31" i="8" l="1"/>
  <c r="E31" i="8"/>
  <c r="D37" i="8"/>
  <c r="E37" i="8"/>
  <c r="F37" i="8"/>
  <c r="F31" i="8"/>
  <c r="K31" i="8" l="1"/>
  <c r="K37" i="8"/>
  <c r="D22" i="8"/>
  <c r="K22" i="8" l="1"/>
  <c r="F16" i="8" l="1"/>
  <c r="F49" i="8" s="1"/>
  <c r="E28" i="8" l="1"/>
  <c r="C44" i="8"/>
  <c r="D28" i="8"/>
  <c r="E16" i="8"/>
  <c r="E49" i="8" s="1"/>
  <c r="D16" i="8"/>
  <c r="D49" i="8" s="1"/>
  <c r="K16" i="8" l="1"/>
  <c r="K28" i="8"/>
  <c r="C11" i="8"/>
  <c r="C41" i="8"/>
  <c r="K49" i="8" l="1"/>
  <c r="D50" i="8"/>
  <c r="D52" i="8"/>
  <c r="D53" i="8" s="1"/>
  <c r="E50" i="8"/>
  <c r="C47" i="8"/>
  <c r="C32" i="8"/>
  <c r="C26" i="8"/>
  <c r="C23" i="8"/>
  <c r="C38" i="8"/>
  <c r="C29" i="8"/>
  <c r="C17" i="8"/>
  <c r="K55" i="8"/>
  <c r="L57" i="8" s="1"/>
  <c r="D55" i="8" l="1"/>
  <c r="L55" i="8" s="1"/>
  <c r="F50" i="8"/>
  <c r="K50" i="8" s="1"/>
  <c r="E52" i="8"/>
  <c r="D16" i="26"/>
  <c r="F52" i="8" l="1"/>
  <c r="G52" i="8" s="1"/>
  <c r="E53" i="8"/>
  <c r="H52" i="8" l="1"/>
  <c r="G53" i="8"/>
  <c r="F53" i="8"/>
  <c r="I52" i="8" l="1"/>
  <c r="I53" i="8" s="1"/>
  <c r="H53" i="8"/>
</calcChain>
</file>

<file path=xl/sharedStrings.xml><?xml version="1.0" encoding="utf-8"?>
<sst xmlns="http://schemas.openxmlformats.org/spreadsheetml/2006/main" count="3674" uniqueCount="965">
  <si>
    <t>PROJETO</t>
  </si>
  <si>
    <t>ITEM</t>
  </si>
  <si>
    <t>DESCRIÇÃO</t>
  </si>
  <si>
    <t>UN.</t>
  </si>
  <si>
    <t>TAXA</t>
  </si>
  <si>
    <t>ALTURA</t>
  </si>
  <si>
    <t>TOTAL</t>
  </si>
  <si>
    <t>1.0</t>
  </si>
  <si>
    <t>1.1</t>
  </si>
  <si>
    <t>2.0</t>
  </si>
  <si>
    <t>3.0</t>
  </si>
  <si>
    <t>4.0</t>
  </si>
  <si>
    <t>5.0</t>
  </si>
  <si>
    <t>CÓDIGO</t>
  </si>
  <si>
    <t>PLANILHA ORÇAMENTÁRIA</t>
  </si>
  <si>
    <t>6.0</t>
  </si>
  <si>
    <t>TOTAL GERAL</t>
  </si>
  <si>
    <t>ETAPA</t>
  </si>
  <si>
    <t>SERVIÇO</t>
  </si>
  <si>
    <t>MÊS/ DESEMBOLSO</t>
  </si>
  <si>
    <t>TOTAL ETAPA (R$)</t>
  </si>
  <si>
    <t>7.0</t>
  </si>
  <si>
    <t>8.0</t>
  </si>
  <si>
    <t>9.0</t>
  </si>
  <si>
    <t>10.0</t>
  </si>
  <si>
    <t>11.0</t>
  </si>
  <si>
    <t>12.0</t>
  </si>
  <si>
    <t>MEMÓRIA DE CÁLCULO EXPLICATIVO</t>
  </si>
  <si>
    <t>TOTAL (R$):</t>
  </si>
  <si>
    <t>1º MÊS</t>
  </si>
  <si>
    <t>2º MÊS</t>
  </si>
  <si>
    <t>3º MÊS</t>
  </si>
  <si>
    <t>MEDIA/MÊS</t>
  </si>
  <si>
    <t>QUANT.</t>
  </si>
  <si>
    <t>TOTAIS PARCIAIS</t>
  </si>
  <si>
    <t>SINAPI</t>
  </si>
  <si>
    <t>FONTE</t>
  </si>
  <si>
    <t xml:space="preserve">DESCRIÇÃO </t>
  </si>
  <si>
    <t>SIGLA</t>
  </si>
  <si>
    <t>VALOR (*)</t>
  </si>
  <si>
    <t>FAIXA REFERENCIAL - Ref. Acórdão 2622/2013</t>
  </si>
  <si>
    <t xml:space="preserve">Taxa de rateio da Administração Central </t>
  </si>
  <si>
    <t>AC</t>
  </si>
  <si>
    <t xml:space="preserve">Taxa de Despesas Financeiras </t>
  </si>
  <si>
    <t>DF</t>
  </si>
  <si>
    <t>Taxa de Risco</t>
  </si>
  <si>
    <t>R</t>
  </si>
  <si>
    <t>COFINS</t>
  </si>
  <si>
    <t>ISS (**)</t>
  </si>
  <si>
    <t>ISS</t>
  </si>
  <si>
    <t>PIS</t>
  </si>
  <si>
    <t>CONTRIBUIÇÃO PREVIDENCIÁRIA SOBRE RECEITA BRUTA (***)</t>
  </si>
  <si>
    <t>CPRB</t>
  </si>
  <si>
    <t>*</t>
  </si>
  <si>
    <t>I</t>
  </si>
  <si>
    <t>Taxa de Lucro</t>
  </si>
  <si>
    <t>L</t>
  </si>
  <si>
    <t>BDI Resultante</t>
  </si>
  <si>
    <t>Fórmula do BDI conforme Acórdão TCU 2622/2013-P:</t>
  </si>
  <si>
    <t xml:space="preserve">Obs.: </t>
  </si>
  <si>
    <t>(*) Todas as taxas adotadas estão na faixa admissível do Acórdão 2622/2013-P do TCU.</t>
  </si>
  <si>
    <t>Obs.:
1. Acompanhar a questão, pois existe a possibilidade da Lei da Desoneração vencer ou ser revogada.
2. As atividades incluídas na desoneração são as relativas aos grupos 412, 432, 433 e 439 da CNAE 2.0</t>
  </si>
  <si>
    <t>Obs.:</t>
  </si>
  <si>
    <t>Fórmula BDI conforme Acórdão TCU 325/2007:</t>
  </si>
  <si>
    <t>TOTAIS ACUMULADOS</t>
  </si>
  <si>
    <t>RESUMO COMPARATIVO</t>
  </si>
  <si>
    <t>VALOR TOTAL DO PROJETO</t>
  </si>
  <si>
    <t>ENCARGOS SOCIAIS ADOTADOS 
(padrão SINAPI Pernambuco)</t>
  </si>
  <si>
    <t>CONCLUSÃO:</t>
  </si>
  <si>
    <t>COMP.</t>
  </si>
  <si>
    <t>LARG.</t>
  </si>
  <si>
    <t>V. UNIT. C/ BDI</t>
  </si>
  <si>
    <t>V. UNIT. S/BDI</t>
  </si>
  <si>
    <t>Unidade</t>
  </si>
  <si>
    <t xml:space="preserve">Fonte </t>
  </si>
  <si>
    <t>Código</t>
  </si>
  <si>
    <t>Composição</t>
  </si>
  <si>
    <t>Custo
Unitário</t>
  </si>
  <si>
    <t>Coeficiente</t>
  </si>
  <si>
    <t>Custo
Total</t>
  </si>
  <si>
    <t>M3</t>
  </si>
  <si>
    <t>H</t>
  </si>
  <si>
    <t>88309</t>
  </si>
  <si>
    <t>PEDREIRO COM ENCARGOS COMPLEMENTARES</t>
  </si>
  <si>
    <t>88316</t>
  </si>
  <si>
    <t>SERVENTE COM ENCARGOS COMPLEMENTARES</t>
  </si>
  <si>
    <t>UN</t>
  </si>
  <si>
    <t>M</t>
  </si>
  <si>
    <t>M2</t>
  </si>
  <si>
    <t>Total</t>
  </si>
  <si>
    <t>COM DESONERAÇÃO</t>
  </si>
  <si>
    <t>88489</t>
  </si>
  <si>
    <t xml:space="preserve">UN    </t>
  </si>
  <si>
    <t>V. TOTAL
C/ BDI</t>
  </si>
  <si>
    <t>COMPOSIÇÕES DE CUSTOS UNITÁRIOS COMPLEMENTARES</t>
  </si>
  <si>
    <t>COMPOSIÇÃO 01</t>
  </si>
  <si>
    <t xml:space="preserve">Discriminação do código de referência: </t>
  </si>
  <si>
    <t>COM DESONERAÇÂO</t>
  </si>
  <si>
    <t>SEM DESONERAÇÂO</t>
  </si>
  <si>
    <t>SINAPI
INSUMO</t>
  </si>
  <si>
    <t>1,0000000</t>
  </si>
  <si>
    <t>SINAPI
COMPOSIÇÃO</t>
  </si>
  <si>
    <t>COMPOSIÇÃO 02</t>
  </si>
  <si>
    <t>COMPOSIÇÃO 03</t>
  </si>
  <si>
    <t xml:space="preserve">KG    </t>
  </si>
  <si>
    <t>SEM DESONERAÇÃO</t>
  </si>
  <si>
    <r>
      <rPr>
        <b/>
        <sz val="10"/>
        <rFont val="Calibri"/>
        <family val="2"/>
        <scheme val="minor"/>
      </rPr>
      <t xml:space="preserve">BDI </t>
    </r>
    <r>
      <rPr>
        <b/>
        <sz val="9"/>
        <rFont val="Calibri"/>
        <family val="2"/>
        <scheme val="minor"/>
      </rPr>
      <t>(EDIFICAÇÕES) =</t>
    </r>
  </si>
  <si>
    <r>
      <rPr>
        <b/>
        <sz val="10"/>
        <rFont val="Calibri"/>
        <family val="2"/>
        <scheme val="minor"/>
      </rPr>
      <t>BDI</t>
    </r>
    <r>
      <rPr>
        <b/>
        <sz val="9"/>
        <rFont val="Calibri"/>
        <family val="2"/>
        <scheme val="minor"/>
      </rPr>
      <t xml:space="preserve"> (EDIFICAÇÕES) =</t>
    </r>
  </si>
  <si>
    <r>
      <rPr>
        <sz val="12"/>
        <color theme="1"/>
        <rFont val="Calibri"/>
        <family val="2"/>
        <scheme val="minor"/>
      </rPr>
      <t xml:space="preserve">    Os custos indiretos são decorrentes da estrutura da obra e da empresa e que não podem ser atribuídos diretamente à execução de um dado serviço.
    Os custos indiretos variam muito, principalmente, em função do local de execução dos serviços, do tipo da obra, impostos incidentes, e ainda com as exigências do edital ou contrato. Devem ser distribuídos pelos custos unitários diretos totais dos serviços na forma de percentual destes.
    Os custos indiretos que mais afetam a construção estão a seguir identificados, entretanto, o engenheiro de custos deve analisar em cada caso sua validade. </t>
    </r>
    <r>
      <rPr>
        <b/>
        <sz val="12"/>
        <color theme="1"/>
        <rFont val="Calibri"/>
        <family val="2"/>
        <scheme val="minor"/>
      </rPr>
      <t xml:space="preserve">
</t>
    </r>
  </si>
  <si>
    <t xml:space="preserve">M     </t>
  </si>
  <si>
    <t>88267</t>
  </si>
  <si>
    <t>ENCANADOR OU BOMBEIRO HIDRÁULICO COM ENCARGOS COMPLEMENTARES</t>
  </si>
  <si>
    <t>COMPOSIÇÃO 06</t>
  </si>
  <si>
    <t>COMPOSIÇÃO 07</t>
  </si>
  <si>
    <t>2.1</t>
  </si>
  <si>
    <r>
      <t xml:space="preserve">ORÇAMENTO </t>
    </r>
    <r>
      <rPr>
        <b/>
        <u/>
        <sz val="11"/>
        <rFont val="Calibri"/>
        <family val="2"/>
        <scheme val="minor"/>
      </rPr>
      <t xml:space="preserve">COM </t>
    </r>
    <r>
      <rPr>
        <b/>
        <sz val="11"/>
        <rFont val="Calibri"/>
        <family val="2"/>
        <scheme val="minor"/>
      </rPr>
      <t>DESONERAÇÃO</t>
    </r>
  </si>
  <si>
    <r>
      <t xml:space="preserve">ORÇAMENTO </t>
    </r>
    <r>
      <rPr>
        <b/>
        <u/>
        <sz val="11"/>
        <rFont val="Calibri"/>
        <family val="2"/>
        <scheme val="minor"/>
      </rPr>
      <t>SEM</t>
    </r>
    <r>
      <rPr>
        <b/>
        <sz val="11"/>
        <rFont val="Calibri"/>
        <family val="2"/>
        <scheme val="minor"/>
      </rPr>
      <t xml:space="preserve"> DESONERAÇÃO</t>
    </r>
  </si>
  <si>
    <r>
      <t xml:space="preserve">ORÇAMENTO COM DESONERAÇÃO </t>
    </r>
    <r>
      <rPr>
        <b/>
        <i/>
        <sz val="12"/>
        <rFont val="Calibri"/>
        <family val="2"/>
        <scheme val="minor"/>
      </rPr>
      <t>VERSUS</t>
    </r>
    <r>
      <rPr>
        <b/>
        <sz val="12"/>
        <rFont val="Calibri"/>
        <family val="2"/>
        <scheme val="minor"/>
      </rPr>
      <t xml:space="preserve"> ORÇAMENTO SEM DESONERAÇÃO</t>
    </r>
  </si>
  <si>
    <t>BDI REFERENCIAL ADOTADO
(dentro da faixa referencial do Acórdão 2622/2013, com tributos locais)</t>
  </si>
  <si>
    <t>Unidade:</t>
  </si>
  <si>
    <t>Quantidade:</t>
  </si>
  <si>
    <t>Código de referência (origem dos coeficientes da composição):</t>
  </si>
  <si>
    <t>Custo Unitário:</t>
  </si>
  <si>
    <t>ORSE
INSUMO</t>
  </si>
  <si>
    <t>KG</t>
  </si>
  <si>
    <t>A OPÇÃO MAIS ADEQUADA PARA A ADMINISTRAÇÃO É A DO ORÇAMENTO:</t>
  </si>
  <si>
    <t>PINTURAS E ACABAMENTOS</t>
  </si>
  <si>
    <t>TOTAL GERAL (R$)</t>
  </si>
  <si>
    <t>COM</t>
  </si>
  <si>
    <t>SEM</t>
  </si>
  <si>
    <t>CRONOGRAMA FÍSICO-FINANCEIRO</t>
  </si>
  <si>
    <t>SERVIÇOS PRELIMINARES</t>
  </si>
  <si>
    <t>Placa de Obra</t>
  </si>
  <si>
    <t>PINTURA COM TINTA ALQUÍDICA DE ACABAMENTO (ESMALTE SINTÉTICO ACETINADO) APLICADA A ROLO OU PINCEL SOBRE SUPERFÍCIES METÁLICAS (EXCETO PERFIL) EXECUTADO EM OBRA (02 DEMÃOS). AF_01/2020</t>
  </si>
  <si>
    <t>100758</t>
  </si>
  <si>
    <t>3.1</t>
  </si>
  <si>
    <t>4.1</t>
  </si>
  <si>
    <t>5.1</t>
  </si>
  <si>
    <t>6.1</t>
  </si>
  <si>
    <t>7.1</t>
  </si>
  <si>
    <t>8.1</t>
  </si>
  <si>
    <t>ASSENTO SANITÁRIO CONVENCIONAL - FORNECIMENTO E INSTALACAO. AF_01/2020</t>
  </si>
  <si>
    <t>100849</t>
  </si>
  <si>
    <t>COMPOSIÇÃO</t>
  </si>
  <si>
    <t>01</t>
  </si>
  <si>
    <t>VASO SANITÁRIO SIFONADO COM CAIXA ACOPLADA LOUÇA BRANCA - FORNECIMENTO E INSTALAÇÃO. AF_01/2020</t>
  </si>
  <si>
    <t>86888</t>
  </si>
  <si>
    <t>10.1</t>
  </si>
  <si>
    <t>11.1</t>
  </si>
  <si>
    <t>12.1</t>
  </si>
  <si>
    <t>Área</t>
  </si>
  <si>
    <t>PONTO DE CONSUMO TERMINAL DE ÁGUA FRIA (SUBRAMAL) COM TUBULAÇÃO DE PVC, DN 25 MM, INSTALADO EM RAMAL DE ÁGUA, INCLUSOS RASGO E CHUMBAMENTO EM ALVENARIA. AF_12/2014</t>
  </si>
  <si>
    <t>INSTALAÇÃO ELÉTRICA</t>
  </si>
  <si>
    <t>PONTO DE ESGOTO COM TUBO DE PVC RÍGIDO SOLDÁVEL DE Ø 40 MM (LAVATÓRIOS, MICTÓRIOS, RALOS SIFONADOS, ETC.)</t>
  </si>
  <si>
    <t>20083</t>
  </si>
  <si>
    <t>02</t>
  </si>
  <si>
    <t>03</t>
  </si>
  <si>
    <t>3.2</t>
  </si>
  <si>
    <t>4.2</t>
  </si>
  <si>
    <t>5.2</t>
  </si>
  <si>
    <t>5.3</t>
  </si>
  <si>
    <t>6.2</t>
  </si>
  <si>
    <t>7.2</t>
  </si>
  <si>
    <t>8.2</t>
  </si>
  <si>
    <t>8.3</t>
  </si>
  <si>
    <t>8.4</t>
  </si>
  <si>
    <t>9.2</t>
  </si>
  <si>
    <t>9.3</t>
  </si>
  <si>
    <t>9.4</t>
  </si>
  <si>
    <t>10.2</t>
  </si>
  <si>
    <t>10.3</t>
  </si>
  <si>
    <t>11.2</t>
  </si>
  <si>
    <t>11.3</t>
  </si>
  <si>
    <t>12.2</t>
  </si>
  <si>
    <t>12.3</t>
  </si>
  <si>
    <t>04</t>
  </si>
  <si>
    <t>%</t>
  </si>
  <si>
    <t>% ACUMULADO</t>
  </si>
  <si>
    <t>CLASSIFICAÇÃO</t>
  </si>
  <si>
    <t>CLASSE</t>
  </si>
  <si>
    <t>CORTE</t>
  </si>
  <si>
    <t>A</t>
  </si>
  <si>
    <t>B</t>
  </si>
  <si>
    <t>C</t>
  </si>
  <si>
    <t>9.1</t>
  </si>
  <si>
    <t>2.2</t>
  </si>
  <si>
    <t>3.3</t>
  </si>
  <si>
    <t>87879</t>
  </si>
  <si>
    <t>87792</t>
  </si>
  <si>
    <t>2.3</t>
  </si>
  <si>
    <t xml:space="preserve">SERVIÇOS COMPLEMENTARES </t>
  </si>
  <si>
    <t>Conf. Projeto</t>
  </si>
  <si>
    <t>9.5</t>
  </si>
  <si>
    <t>88485</t>
  </si>
  <si>
    <t>05</t>
  </si>
  <si>
    <t>06</t>
  </si>
  <si>
    <t xml:space="preserve">COMPOSIÇÃO DE B.D.I. – BONIFICAÇÃO E DESPESAS INDIRETAS
</t>
  </si>
  <si>
    <t>min</t>
  </si>
  <si>
    <r>
      <t xml:space="preserve">De </t>
    </r>
    <r>
      <rPr>
        <b/>
        <sz val="10"/>
        <color theme="1"/>
        <rFont val="Calibri"/>
        <family val="2"/>
        <scheme val="minor"/>
      </rPr>
      <t>3,80%</t>
    </r>
    <r>
      <rPr>
        <sz val="10"/>
        <color theme="1"/>
        <rFont val="Calibri"/>
        <family val="2"/>
        <scheme val="minor"/>
      </rPr>
      <t xml:space="preserve"> até </t>
    </r>
    <r>
      <rPr>
        <b/>
        <sz val="10"/>
        <color theme="1"/>
        <rFont val="Calibri"/>
        <family val="2"/>
        <scheme val="minor"/>
      </rPr>
      <t>4,67%</t>
    </r>
    <r>
      <rPr>
        <sz val="10"/>
        <color theme="1"/>
        <rFont val="Calibri"/>
        <family val="2"/>
        <scheme val="minor"/>
      </rPr>
      <t xml:space="preserve">; médio = </t>
    </r>
    <r>
      <rPr>
        <b/>
        <sz val="10"/>
        <color theme="1"/>
        <rFont val="Calibri"/>
        <family val="2"/>
        <scheme val="minor"/>
      </rPr>
      <t>4,01%</t>
    </r>
  </si>
  <si>
    <r>
      <t xml:space="preserve">De </t>
    </r>
    <r>
      <rPr>
        <b/>
        <sz val="10"/>
        <color theme="1"/>
        <rFont val="Calibri"/>
        <family val="2"/>
        <scheme val="minor"/>
      </rPr>
      <t>1,02%</t>
    </r>
    <r>
      <rPr>
        <sz val="10"/>
        <color theme="1"/>
        <rFont val="Calibri"/>
        <family val="2"/>
        <scheme val="minor"/>
      </rPr>
      <t xml:space="preserve"> até </t>
    </r>
    <r>
      <rPr>
        <b/>
        <sz val="10"/>
        <color theme="1"/>
        <rFont val="Calibri"/>
        <family val="2"/>
        <scheme val="minor"/>
      </rPr>
      <t>1,21%</t>
    </r>
    <r>
      <rPr>
        <sz val="10"/>
        <color theme="1"/>
        <rFont val="Calibri"/>
        <family val="2"/>
        <scheme val="minor"/>
      </rPr>
      <t xml:space="preserve">; médio = </t>
    </r>
    <r>
      <rPr>
        <b/>
        <sz val="10"/>
        <color theme="1"/>
        <rFont val="Calibri"/>
        <family val="2"/>
        <scheme val="minor"/>
      </rPr>
      <t>1,11%</t>
    </r>
  </si>
  <si>
    <r>
      <t xml:space="preserve">De </t>
    </r>
    <r>
      <rPr>
        <b/>
        <sz val="10"/>
        <color theme="1"/>
        <rFont val="Calibri"/>
        <family val="2"/>
        <scheme val="minor"/>
      </rPr>
      <t>0,50%</t>
    </r>
    <r>
      <rPr>
        <sz val="10"/>
        <color theme="1"/>
        <rFont val="Calibri"/>
        <family val="2"/>
        <scheme val="minor"/>
      </rPr>
      <t xml:space="preserve"> até </t>
    </r>
    <r>
      <rPr>
        <b/>
        <sz val="10"/>
        <color theme="1"/>
        <rFont val="Calibri"/>
        <family val="2"/>
        <scheme val="minor"/>
      </rPr>
      <t>0,97%</t>
    </r>
    <r>
      <rPr>
        <sz val="10"/>
        <color theme="1"/>
        <rFont val="Calibri"/>
        <family val="2"/>
        <scheme val="minor"/>
      </rPr>
      <t xml:space="preserve">; médio = </t>
    </r>
    <r>
      <rPr>
        <b/>
        <sz val="10"/>
        <color theme="1"/>
        <rFont val="Calibri"/>
        <family val="2"/>
        <scheme val="minor"/>
      </rPr>
      <t>0,56%</t>
    </r>
  </si>
  <si>
    <t>Taxa de Seguro</t>
  </si>
  <si>
    <t>S</t>
  </si>
  <si>
    <r>
      <t xml:space="preserve">De </t>
    </r>
    <r>
      <rPr>
        <b/>
        <sz val="10"/>
        <color theme="1"/>
        <rFont val="Calibri"/>
        <family val="2"/>
        <scheme val="minor"/>
      </rPr>
      <t>0,32%</t>
    </r>
    <r>
      <rPr>
        <sz val="10"/>
        <color theme="1"/>
        <rFont val="Calibri"/>
        <family val="2"/>
        <scheme val="minor"/>
      </rPr>
      <t xml:space="preserve"> até </t>
    </r>
    <r>
      <rPr>
        <b/>
        <sz val="10"/>
        <color theme="1"/>
        <rFont val="Calibri"/>
        <family val="2"/>
        <scheme val="minor"/>
      </rPr>
      <t>0,74%</t>
    </r>
    <r>
      <rPr>
        <sz val="10"/>
        <color theme="1"/>
        <rFont val="Calibri"/>
        <family val="2"/>
        <scheme val="minor"/>
      </rPr>
      <t xml:space="preserve">; médio = </t>
    </r>
    <r>
      <rPr>
        <b/>
        <sz val="10"/>
        <color theme="1"/>
        <rFont val="Calibri"/>
        <family val="2"/>
        <scheme val="minor"/>
      </rPr>
      <t>0,40%</t>
    </r>
  </si>
  <si>
    <t>Taxa de Garantia</t>
  </si>
  <si>
    <t>G</t>
  </si>
  <si>
    <t xml:space="preserve">Taxa de Tributos (Soma dos itens COFINS, ISS, PIS e INSS) </t>
  </si>
  <si>
    <r>
      <t xml:space="preserve">De </t>
    </r>
    <r>
      <rPr>
        <b/>
        <sz val="10"/>
        <color theme="1"/>
        <rFont val="Calibri"/>
        <family val="2"/>
        <scheme val="minor"/>
      </rPr>
      <t>6,64%</t>
    </r>
    <r>
      <rPr>
        <sz val="10"/>
        <color theme="1"/>
        <rFont val="Calibri"/>
        <family val="2"/>
        <scheme val="minor"/>
      </rPr>
      <t xml:space="preserve"> até </t>
    </r>
    <r>
      <rPr>
        <b/>
        <sz val="10"/>
        <color theme="1"/>
        <rFont val="Calibri"/>
        <family val="2"/>
        <scheme val="minor"/>
      </rPr>
      <t>8,69%</t>
    </r>
    <r>
      <rPr>
        <sz val="10"/>
        <color theme="1"/>
        <rFont val="Calibri"/>
        <family val="2"/>
        <scheme val="minor"/>
      </rPr>
      <t xml:space="preserve">; médio = </t>
    </r>
    <r>
      <rPr>
        <b/>
        <sz val="10"/>
        <color theme="1"/>
        <rFont val="Calibri"/>
        <family val="2"/>
        <scheme val="minor"/>
      </rPr>
      <t>7,30%</t>
    </r>
  </si>
  <si>
    <t>Mínimo para Pavimentação com Nova CPRB de 4,50%</t>
  </si>
  <si>
    <r>
      <t xml:space="preserve">De </t>
    </r>
    <r>
      <rPr>
        <b/>
        <sz val="10"/>
        <color theme="1"/>
        <rFont val="Calibri"/>
        <family val="2"/>
        <scheme val="minor"/>
      </rPr>
      <t>19,60%</t>
    </r>
    <r>
      <rPr>
        <sz val="10"/>
        <color theme="1"/>
        <rFont val="Calibri"/>
        <family val="2"/>
        <scheme val="minor"/>
      </rPr>
      <t xml:space="preserve"> até </t>
    </r>
    <r>
      <rPr>
        <b/>
        <sz val="10"/>
        <color theme="1"/>
        <rFont val="Calibri"/>
        <family val="2"/>
        <scheme val="minor"/>
      </rPr>
      <t>24,23%</t>
    </r>
    <r>
      <rPr>
        <sz val="10"/>
        <color theme="1"/>
        <rFont val="Calibri"/>
        <family val="2"/>
        <scheme val="minor"/>
      </rPr>
      <t xml:space="preserve">; médio = </t>
    </r>
    <r>
      <rPr>
        <b/>
        <sz val="10"/>
        <color theme="1"/>
        <rFont val="Calibri"/>
        <family val="2"/>
        <scheme val="minor"/>
      </rPr>
      <t>20,97%</t>
    </r>
  </si>
  <si>
    <t>(**) A alíquota de ISS no Município de João Alfredo é de 5% sobre os custos de mão de obra. 
Considerou-se para todos os serviços uma proporção de 40% de mão de obra, de modo que a taxa de ISS a incidir sobre os custos unitários dos itens será de 5% x 40% = 2,00%.</t>
  </si>
  <si>
    <r>
      <t xml:space="preserve">(***) Conforme determina a Lei nº 13.161, de 31 de agosto de 2015, que altera a Lei nº 12.546, de 14 de dezembro 2011, para obras de infraestrutura e do setor de construção, foi regulamentada a substituição da contribuição previdenciária patronal de 20% sobre a folha de pagamentos por uma contribuição de 4,50% sobre a receita bruta, sendo facultativa a opção pela contribuição substitutiva. Nesta composição de BDI foi considerada a opção pela contribuição substitutiva, sendo portanto necessário utilizar tabelas de custos </t>
    </r>
    <r>
      <rPr>
        <u/>
        <sz val="11"/>
        <rFont val="Calibri"/>
        <family val="2"/>
        <scheme val="minor"/>
      </rPr>
      <t>desoneradas</t>
    </r>
    <r>
      <rPr>
        <sz val="11"/>
        <rFont val="Calibri"/>
        <family val="2"/>
        <scheme val="minor"/>
      </rPr>
      <t xml:space="preserve"> para elaboração do orçamento básico.</t>
    </r>
  </si>
  <si>
    <t xml:space="preserve">Taxa de Tributos (Soma dos itens COFINS, ISS e PIS) </t>
  </si>
  <si>
    <t>Mínimo para Pavimentação sem Nova CPRB de 4,50%</t>
  </si>
  <si>
    <t>COMPOSIÇÃO DE BDI PARA SERVIÇOS GERAIS DE PRAÇAS</t>
  </si>
  <si>
    <t>07</t>
  </si>
  <si>
    <t>PINTURA COM TINTA ALQUÍDICA DE FUNDO (TIPO ZARCÃO) PULVERIZADA SOBRE SUPERFÍCIES METÁLICAS (EXCETO PERFIL) EXECUTADO EM OBRA (POR DEMÃO). AF_01/2020_P</t>
  </si>
  <si>
    <t>100721</t>
  </si>
  <si>
    <t>7.4</t>
  </si>
  <si>
    <t>ADMINISTRAÇÃO LOCAL</t>
  </si>
  <si>
    <t>ADMINISTRAÇÃO LOCAL DA OBRA</t>
  </si>
  <si>
    <t>_ENCARREGADO GERAL DE OBRAS COM ENCARGOS COMPLEMENTARES _ENGENHEIRO CIVIL DE OBRA JUNIOR COM ENCARGOS COMPLEMENTARES</t>
  </si>
  <si>
    <t>93572</t>
  </si>
  <si>
    <t>ENCARREGADO GERAL DE OBRAS COM ENCARGOS COMPLEMENTARES</t>
  </si>
  <si>
    <t>MÊS</t>
  </si>
  <si>
    <t>93565</t>
  </si>
  <si>
    <t>ENGENHEIRO CIVIL DE OBRA JUNIOR COM ENCARGOS COMPLEMENTARES</t>
  </si>
  <si>
    <t>PAREDES E REVESTIMENTOS</t>
  </si>
  <si>
    <t>EMBOÇO OU MASSA ÚNICA EM ARGAMASSA TRAÇO 1:2:8, PREPARO MECÂNICO COM BETONEIRA 400 L, APLICADA MANUALMENTE EM PANOS CEGOS DE FACHADA (SEM PRESENÇA DE VÃOS), ESPESSURA DE 25 MM. AF_08/2022</t>
  </si>
  <si>
    <t>5.5</t>
  </si>
  <si>
    <t>6.3</t>
  </si>
  <si>
    <t>6.4</t>
  </si>
  <si>
    <t xml:space="preserve">INSTALAÇÕES HIDROSSANITÁRIOS  </t>
  </si>
  <si>
    <t xml:space="preserve">Wc's e Wc PNE </t>
  </si>
  <si>
    <t>Vasos</t>
  </si>
  <si>
    <t xml:space="preserve">Lavatórios </t>
  </si>
  <si>
    <t>PONTO DE ESGOTO COM TUBO DE PVC RÍGIDO SOLDÁVEL DE Ø 100 MM (VASO SANITÁRIO)</t>
  </si>
  <si>
    <t>122</t>
  </si>
  <si>
    <t>ADESIVO PLASTICO PARA PVC, FRASCO COM 850 GR</t>
  </si>
  <si>
    <t>13</t>
  </si>
  <si>
    <t>ESTOPA</t>
  </si>
  <si>
    <t>3520</t>
  </si>
  <si>
    <t>JOELHO PVC, SOLDAVEL, PB, 90 GRAUS, DN 100 MM, PARA ESGOTO PREDIAL</t>
  </si>
  <si>
    <t>9836</t>
  </si>
  <si>
    <t>TUBO PVC  SERIE NORMAL, DN 100 MM, PARA ESGOTO  PREDIAL (NBR 5688)</t>
  </si>
  <si>
    <t>10908</t>
  </si>
  <si>
    <t>JUNCAO DE REDUCAO INVERTIDA, PVC SOLDAVEL, 100 X 50 MM, SERIE NORMAL PARA ESGOTO PREDIAL</t>
  </si>
  <si>
    <t>8.5</t>
  </si>
  <si>
    <t>8.6</t>
  </si>
  <si>
    <t xml:space="preserve">Wc PNE </t>
  </si>
  <si>
    <t>Ralos</t>
  </si>
  <si>
    <t>REGISTRO DE GAVETA BRUTO, LATÃO, ROSCÁVEL, 3/4", COM ACABAMENTO E CANOPLA CROMADOS - FORNECIMENTO E INSTALAÇÃO. AF_08/2021</t>
  </si>
  <si>
    <t>89987</t>
  </si>
  <si>
    <t>SABONETEIRA DE PAREDE EM METAL CROMADO, INCLUSO FIXAÇÃO. AF_01/2020</t>
  </si>
  <si>
    <t>PAPELEIRA DE PAREDE EM METAL CROMADO SEM TAMPA, INCLUSO FIXAÇÃO. AF_01/2020</t>
  </si>
  <si>
    <t>95544</t>
  </si>
  <si>
    <t>PORTA TOALHA BANHO EM METAL CROMADO, TIPO BARRA, INCLUSO FIXAÇÃO. AF_01/2020</t>
  </si>
  <si>
    <t>95543</t>
  </si>
  <si>
    <t>BARRA DE APOIO RETA, EM ACO INOX POLIDO, COMPRIMENTO 80 CM,  FIXADA NA PAREDE - FORNECIMENTO E INSTALAÇÃO. AF_01/2020</t>
  </si>
  <si>
    <t>100868</t>
  </si>
  <si>
    <t>3.4</t>
  </si>
  <si>
    <t>ESTRUTURA</t>
  </si>
  <si>
    <t>OUTROS ELEMENTOS ESTRUTURAIS</t>
  </si>
  <si>
    <t>CHAPISCO APLICADO EM ALVENARIAS E ESTRUTURAS DE CONCRETO INTERNAS, COM COLHER DE PEDREIRO.  ARGAMASSA TRAÇO 1:3 COM PREPARO EM BETONEIRA 400L. AF_10/2022</t>
  </si>
  <si>
    <t>PISOS</t>
  </si>
  <si>
    <t>COBERTA</t>
  </si>
  <si>
    <t>Área conf. Projeto</t>
  </si>
  <si>
    <t>7.5</t>
  </si>
  <si>
    <t>7.6</t>
  </si>
  <si>
    <t>ESQUADRIAS</t>
  </si>
  <si>
    <t>100701</t>
  </si>
  <si>
    <t>PORTA DE FERRO, DE ABRIR, TIPO GRADE COM CHAPA, COM GUARNIÇÕES. AF_12/2019</t>
  </si>
  <si>
    <t>Destino Final</t>
  </si>
  <si>
    <t>PORTA EM ALUMÍNIO DE ABRIR TIPO VENEZIANA COM GUARNIÇÃO, FIXAÇÃO COM PARAFUSOS - FORNECIMENTO E INSTALAÇÃO. AF_12/2019</t>
  </si>
  <si>
    <t>91341</t>
  </si>
  <si>
    <t>PONTO DE ESGOTO COM TUBO DE PVC RÍGIDO SOLDÁVEL DE Ø 40 MM (LAVATÓRIOS, MICTÓRIOS, RALOS SIFONADOS, ETC...)</t>
  </si>
  <si>
    <t>20078</t>
  </si>
  <si>
    <t>PASTA LUBRIFICANTE PARA TUBOS E CONEXOES COM JUNTA ELASTICA, EMBALAGEM DE *400* GR (USO EM PVC, ACO, POLIETILENO E OUTROS)</t>
  </si>
  <si>
    <t>SOLUCAO LIMPADORA PARA PVC, FRASCO COM 1000 CM3</t>
  </si>
  <si>
    <t>3516</t>
  </si>
  <si>
    <t>JOELHO PVC, SOLDAVEL, BB, 45 GRAUS, DN 40 MM, PARA ESGOTO PREDIAL</t>
  </si>
  <si>
    <t>3517</t>
  </si>
  <si>
    <t>JOELHO PVC, SOLDAVEL, BB, 90 GRAUS, DN 40 MM, PARA ESGOTO PREDIAL</t>
  </si>
  <si>
    <t>3767</t>
  </si>
  <si>
    <t>LIXA EM FOLHA PARA PAREDE OU MADEIRA, NUMERO 120 COR VERMELHA</t>
  </si>
  <si>
    <t>9835</t>
  </si>
  <si>
    <t>TUBO PVC  SERIE NORMAL, DN 40 MM, PARA ESGOTO  PREDIAL (NBR 5688)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</si>
  <si>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</si>
  <si>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</si>
  <si>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</si>
  <si>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</si>
  <si>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</si>
  <si>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</si>
  <si>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</si>
  <si>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</si>
  <si>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</si>
  <si>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</si>
  <si>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</si>
  <si>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</si>
  <si>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11.4</t>
  </si>
  <si>
    <t>11.5</t>
  </si>
  <si>
    <t>11.6</t>
  </si>
  <si>
    <t>11.7</t>
  </si>
  <si>
    <t>11.8</t>
  </si>
  <si>
    <t>11.9</t>
  </si>
  <si>
    <t>11.10</t>
  </si>
  <si>
    <t>11.11</t>
  </si>
  <si>
    <t>11.12</t>
  </si>
  <si>
    <t>11.13</t>
  </si>
  <si>
    <t>11.14</t>
  </si>
  <si>
    <t>Insumo</t>
  </si>
  <si>
    <t>101905</t>
  </si>
  <si>
    <t>EXTINTOR DE INCÊNDIO PORTÁTIL COM CARGA DE ÁGUA PRESSURIZADA DE 10 L, CLASSE A - FORNECIMENTO E INSTALAÇÃO. AF_10/2020_P</t>
  </si>
  <si>
    <t>101909</t>
  </si>
  <si>
    <t>EXTINTOR DE INCÊNDIO PORTÁTIL COM CARGA DE PQS DE 6 KG, CLASSE BC - FORNECIMENTO E INSTALAÇÃO. AF_10/2020_P</t>
  </si>
  <si>
    <t>DF=</t>
  </si>
  <si>
    <t>CURVA ABC</t>
  </si>
  <si>
    <t>99059</t>
  </si>
  <si>
    <t>96620</t>
  </si>
  <si>
    <t>87735</t>
  </si>
  <si>
    <t>CONTRAPISO EM ARGAMASSA TRAÇO 1:4 (CIMENTO E AREIA), PREPARO MECÂNICO COM BETONEIRA 400 L, APLICADO EM ÁREAS MOLHADAS SOBRE LAJE, ADERIDO, ACABAMENTO NÃO REFORÇADO, ESPESSURA 2CM. AF_07/2021</t>
  </si>
  <si>
    <t>COMPOSIÇÃO 09</t>
  </si>
  <si>
    <t>COMPOSIÇÃO DE BDI PARA SERVIÇOS GERAIS DE EDIFICAÇÕES</t>
  </si>
  <si>
    <t>BONIFICAÇÃO E DESPESAS INDIRETAS</t>
  </si>
  <si>
    <t>med</t>
  </si>
  <si>
    <r>
      <t xml:space="preserve">De </t>
    </r>
    <r>
      <rPr>
        <b/>
        <sz val="10"/>
        <color theme="1"/>
        <rFont val="Calibri"/>
        <family val="2"/>
        <scheme val="minor"/>
      </rPr>
      <t>3,00%</t>
    </r>
    <r>
      <rPr>
        <sz val="10"/>
        <color theme="1"/>
        <rFont val="Calibri"/>
        <family val="2"/>
        <scheme val="minor"/>
      </rPr>
      <t xml:space="preserve"> até </t>
    </r>
    <r>
      <rPr>
        <b/>
        <sz val="10"/>
        <color theme="1"/>
        <rFont val="Calibri"/>
        <family val="2"/>
        <scheme val="minor"/>
      </rPr>
      <t>5,50%</t>
    </r>
    <r>
      <rPr>
        <sz val="10"/>
        <color theme="1"/>
        <rFont val="Calibri"/>
        <family val="2"/>
        <scheme val="minor"/>
      </rPr>
      <t xml:space="preserve">; médio = </t>
    </r>
    <r>
      <rPr>
        <b/>
        <sz val="10"/>
        <color theme="1"/>
        <rFont val="Calibri"/>
        <family val="2"/>
        <scheme val="minor"/>
      </rPr>
      <t>4,00%</t>
    </r>
  </si>
  <si>
    <r>
      <t xml:space="preserve">De </t>
    </r>
    <r>
      <rPr>
        <b/>
        <sz val="10"/>
        <color theme="1"/>
        <rFont val="Calibri"/>
        <family val="2"/>
        <scheme val="minor"/>
      </rPr>
      <t>0,59%</t>
    </r>
    <r>
      <rPr>
        <sz val="10"/>
        <color theme="1"/>
        <rFont val="Calibri"/>
        <family val="2"/>
        <scheme val="minor"/>
      </rPr>
      <t xml:space="preserve"> até </t>
    </r>
    <r>
      <rPr>
        <b/>
        <sz val="10"/>
        <color theme="1"/>
        <rFont val="Calibri"/>
        <family val="2"/>
        <scheme val="minor"/>
      </rPr>
      <t>1,39%</t>
    </r>
    <r>
      <rPr>
        <sz val="10"/>
        <color theme="1"/>
        <rFont val="Calibri"/>
        <family val="2"/>
        <scheme val="minor"/>
      </rPr>
      <t xml:space="preserve">; médio = </t>
    </r>
    <r>
      <rPr>
        <b/>
        <sz val="10"/>
        <color theme="1"/>
        <rFont val="Calibri"/>
        <family val="2"/>
        <scheme val="minor"/>
      </rPr>
      <t>1,23%</t>
    </r>
  </si>
  <si>
    <r>
      <t xml:space="preserve">De </t>
    </r>
    <r>
      <rPr>
        <b/>
        <sz val="10"/>
        <color theme="1"/>
        <rFont val="Calibri"/>
        <family val="2"/>
        <scheme val="minor"/>
      </rPr>
      <t>0,97%</t>
    </r>
    <r>
      <rPr>
        <sz val="10"/>
        <color theme="1"/>
        <rFont val="Calibri"/>
        <family val="2"/>
        <scheme val="minor"/>
      </rPr>
      <t xml:space="preserve"> até </t>
    </r>
    <r>
      <rPr>
        <b/>
        <sz val="10"/>
        <color theme="1"/>
        <rFont val="Calibri"/>
        <family val="2"/>
        <scheme val="minor"/>
      </rPr>
      <t>1,27%</t>
    </r>
    <r>
      <rPr>
        <sz val="10"/>
        <color theme="1"/>
        <rFont val="Calibri"/>
        <family val="2"/>
        <scheme val="minor"/>
      </rPr>
      <t xml:space="preserve">; médio = </t>
    </r>
    <r>
      <rPr>
        <b/>
        <sz val="10"/>
        <color theme="1"/>
        <rFont val="Calibri"/>
        <family val="2"/>
        <scheme val="minor"/>
      </rPr>
      <t>1,27%</t>
    </r>
  </si>
  <si>
    <t>Taxa de Seguro e Taxa de Garantia</t>
  </si>
  <si>
    <t>S + G</t>
  </si>
  <si>
    <t>*med=min</t>
  </si>
  <si>
    <r>
      <t xml:space="preserve">De </t>
    </r>
    <r>
      <rPr>
        <b/>
        <sz val="10"/>
        <color theme="1"/>
        <rFont val="Calibri"/>
        <family val="2"/>
        <scheme val="minor"/>
      </rPr>
      <t>0,80%</t>
    </r>
    <r>
      <rPr>
        <sz val="10"/>
        <color theme="1"/>
        <rFont val="Calibri"/>
        <family val="2"/>
        <scheme val="minor"/>
      </rPr>
      <t xml:space="preserve"> até </t>
    </r>
    <r>
      <rPr>
        <b/>
        <sz val="10"/>
        <color theme="1"/>
        <rFont val="Calibri"/>
        <family val="2"/>
        <scheme val="minor"/>
      </rPr>
      <t>1,00%</t>
    </r>
    <r>
      <rPr>
        <sz val="10"/>
        <color theme="1"/>
        <rFont val="Calibri"/>
        <family val="2"/>
        <scheme val="minor"/>
      </rPr>
      <t xml:space="preserve">; médio = </t>
    </r>
    <r>
      <rPr>
        <b/>
        <sz val="10"/>
        <color theme="1"/>
        <rFont val="Calibri"/>
        <family val="2"/>
        <scheme val="minor"/>
      </rPr>
      <t>0,80%</t>
    </r>
  </si>
  <si>
    <t xml:space="preserve">Taxa de Tributos (Soma dos itens COFINS, ISS, PIS e CPRB) </t>
  </si>
  <si>
    <t>min-med</t>
  </si>
  <si>
    <r>
      <t xml:space="preserve">De </t>
    </r>
    <r>
      <rPr>
        <b/>
        <sz val="10"/>
        <color theme="1"/>
        <rFont val="Calibri"/>
        <family val="2"/>
        <scheme val="minor"/>
      </rPr>
      <t>6,16%</t>
    </r>
    <r>
      <rPr>
        <sz val="10"/>
        <color theme="1"/>
        <rFont val="Calibri"/>
        <family val="2"/>
        <scheme val="minor"/>
      </rPr>
      <t xml:space="preserve"> até </t>
    </r>
    <r>
      <rPr>
        <b/>
        <sz val="10"/>
        <color theme="1"/>
        <rFont val="Calibri"/>
        <family val="2"/>
        <scheme val="minor"/>
      </rPr>
      <t>8,96%</t>
    </r>
    <r>
      <rPr>
        <sz val="10"/>
        <color theme="1"/>
        <rFont val="Calibri"/>
        <family val="2"/>
        <scheme val="minor"/>
      </rPr>
      <t xml:space="preserve">; médio = </t>
    </r>
    <r>
      <rPr>
        <b/>
        <sz val="10"/>
        <color theme="1"/>
        <rFont val="Calibri"/>
        <family val="2"/>
        <scheme val="minor"/>
      </rPr>
      <t>7,40%</t>
    </r>
  </si>
  <si>
    <r>
      <t xml:space="preserve">De </t>
    </r>
    <r>
      <rPr>
        <b/>
        <sz val="10"/>
        <color theme="1"/>
        <rFont val="Calibri"/>
        <family val="2"/>
        <scheme val="minor"/>
      </rPr>
      <t>20,34%</t>
    </r>
    <r>
      <rPr>
        <sz val="10"/>
        <color theme="1"/>
        <rFont val="Calibri"/>
        <family val="2"/>
        <scheme val="minor"/>
      </rPr>
      <t xml:space="preserve"> até </t>
    </r>
    <r>
      <rPr>
        <b/>
        <sz val="10"/>
        <color theme="1"/>
        <rFont val="Calibri"/>
        <family val="2"/>
        <scheme val="minor"/>
      </rPr>
      <t>25,00%</t>
    </r>
    <r>
      <rPr>
        <sz val="10"/>
        <color theme="1"/>
        <rFont val="Calibri"/>
        <family val="2"/>
        <scheme val="minor"/>
      </rPr>
      <t xml:space="preserve">; médio = </t>
    </r>
    <r>
      <rPr>
        <b/>
        <sz val="10"/>
        <color theme="1"/>
        <rFont val="Calibri"/>
        <family val="2"/>
        <scheme val="minor"/>
      </rPr>
      <t>22,12%</t>
    </r>
  </si>
  <si>
    <t>(**) A alíquota de ISS no Município de João Alfredo/PE é de 5% sobre os custos de mão de obra. 
Considerou-se para todos os serviços uma proporção de 40% de mão de obra, de modo que a taxa de ISS a incidir sobre os custos unitários dos itens será de 5% x 40% = 2,00%.</t>
  </si>
  <si>
    <r>
      <t xml:space="preserve">(***) Conforme determina a Lei nº 13.161, de 31 de agosto de 2015, que altera a Lei nº 12.546, de 14 de dezembro 2011, para obras de infraestrutura e do setor de construção, foi regulamentada a substituição da contribuição previdenciária patronal de 20% sobre a folha de pagamentos por uma contribuição de 4,50% sobre a receita bruta, sendo facultativa a opção pela contribuição substitutiva. Nesta composição de BDI NÃO foi considerada a opção pela contribuição substitutiva, sendo portanto necessário utilizar tabelas de custos </t>
    </r>
    <r>
      <rPr>
        <u/>
        <sz val="11"/>
        <rFont val="Calibri"/>
        <family val="2"/>
        <scheme val="minor"/>
      </rPr>
      <t>NÃO</t>
    </r>
    <r>
      <rPr>
        <sz val="11"/>
        <rFont val="Calibri"/>
        <family val="2"/>
        <scheme val="minor"/>
      </rPr>
      <t xml:space="preserve"> </t>
    </r>
    <r>
      <rPr>
        <u/>
        <sz val="11"/>
        <rFont val="Calibri"/>
        <family val="2"/>
        <scheme val="minor"/>
      </rPr>
      <t>desoneradas</t>
    </r>
    <r>
      <rPr>
        <sz val="11"/>
        <rFont val="Calibri"/>
        <family val="2"/>
        <scheme val="minor"/>
      </rPr>
      <t xml:space="preserve"> para elaboração do orçamento básico.</t>
    </r>
  </si>
  <si>
    <t>(BDI padrão Edificações com CPRB considerando M.O. de 40%)</t>
  </si>
  <si>
    <t>(**) A alíquota de ISS no Município de Orobó/PE é de 5% sobre os custos de mão de obra. 
Considerou-se para todos os serviços uma proporção de 40% de mão de obra, de modo que a taxa de ISS a incidir sobre os custos unitários dos itens será de 5% x 40% = 2,00%.</t>
  </si>
  <si>
    <r>
      <t xml:space="preserve">(***) Conforme determina a Lei nº 13.161, de 31 de agosto de 2015, que altera a Lei nº 12.546, de 14 de dezembro 2011, para obras de infraestrutura e do setor de construção, foi regulamentada a substituição da contribuição previdenciária patronal de 20% sobre a folha de pagamentos por uma contribuição de 4,50% sobre a receita bruta, sendo facultativa a opção pela contribuição substitutiva. Nesta composição de BDI foi considerada a opção pela contribuição substitutiva, sendo portanto necessário utilizar tabelas de custos </t>
    </r>
    <r>
      <rPr>
        <u/>
        <sz val="11"/>
        <rFont val="Calibri"/>
        <family val="2"/>
        <scheme val="minor"/>
      </rPr>
      <t>DESONERADAS</t>
    </r>
    <r>
      <rPr>
        <sz val="11"/>
        <rFont val="Calibri"/>
        <family val="2"/>
        <scheme val="minor"/>
      </rPr>
      <t xml:space="preserve"> para elaboração do orçamento básico.</t>
    </r>
  </si>
  <si>
    <t>37329</t>
  </si>
  <si>
    <t>REJUNTE EPOXI, QUALQUER COR</t>
  </si>
  <si>
    <t>Cobertura da edificação</t>
  </si>
  <si>
    <t>Cobertura: Decida d’agua e Complemento horizontal descida até a rua</t>
  </si>
  <si>
    <t>7.7</t>
  </si>
  <si>
    <t xml:space="preserve">Cobertura: caixa hid. Decida d’agua </t>
  </si>
  <si>
    <t>P2</t>
  </si>
  <si>
    <t>P3</t>
  </si>
  <si>
    <t>88497</t>
  </si>
  <si>
    <t>LAVATÓRIO LOUÇA BRANCA SUSPENSO, 29,5 X 39CM OU EQUIVALENTE, PADRÃO POPULAR - FORNECIMENTO E INSTALAÇÃO. AF_01/2020</t>
  </si>
  <si>
    <t>PARAFUSO NIQUELADO 3 1/2" COM ACABAMENTO CROMADO PARA FIXAR PECA SANITARIA, INCLUI PORCA CEGA, ARRUELA E BUCHA DE NYLON TAMANHO S-8</t>
  </si>
  <si>
    <t>2,0000000</t>
  </si>
  <si>
    <t>0,0304000</t>
  </si>
  <si>
    <t>0,3870000</t>
  </si>
  <si>
    <t>0,1886000</t>
  </si>
  <si>
    <t>4351</t>
  </si>
  <si>
    <t>LAVATORIO DE CANTO DE LOUCA BRANCA, SUSPENSO (SEM COLUNA), DIMENSOES *40 X 30* CM (L X C)</t>
  </si>
  <si>
    <t>36521</t>
  </si>
  <si>
    <t>LAVATÓRIO  DE CANTO DE LOUÇA BRANCA SUSPENSO, 40 X 30 CM - FORNECIMENTO E INSTALAÇÃO</t>
  </si>
  <si>
    <t>COMPOSIÇÃO 10</t>
  </si>
  <si>
    <t>86915</t>
  </si>
  <si>
    <t>DISJUNTOR MONOPOLAR TIPO DIN, CORRENTE NOMINAL DE 16A - FORNECIMENTO E INSTALAÇÃO. AF_10/2020</t>
  </si>
  <si>
    <t>93654</t>
  </si>
  <si>
    <t>QD</t>
  </si>
  <si>
    <t>Chuveiros - Cabos de 4,0mm²</t>
  </si>
  <si>
    <t>DISJUNTOR TRIPOLAR TIPO NEMA, CORRENTE NOMINAL DE 10 ATÉ 50A - FORNECIMENTO E INSTALAÇÃO. AF_10/2020</t>
  </si>
  <si>
    <t>101893</t>
  </si>
  <si>
    <t>QDG</t>
  </si>
  <si>
    <t>Para aterramento dos circuitos</t>
  </si>
  <si>
    <t>CAIXA DE INSPEÇÃO PARA ATERRAMENTO, CIRCULAR, EM POLIETILENO, DIÂMETRO INTERNO = 0,3 M. AF_12/2020</t>
  </si>
  <si>
    <t>98111</t>
  </si>
  <si>
    <t>Item 6.3</t>
  </si>
  <si>
    <t>20,50% (sem CPRB)</t>
  </si>
  <si>
    <t>COMPOSIÇÃO DE ENCARGOS SOCIAIS SOBRE A MÃO DE OBRA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</si>
  <si>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</si>
  <si>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</si>
  <si>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</si>
  <si>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</si>
  <si>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</si>
  <si>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</si>
  <si>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</si>
  <si>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</si>
  <si>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</si>
  <si>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</si>
  <si>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</si>
  <si>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A7</t>
  </si>
  <si>
    <t>A8</t>
  </si>
  <si>
    <t>FGTS</t>
  </si>
  <si>
    <t>A9</t>
  </si>
  <si>
    <t>SECONCI</t>
  </si>
  <si>
    <t>B1</t>
  </si>
  <si>
    <t>B2</t>
  </si>
  <si>
    <t>Feriados</t>
  </si>
  <si>
    <t>B3</t>
  </si>
  <si>
    <t>B4</t>
  </si>
  <si>
    <t>B5</t>
  </si>
  <si>
    <t>B6</t>
  </si>
  <si>
    <t>B7</t>
  </si>
  <si>
    <t>B8</t>
  </si>
  <si>
    <t>B9</t>
  </si>
  <si>
    <t>B10</t>
  </si>
  <si>
    <t>C1</t>
  </si>
  <si>
    <t>C2</t>
  </si>
  <si>
    <t>C3</t>
  </si>
  <si>
    <t>C4</t>
  </si>
  <si>
    <t>C5</t>
  </si>
  <si>
    <t>D1</t>
  </si>
  <si>
    <t>D2</t>
  </si>
  <si>
    <t>D</t>
  </si>
  <si>
    <t>98459</t>
  </si>
  <si>
    <t>94274</t>
  </si>
  <si>
    <t>TELHAMENTO COM TELHA METÁLICA TERMOACÚSTICA E = 30 MM, COM ATÉ 2 ÁGUAS, INCLUSO IÇAMENTO. AF_07/2019</t>
  </si>
  <si>
    <t>94216</t>
  </si>
  <si>
    <t>CUMEEIRA TERMOACÚSTICA</t>
  </si>
  <si>
    <t>C1002</t>
  </si>
  <si>
    <t>CALHA EM CHAPA DE AÇO GALVANIZADO NÚMERO 24, DESENVOLVIMENTO DE 100 CM, INCLUSO TRANSPORTE VERTICAL. AF_07/2019</t>
  </si>
  <si>
    <t>94229</t>
  </si>
  <si>
    <t>P1</t>
  </si>
  <si>
    <t>FECHADURA DE EMBUTIR PARA PORTAS INTERNAS, COMPLETA, ACABAMENTO PADRÃO POPULAR, COM EXECUÇÃO DE FURO - FORNECIMENTO E INSTALAÇÃO. AF_12/2019</t>
  </si>
  <si>
    <t>91307</t>
  </si>
  <si>
    <t>FUNDO SELADOR ACRÍLICO, APLICAÇÃO MANUAL EM PAREDE, UMA DEMÃO. AF_04/2023</t>
  </si>
  <si>
    <t>EMASSAMENTO COM MASSA LÁTEX, APLICAÇÃO EM PAREDE, DUAS DEMÃOS, LIXAMENTO MANUAL. AF_04/2023</t>
  </si>
  <si>
    <t>item 9.4</t>
  </si>
  <si>
    <t>PINTURA LÁTEX ACRÍLICA PREMIUM, APLICAÇÃO MANUAL EM PAREDES, DUAS DEMÃOS. AF_04/2023</t>
  </si>
  <si>
    <t>item 9.5</t>
  </si>
  <si>
    <t>103782</t>
  </si>
  <si>
    <t>Luminária 12/13.0 VA</t>
  </si>
  <si>
    <t>11.15</t>
  </si>
  <si>
    <t>DISJUNTOR MONOPOLAR TIPO DIN, CORRENTE NOMINAL DE 10A - FORNECIMENTO E INSTALAÇÃO. AF_10/2020</t>
  </si>
  <si>
    <t>93653</t>
  </si>
  <si>
    <t>POSTE DE CONCRETO COM COMPRIMENTO NOMINAL DE 8 M, ENGASTAMENTO SIMPLES COM 1,5 M DE SOLO - FORNECIMENTO E INSTALACAO</t>
  </si>
  <si>
    <t>ASSENTAMENTO DE POSTE DE CONCRETO COM COMPRIMENTO NOMINAL DE 9 M, CARGA NOMINAL MENOR OU IGUAL A 1000 DAN, ENGASTAMENTO SIMPLES COM 1,5 M DE SOLO (NÃO INCLUI FORNECIMENTO). AF_11/2019</t>
  </si>
  <si>
    <t>41195</t>
  </si>
  <si>
    <t xml:space="preserve">POSTE DE CONCRETO ARMADO DE SECAO DUPLO T, EXTENSAO DE 8,00 M, RESISTENCIA DE 150 DAN, TIPO 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</si>
  <si>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Assentamento de Poste de concreto - Entrada de energia</t>
  </si>
  <si>
    <t>39808</t>
  </si>
  <si>
    <t>CAIXA PARA MEDIDOR MONOFASICO, EM POLICARBONATO / TERMOPLASTICO, PARA ALOJAR 1 DISJUNTOR (PADRAO DA CONCESSIONARIA LOCAL)</t>
  </si>
  <si>
    <t>Quadro de medição</t>
  </si>
  <si>
    <t>LIMPEZA DE SUPERFÍCIE COM JATO DE ALTA PRESSÃO. AF_04/2019</t>
  </si>
  <si>
    <t>99814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</si>
  <si>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</si>
  <si>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86943</t>
  </si>
  <si>
    <t>4º MÊS</t>
  </si>
  <si>
    <t>5º MÊS</t>
  </si>
  <si>
    <t>6º MÊS</t>
  </si>
  <si>
    <t>22,95</t>
  </si>
  <si>
    <t>86904/SINAPI (JUNHO/2023)</t>
  </si>
  <si>
    <t>23,49</t>
  </si>
  <si>
    <t>FORNECIMENTO E INSTALAÇÃO DE PLACA DE OBRA COM CHAPA GALVANIZADA E ESTRUTURA DE MADEIRA. AF_03/2022_PS</t>
  </si>
  <si>
    <t>103689</t>
  </si>
  <si>
    <t>OK - ATUALIZADO_12/2024</t>
  </si>
  <si>
    <t>TAPUME COM TELHA METÁLICA. AF_03/2024</t>
  </si>
  <si>
    <t>LOCAÇÃO CONVENCIONAL DE OBRA, UTILIZANDO GABARITO DE TÁBUAS CORRIDAS PONTALETADAS A CADA 2,00M -  2 UTILIZAÇÕES. AF_03/2024</t>
  </si>
  <si>
    <t>2.4</t>
  </si>
  <si>
    <t>LASTRO DE CONCRETO MAGRO, APLICADO EM PISOS, LAJES SOBRE SOLO OU RADIERS. AF_01/2024</t>
  </si>
  <si>
    <t>0,70</t>
  </si>
  <si>
    <t>9,45</t>
  </si>
  <si>
    <t>20,01</t>
  </si>
  <si>
    <t>3.5</t>
  </si>
  <si>
    <t>1,88</t>
  </si>
  <si>
    <t>ESTRUTURA METÁLICA - COBERTA</t>
  </si>
  <si>
    <t>3.6</t>
  </si>
  <si>
    <t>12,97</t>
  </si>
  <si>
    <t>FORNECIMENTO DE MODULOS/PERFIS EM PVC NA COR CINZA, INCLUSIVE ACESSÓRIOS DE ACABAMENTOS, DE ACORDO A NORMA ABNT – NBR 17.077 E EM CONFORMIDADE COM A DIRETRIZ SINAT 004 (MINISTERIO DO DESENVOLVIMENTO REGIONAL).</t>
  </si>
  <si>
    <t xml:space="preserve"> PESQUISA DE PREÇO</t>
  </si>
  <si>
    <t xml:space="preserve">COMPOSIÇÃO DE BDI PARA FORNECIMENTO DE MATERIAIS E EQUIPAMENTOS </t>
  </si>
  <si>
    <t>De 1,50% até 4,49%; médio = 3,45%</t>
  </si>
  <si>
    <t>De 0,85% até 1,11%; médio = 0,85%</t>
  </si>
  <si>
    <t>De 0,56% até 0,89%; médio = 0,85%</t>
  </si>
  <si>
    <t>De 0,30% até 0,82%; médio = 0,48%</t>
  </si>
  <si>
    <t>De 11,10% até 16,80%; médio = 14,02%</t>
  </si>
  <si>
    <t>De 3,50% até 6,22%; médio = 5,11%</t>
  </si>
  <si>
    <r>
      <rPr>
        <b/>
        <sz val="10"/>
        <rFont val="Calibri"/>
        <family val="2"/>
        <scheme val="minor"/>
      </rPr>
      <t xml:space="preserve">BDI </t>
    </r>
    <r>
      <rPr>
        <b/>
        <sz val="9"/>
        <rFont val="Calibri"/>
        <family val="2"/>
        <scheme val="minor"/>
      </rPr>
      <t>(FORNECIMENTO) =</t>
    </r>
  </si>
  <si>
    <r>
      <rPr>
        <b/>
        <sz val="10"/>
        <rFont val="Calibri"/>
        <family val="2"/>
        <scheme val="minor"/>
      </rPr>
      <t>BDI</t>
    </r>
    <r>
      <rPr>
        <b/>
        <sz val="9"/>
        <rFont val="Calibri"/>
        <family val="2"/>
        <scheme val="minor"/>
      </rPr>
      <t xml:space="preserve"> (FORNECIMENTO) =</t>
    </r>
  </si>
  <si>
    <t>COMPOSIÇÃO 04</t>
  </si>
  <si>
    <t>REVESTIMENTO CERÂMICO PARA PAREDES INTERNAS COM PLACAS TIPO ESMALTADA DE DIMENSÕES 60X60 CM APLICADAS NA ALTURA INTEIRA DAS PAREDES. AF_02/2023_PE</t>
  </si>
  <si>
    <t>104611</t>
  </si>
  <si>
    <t>ORSE</t>
  </si>
  <si>
    <t>Frontal</t>
  </si>
  <si>
    <t>COMPOSIÇÃO 05</t>
  </si>
  <si>
    <t>Área conf projeto</t>
  </si>
  <si>
    <t>Calçada frontal</t>
  </si>
  <si>
    <t>ASSENTAMENTO DE GUIA (MEIO-FIO) EM TRECHO CURVO, CONFECCIONADA EM CONCRETO PRÉ-FABRICADO, DIMENSÕES 100X15X13X30 CM (COMPRIMENTO X BASE INFERIOR X BASE SUPERIOR X ALTURA). AF_01/2024</t>
  </si>
  <si>
    <t>SEINFRA.28</t>
  </si>
  <si>
    <t>89512</t>
  </si>
  <si>
    <t>TUBO PVC, SÉRIE R, ÁGUA PLUVIAL, DN 100 MM, FORNECIDO E INSTALADO EM RAMAL DE ENCAMINHAMENTO. AF_06/2022</t>
  </si>
  <si>
    <t>P4</t>
  </si>
  <si>
    <t>P5</t>
  </si>
  <si>
    <t>8.7</t>
  </si>
  <si>
    <t>Posterior</t>
  </si>
  <si>
    <t xml:space="preserve">ESCADA MARINHEIRO EM AÇO CA-50 D=16MM (5/8") </t>
  </si>
  <si>
    <t>Código de referência (origem dos coeficientes da composição)</t>
  </si>
  <si>
    <t>06979/ORSE (FEVEREIRO/2022)</t>
  </si>
  <si>
    <t>ESCADA MARINHEIRO EM AÇO CA-50 D=16MM (5/8"), EXCETO PINTURA - REV 01</t>
  </si>
  <si>
    <t>Preço Unitário Custo</t>
  </si>
  <si>
    <t>Quantidade</t>
  </si>
  <si>
    <t>ACO CA-50, 12,5 MM OU 16,0 MM, VERGALHAO</t>
  </si>
  <si>
    <t>SINAPI COMPOSIÇÃO</t>
  </si>
  <si>
    <t>87314</t>
  </si>
  <si>
    <t>ARGAMASSA TRAÇO 1:3 (EM VOLUME DE CIMENTO E AREIA GROSSA ÚMIDA) PARA CHAPISCO CONVENCIONAL, PREPARO MECÂNICO COM BETONEIRA 600 L. AF_08/2019</t>
  </si>
  <si>
    <t>GUARDA-CORPO EM TUBOS DE AÇO GALVANIZADO (ALTURA = 1.00), COM BARRAS VERTICAIS A CADA 2.00M (1 1/2"), BARRA HORIZONTAL INTERMEDIÁRIA (1 1/2") E BARRA HORIZONTAL SUPERIOR (1 1/2")</t>
  </si>
  <si>
    <t>ORSE 03550 (FEVEREIRO/2022)</t>
  </si>
  <si>
    <t>GUARDA-CORPO EM TUBOS DE AÇO GALVANIZADO (ALTURA = 1.00), COM BARRAS VERTICAIS A CADA 2.00M (1 1/2"), BARRA HORIZONTAL INTERMEDIÁRIA (1 1/2") E BARRA HORIZONTAL SUPERIOR (2")</t>
  </si>
  <si>
    <t>TUBO ACO GALVANIZADO COM COSTURA, CLASSE LEVE, DN 40 MM ( 1 1/2"),  E = 3,00 MM,  *3,48* KG/M (NBR 5580)</t>
  </si>
  <si>
    <t xml:space="preserve">SINAPI COMPOSIÇÃO  </t>
  </si>
  <si>
    <t>SERRALHEIRO COM ENCARGOS COMPLEMENTARES</t>
  </si>
  <si>
    <t>88317</t>
  </si>
  <si>
    <t>SOLDADOR COM ENCARGOS COMPLEMENTARES</t>
  </si>
  <si>
    <t>10997</t>
  </si>
  <si>
    <t>ELETRODO REVESTIDO AWS - E7018, DIAMETRO IGUAL A 4,00 MM</t>
  </si>
  <si>
    <t>94963</t>
  </si>
  <si>
    <t>CONCRETO FCK = 15MPA, TRAÇO 1:3,4:3,5 (CIMENTO/ AREIA MÉDIA/ BRITA 1)  - PREPARO MECÂNICO COM BETONEIRA 400 L. AF_07/2016</t>
  </si>
  <si>
    <t>PONTO DE CONSUMO TERMINAL DE ÁGUA FRIA (SUBRAMAL) COM TUBULAÇÃO DE PVC, DN 25 MM, INSTALADO EM RAMAL DE ÁGUA, INCLUSOS RASGO E CHUMBAMENTO EM ALVENARIA.</t>
  </si>
  <si>
    <t>89957/SINAPI-PE (FEVEREIRO/2024)</t>
  </si>
  <si>
    <t>89356</t>
  </si>
  <si>
    <t>TUBO, PVC, SOLDÁVEL, DE 25MM, INSTALADO EM RAMAL OU SUB-RAMAL DE ÁGUA - FORNECIMENTO E INSTALAÇÃO. AF_06/2022</t>
  </si>
  <si>
    <t>2,1400000</t>
  </si>
  <si>
    <t>89362</t>
  </si>
  <si>
    <t>JOELHO 90 GRAUS, PVC, SOLDÁVEL, DN 25MM, INSTALADO EM RAMAL OU SUB-RAMAL DE ÁGUA - FORNECIMENTO E INSTALAÇÃO. AF_06/2022</t>
  </si>
  <si>
    <t>1,1800000</t>
  </si>
  <si>
    <t>89366</t>
  </si>
  <si>
    <t>JOELHO 90 GRAUS COM BUCHA DE LATÃO, PVC, SOLDÁVEL, DN 25MM, X 3/4  INSTALADO EM RAMAL OU SUB-RAMAL DE ÁGUA - FORNECIMENTO E INSTALAÇÃO. AF_06/2022</t>
  </si>
  <si>
    <t>14,39</t>
  </si>
  <si>
    <t>89395</t>
  </si>
  <si>
    <t>TE, PVC, SOLDÁVEL, DN 25MM, INSTALADO EM RAMAL OU SUB-RAMAL DE ÁGUA - FORNECIMENTO E INSTALAÇÃO. AF_06/2022</t>
  </si>
  <si>
    <t>0,8900000</t>
  </si>
  <si>
    <t>90443</t>
  </si>
  <si>
    <t>RASGO LINEAR MANUAL EM ALVENARIA, PARA RAMAIS/ DISTRIBUIÇÃO DE INSTALAÇÕES HIDRÁULICAS, DIÂMETROS MENORES OU IGUAIS A 40 MM. AF_09/2023</t>
  </si>
  <si>
    <t>90466</t>
  </si>
  <si>
    <t>CHUMBAMENTO LINEAR EM ALVENARIA PARA RAMAIS/DISTRIBUIÇÃO DE INSTALAÇÕES HIDRÁULICAS COM DIÂMETROS MENORES OU IGUAIS A 40 MM. AF_09/2023</t>
  </si>
  <si>
    <t>Lavatórios</t>
  </si>
  <si>
    <t>TORNEIRA CROMADA DE MESA, 1/2" OU 3/4", PARA LAVATÓRIO, PADRÃO MÉDIO - FORNECIMENTO E INSTALAÇÃO. AF_01/2020</t>
  </si>
  <si>
    <t>Geral</t>
  </si>
  <si>
    <t>RESERVATÓRIO ELEVADO C/ CAIXA D'AGUA EM FIBRA DE VIDRO DE 5.000 LITROS APOIADO EM ESTRUTURA PRÉ-MOLDADA CONCRETO, COMPOSTA DE CAPITEL P/APOIO DA CAIXA E PILAR CILÍNDRICO C/ALTURA ÚTIL = 6,00M, INCLUSO FRETE E MONTAGEM NO LOCAL, EXCETO INST. HIDRÁULICA</t>
  </si>
  <si>
    <t>37105</t>
  </si>
  <si>
    <t xml:space="preserve">CAIXA D'AGUA / RESERVATORIO EM POLIESTER REFORCADO COM FIBRA DE VIDRO, 5000 LITROS, COM TAMPA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</si>
  <si>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10971</t>
  </si>
  <si>
    <t xml:space="preserve">ESTRUTURA PRE-MOLDADA DE CONCRETO P/ CAIXAS D'AGUA DE 5.000 LITROS, COMPOSTA DE CAPITEL P/APOIO DA CAIXA DÁGUA E PILAR CILINDRICO D=40CM E ALTURA = 7,50M, INCLUSO MONTAGEM NO LOCAL, REF: CILEL OU SIMILAR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</si>
  <si>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367</t>
  </si>
  <si>
    <t xml:space="preserve">AREIA GROSSA - POSTO JAZIDA/FORNECEDOR (RETIRADO NA JAZIDA, SEM TRANSPORTE)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</si>
  <si>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131,69</t>
  </si>
  <si>
    <t>1379</t>
  </si>
  <si>
    <t xml:space="preserve">CIMENTO PORTLAND COMPOSTO CP II-32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</si>
  <si>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4721</t>
  </si>
  <si>
    <t xml:space="preserve">PEDRA BRITADA N. 1 (9,5 a 19 MM) POSTO PEDREIRA/FORNECEDOR, SEM FRETE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</si>
  <si>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100,61</t>
  </si>
  <si>
    <t>4730</t>
  </si>
  <si>
    <t xml:space="preserve">PEDRA DE MAO OU PEDRA RACHAO PARA ARRIMO/FUNDACAO (POSTO PEDREIRA/FORNECEDOR, SEM FRETE)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</si>
  <si>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94,56</t>
  </si>
  <si>
    <t>RESERVATÓRIO ELEVADO C/ CAIXA D'AGUA EM FIBRA DE VIDRO DE 5.000 LITROS APOIADO EM ESTRUTURA PRÉ-MOLDADA CONCRETO, COMPOSTA DE CAPITEL P/APOIO DA CAIXA E PILAR CILÍNDRICO C/ALTURA ÚTIL = 6,00M, INCLUSO FRETE E MONTAGEM NO LOCAL</t>
  </si>
  <si>
    <t>Reservatório elevado</t>
  </si>
  <si>
    <t>100578</t>
  </si>
  <si>
    <t>100578/SINAPI (DEZEMBRO/2024)</t>
  </si>
  <si>
    <t>115,04</t>
  </si>
  <si>
    <t>4,24</t>
  </si>
  <si>
    <t>LUMINÁRIA TIPO PLAFON CIRCULAR, DE SOBREPOR, COM LED DE 12/13 W - FORNECIMENTO E INSTALAÇÃO. AF_09/2024</t>
  </si>
  <si>
    <t>HASTE DE ATERRAMENTO, DIÂMETRO 5/8", COM 3 METROS - FORNECIMENTO E INSTALAÇÃO. AF_08/2023</t>
  </si>
  <si>
    <t>96985</t>
  </si>
  <si>
    <t xml:space="preserve">DISPOSITIVO DPS CLASSE II, 1 POLO, TENSAO MAXIMA DE 275 V, CORRENTE MAXIMA DE *45* KA (TIPO AC)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</si>
  <si>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39471</t>
  </si>
  <si>
    <t xml:space="preserve">DISPOSITIVO DR, 4 POLOS, SENSIBILIDADE DE 30 MA, CORRENTE DE 40 A, TIPO AC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</si>
  <si>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39456</t>
  </si>
  <si>
    <t>26,53% (com CPRB)</t>
  </si>
  <si>
    <t>FORNECIMENTO DE MODULOS EM PVC, INCLUSIVE ACESSÓRIOS, EM CONFORMIDADE COM A DIRETRIZ SINAT 004/REV1-DATEC 017A (MINISTERIO DO DESENVOLVIMENTO REGIONAL)</t>
  </si>
  <si>
    <t>Fonte de Pesquisa</t>
  </si>
  <si>
    <t>Obra</t>
  </si>
  <si>
    <t xml:space="preserve">Unidade </t>
  </si>
  <si>
    <t>Processo</t>
  </si>
  <si>
    <t xml:space="preserve">Modalidade </t>
  </si>
  <si>
    <t>Local/Município/PE</t>
  </si>
  <si>
    <t>Contrato</t>
  </si>
  <si>
    <t>038/2024</t>
  </si>
  <si>
    <t>CONCORRÊNCIA ELETRÔNICA Nº 4/2024</t>
  </si>
  <si>
    <t>Site do TCE-PE (Tome Conta) (https://sistemas.tcepe.tc.br/audinArquivos/licon/processo_licitatorio/edital/66/LICON_Edital_66_2024_38_1400673.pdf)</t>
  </si>
  <si>
    <t>Construção
do Centro de Excelência Municipal Professor José Vieira da Costa, no
município de Belo Jardim-PE</t>
  </si>
  <si>
    <t xml:space="preserve"> Construção de uma escola de tempo integral contendo 25 salas de
aula, no sistema construtivo concreto/PVC, a ser implantado no Município de Toritama/PE</t>
  </si>
  <si>
    <t>Contrato nº 018/2024</t>
  </si>
  <si>
    <t>Contrato nº 305/2024</t>
  </si>
  <si>
    <t>Prefeitura Município de Toritama-PE</t>
  </si>
  <si>
    <t>005/2024</t>
  </si>
  <si>
    <t>CONCORRÊNCIA ELETRÔNICA SEDUC Nº 001/2024</t>
  </si>
  <si>
    <t>Site do TCE-PE (Tome Conta) (file:///C:/Users/erist/Downloads/EDITAL%20E%20ANEXOS%20-%20ESCOLA%20(2)%20(2).pdf)</t>
  </si>
  <si>
    <t>Site do TCE-PE (Tome Conta) (https://sistemas.tcepe.tc.br/audinArquivos/licon/processo_licitatorio/edital/1/LICON_Edital_1_2023_65_1271441.pdf)</t>
  </si>
  <si>
    <t>Contrato nº 165/2023 14/09/23 a 05/06/25</t>
  </si>
  <si>
    <t>Prefeitura Município de Abreu e Lima-PE</t>
  </si>
  <si>
    <t>Contratação de Empresa de Engenharia para Construção de duas Escolas no Município de Abreu e Lima/PE</t>
  </si>
  <si>
    <t>065/2023</t>
  </si>
  <si>
    <t>CONCORRÊNCIA PÚBLICA Nº 003/2023 –
PL Nº 065/2023</t>
  </si>
  <si>
    <t xml:space="preserve"> PESQUISA DE PREÇO 01</t>
  </si>
  <si>
    <t>MENOR VALOR DOS PREÇOS UNITÁRIOS PESQUISADO</t>
  </si>
  <si>
    <t>Prefeitura Municipal de Belo Jardim-PE</t>
  </si>
  <si>
    <t xml:space="preserve">Fonte de pesquisa, acesso no dia 03 de fevereiro de 2025 às 8h: https://tomeconta.tcepe.tc.br/ </t>
  </si>
  <si>
    <t>"III - utilização de dados de pesquisa publicada em mídia especializada, de tabela de referência formalmente aprovada pelo Poder Executivo federal e de sítios eletrônicos especializados ou de domínio amplo, desde que contenham a data e hora de acesso;" (LEI Nº 14.133, DE 1º DE ABRIL DE 2021)</t>
  </si>
  <si>
    <t>A pesquisa de preços foi realizada consultando, preferencialmente, pelo menos três fornecedores ou prestadores de serviços;</t>
  </si>
  <si>
    <t>OBS: Adotou-se o menor valor cotado, considerando-se a expectativa de estabilidade nos preços, uma vez que se tratam de obras recentes, cujos valores ainda refletem as condições de mercado vigentes;</t>
  </si>
  <si>
    <t>94570</t>
  </si>
  <si>
    <t>97901</t>
  </si>
  <si>
    <t>CAIXA ENTERRADA HIDRÁULICA RETANGULAR EM ALVENARIA COM TIJOLOS CERÂMICOS MACIÇOS, DIMENSÕES INTERNAS: 0,4X0,4X0,4 M PARA REDE DE ESGOTO. AF_12/2020</t>
  </si>
  <si>
    <t>89357</t>
  </si>
  <si>
    <t>TUBO, PVC, SOLDÁVEL, DE 32MM, INSTALADO EM RAMAL OU SUB-RAMAL DE ÁGUA - FORNECIMENTO E INSTALAÇÃO. AF_06/2022</t>
  </si>
  <si>
    <t>Encaminhamentos (alimentação do reservatório ate os ramais )</t>
  </si>
  <si>
    <t>Encaminhamentos (alimentação do reservatório ate hidrômetro geral modelo padrão da concessionária local )</t>
  </si>
  <si>
    <t>JUSTIF.</t>
  </si>
  <si>
    <t>ACERVO?</t>
  </si>
  <si>
    <t xml:space="preserve">&gt; 4% </t>
  </si>
  <si>
    <t>SIM</t>
  </si>
  <si>
    <t>OBRA: REFORMA DO AÇOUGUE MUNICIPAL E CONSTRUÇÃO DE 01 GALPÃO PRÉ-FABRICADO DE CONCRETO ARMADO</t>
  </si>
  <si>
    <t>LOCALIZAÇÃO: RUA SÉRGIO AMARO DO NASCIMENTO - JOÃO ALFREDO/PE</t>
  </si>
  <si>
    <t>DATA: ABRIL/2025</t>
  </si>
  <si>
    <t>462,48</t>
  </si>
  <si>
    <t>465,75</t>
  </si>
  <si>
    <t>OK - ATUALIZADO_02/2025</t>
  </si>
  <si>
    <t>5730,92</t>
  </si>
  <si>
    <t>6345,55</t>
  </si>
  <si>
    <t>20276,71</t>
  </si>
  <si>
    <t>22627,68</t>
  </si>
  <si>
    <t>REMOÇÃO DE TELHAS DE FIBROCIMENTO METÁLICA E CERÂMICA, DE FORMA MANUAL, SEM REAPROVEITAMENTO. AF_09/2023</t>
  </si>
  <si>
    <t>97647</t>
  </si>
  <si>
    <t>Coberta existente (telha fribrociemnto)</t>
  </si>
  <si>
    <t>3,47</t>
  </si>
  <si>
    <t>3,76</t>
  </si>
  <si>
    <t>Área conf proejto</t>
  </si>
  <si>
    <t>DEMOLIÇÃO DE PISO DE CONCRETO SIMPLES, DE FORMA MECANIZADA COM MARTELETE, SEM REAPROVEITAMENTO. AF_09/2023</t>
  </si>
  <si>
    <t>104790</t>
  </si>
  <si>
    <t>103,03</t>
  </si>
  <si>
    <t>107,3</t>
  </si>
  <si>
    <t>Piso existente</t>
  </si>
  <si>
    <t>Gabarito do Galpão</t>
  </si>
  <si>
    <t>DEMOLIÇÃO DE REVESTIMENTO CERÂMICO, DE FORMA MANUAL, SEM REAPROVEITAMENTO. AF_09/2023</t>
  </si>
  <si>
    <t>97633</t>
  </si>
  <si>
    <t>Revestimento existente</t>
  </si>
  <si>
    <t>24,24</t>
  </si>
  <si>
    <t>DEMOLIÇÃO DE ALVENARIA DE BLOCO FURADO, DE FORMA MANUAL, COM REAPROVEITAMENTO. AF_09/2023</t>
  </si>
  <si>
    <t>97621</t>
  </si>
  <si>
    <t>114,61</t>
  </si>
  <si>
    <t>123,97</t>
  </si>
  <si>
    <t xml:space="preserve">Wc's </t>
  </si>
  <si>
    <t>REMOÇÃO CALHAS E RUFOS, DE FORMA MANUAL, SEM REAPROVEITAMENTO. AF_09/2023</t>
  </si>
  <si>
    <t>104803</t>
  </si>
  <si>
    <t>4,45</t>
  </si>
  <si>
    <t>4,83</t>
  </si>
  <si>
    <t xml:space="preserve">Calha existente </t>
  </si>
  <si>
    <t xml:space="preserve">Tapume da Obra </t>
  </si>
  <si>
    <t>92,19</t>
  </si>
  <si>
    <t>94,86</t>
  </si>
  <si>
    <t>63,91</t>
  </si>
  <si>
    <t>66,95</t>
  </si>
  <si>
    <t>713,19</t>
  </si>
  <si>
    <t>735,91</t>
  </si>
  <si>
    <t>41,75</t>
  </si>
  <si>
    <t>43,66</t>
  </si>
  <si>
    <t>Área do piso</t>
  </si>
  <si>
    <t>203,28</t>
  </si>
  <si>
    <t>203,52</t>
  </si>
  <si>
    <t>Cobertura da edificação e Galpão</t>
  </si>
  <si>
    <t>144,78</t>
  </si>
  <si>
    <t>147,1</t>
  </si>
  <si>
    <t>ESTRUTURA PARA GALPÃO PRÉ-MOLDADO DE CONCRETO ARMADO, PADRÃO QUADRA DE ESPORTE, SEM LANTERNIM, C/MONTAGEM, VÃOS ATÉ 22M, TESOURA SEM EMENDA, VÃOS ENTRE PILARES DE 5,00/6,00M, ALTURA 6,50/7,50M(LATERAL/MEIO), EXCLUSO TELHAS, INCLUSIVE FUNDAÇÃO - RV 01</t>
  </si>
  <si>
    <t>Galpão pré-moldado</t>
  </si>
  <si>
    <t>12994</t>
  </si>
  <si>
    <t>Estimava para ao local da obra (Encarregado) - 2 vezes por semana e 4 semanas durante 10 meses (2x4x10) / Estimava para ao local da obra (Engenheiro) - 2 vezes por semana e 4 semanas durante 10 meses (2x4x10)</t>
  </si>
  <si>
    <t>COZINHA-CAMARA FRIGORIFICA 3,3x1,55x2,20m 80 kgf/DIA</t>
  </si>
  <si>
    <t>008584</t>
  </si>
  <si>
    <t>SBC</t>
  </si>
  <si>
    <t>Paredes internas e tarimbas</t>
  </si>
  <si>
    <t>Área conf Projeto</t>
  </si>
  <si>
    <t>94,44</t>
  </si>
  <si>
    <t>96,65</t>
  </si>
  <si>
    <t>52,98</t>
  </si>
  <si>
    <t>54,15</t>
  </si>
  <si>
    <t xml:space="preserve">DEMOLIÇÃO DE MEIO-FIO GRANÍTICO OU PRE-MOLDADO </t>
  </si>
  <si>
    <t>021</t>
  </si>
  <si>
    <t>Terças - Perfil U Estrutural - Enrijecido</t>
  </si>
  <si>
    <t>kg/m</t>
  </si>
  <si>
    <t>ESTRUTURA TRELIÇADA DE COBERTURA, TIPO FINK, COM LIGAÇÕES SOLDADAS, INCLUSOS PERFIS METÁLICOS, CHAPAS METÁLICAS, TRANSPORTE COM GUINDASTE, JATEAMENTO E PINTURA</t>
  </si>
  <si>
    <t xml:space="preserve">C5216
</t>
  </si>
  <si>
    <t>ALVENARIA DE VEDAÇÃO DE BLOCOS CERÂMICOS FURADOS NA HORIZONTAL DE 9X19X19 CM (ESPESSURA 9 CM) E ARGAMASSA DE ASSENTAMENTO COM PREPARO EM BETONEIRA. AF_12/2021</t>
  </si>
  <si>
    <t>103328</t>
  </si>
  <si>
    <t>86,13</t>
  </si>
  <si>
    <t>91,23</t>
  </si>
  <si>
    <t>Wc's</t>
  </si>
  <si>
    <t>DRENAGEM</t>
  </si>
  <si>
    <t>TUBO DE CONCRETO PARA REDES COLETORAS DE ÁGUAS PLUVIAIS, DIÂMETRO DE 600 MM, JUNTA RÍGIDA, INSTALADO EM LOCAL COM BAIXO NÍVEL DE INTERFERÊNCIAS - FORNECIMENTO E ASSENTAMENTO. AF_03/2024</t>
  </si>
  <si>
    <t>92212</t>
  </si>
  <si>
    <t>240,64</t>
  </si>
  <si>
    <t>242,75</t>
  </si>
  <si>
    <t>Rua Antônio Soares</t>
  </si>
  <si>
    <t>Rua Severino Ricardo dos Passos</t>
  </si>
  <si>
    <t>Rua Sérgio Amaro do Nascimento</t>
  </si>
  <si>
    <t xml:space="preserve">Paredes externas / internas </t>
  </si>
  <si>
    <t>4,06</t>
  </si>
  <si>
    <t>DEMOLIÇÃO DE ARGAMASSAS, DE FORMA MANUAL, SEM REAPROVEITAMENTO. AF_09/2023</t>
  </si>
  <si>
    <t>97631</t>
  </si>
  <si>
    <t>Revestimento</t>
  </si>
  <si>
    <t>CAIXA PARA BOCA DE LOBO COMBINADA COM GRELHA RETANGULAR, EM ALVENARIA COM TIJOLOS CERÂMICOS MACIÇOS, DIMENSÕES INTERNAS: 1,3X1X1,2 M. AF_12/2020</t>
  </si>
  <si>
    <t>97951</t>
  </si>
  <si>
    <t>2685,26</t>
  </si>
  <si>
    <t>CAIXA PARA BOCA DE LOBO DUPLA COMBINADA COM GRELHA RETANGULAR, EM ALVENARIA COM TIJOLOS CERÂMICOS MACIÇOS, DIMENSÕES INTERNAS: 1,3X2,2X1,2 M. AF_12/2020</t>
  </si>
  <si>
    <t>97952</t>
  </si>
  <si>
    <t>4498,29</t>
  </si>
  <si>
    <t>4652,52</t>
  </si>
  <si>
    <t/>
  </si>
  <si>
    <t>15,93</t>
  </si>
  <si>
    <t>16,95</t>
  </si>
  <si>
    <t>13,08</t>
  </si>
  <si>
    <t>13,54</t>
  </si>
  <si>
    <t>360,69</t>
  </si>
  <si>
    <t>363,34</t>
  </si>
  <si>
    <t>271,52</t>
  </si>
  <si>
    <t>285,04</t>
  </si>
  <si>
    <t>PONTO DE LUZ EM TETO OU PAREDE, COM ELETRODUTO PVC RÍGIDO EMBUTIDO Ø 3/4"</t>
  </si>
  <si>
    <t>00642</t>
  </si>
  <si>
    <t>FORRO EM RÉGUAS DE PVC, LISO, PARA AMBIENTES COMERCIAIS, INCLUSIVE ESTRUTURA BIDIRECIONAL DE FIXAÇÃO. AF_08/2023_PS</t>
  </si>
  <si>
    <t>96486</t>
  </si>
  <si>
    <t>70,14</t>
  </si>
  <si>
    <t>71,13</t>
  </si>
  <si>
    <t>504,52</t>
  </si>
  <si>
    <t>516,23</t>
  </si>
  <si>
    <t>492,63</t>
  </si>
  <si>
    <t>Caixas internas</t>
  </si>
  <si>
    <t>268,18</t>
  </si>
  <si>
    <t>270,05</t>
  </si>
  <si>
    <t>303,18</t>
  </si>
  <si>
    <t>305,05</t>
  </si>
  <si>
    <t>44,75</t>
  </si>
  <si>
    <t>46,39</t>
  </si>
  <si>
    <t>CAIXA ENTERRADA HIDRÁULICA RETANGULAR EM ALVENARIA COM TIJOLOS CERÂMICOS MACIÇOS, DIMENSÕES INTERNAS: 0,6X0,6X0,6 M PARA REDE DE DRENAGEM. AF_12/2020</t>
  </si>
  <si>
    <t>99253</t>
  </si>
  <si>
    <t>507,06</t>
  </si>
  <si>
    <t>532,57</t>
  </si>
  <si>
    <t>TUBO DE CONCRETO PARA REDES COLETORAS DE ÁGUAS PLUVIAIS, DIÂMETRO DE 400 MM, JUNTA RÍGIDA, INSTALADO EM LOCAL COM BAIXO NÍVEL DE INTERFERÊNCIAS - FORNECIMENTO E ASSENTAMENTO. AF_03/2024</t>
  </si>
  <si>
    <t>92210</t>
  </si>
  <si>
    <t>129,93</t>
  </si>
  <si>
    <t>131,29</t>
  </si>
  <si>
    <t>GRELHA DE FERRO P/CANALETAS</t>
  </si>
  <si>
    <t>C1437</t>
  </si>
  <si>
    <t xml:space="preserve">canaletas internas </t>
  </si>
  <si>
    <t xml:space="preserve">CANALETA EM TIJOLO MACIÇO 45X40CM COM TAMPA DE CONCRETO </t>
  </si>
  <si>
    <t>9942</t>
  </si>
  <si>
    <t>canaletas externas</t>
  </si>
  <si>
    <t>TUBO PVC, SÉRIE R, ÁGUA PLUVIAL, DN 150 MM, FORNECIDO E INSTALADO EM RAMAL DE ENCAMINHAMENTO. AF_06/2022</t>
  </si>
  <si>
    <t>104166</t>
  </si>
  <si>
    <t>67,53</t>
  </si>
  <si>
    <t xml:space="preserve">Internas </t>
  </si>
  <si>
    <t>2.5</t>
  </si>
  <si>
    <t>2.6</t>
  </si>
  <si>
    <t>2.7</t>
  </si>
  <si>
    <t>4,42</t>
  </si>
  <si>
    <t>41,53</t>
  </si>
  <si>
    <t>43,38</t>
  </si>
  <si>
    <t>Item 5.2</t>
  </si>
  <si>
    <t>Item 5.1</t>
  </si>
  <si>
    <t>bovinos / Suínos / Aves / Peixes</t>
  </si>
  <si>
    <t>689,75</t>
  </si>
  <si>
    <t>691,18</t>
  </si>
  <si>
    <t>P10</t>
  </si>
  <si>
    <t>P11</t>
  </si>
  <si>
    <t>P12</t>
  </si>
  <si>
    <t>PORTA DE ENROLAR, EM PERFIL MEIA CANA FECHADO, EM CHAPA DE AÇO GALVANIZADO Nº22</t>
  </si>
  <si>
    <t>12710</t>
  </si>
  <si>
    <t>P6</t>
  </si>
  <si>
    <t>P7</t>
  </si>
  <si>
    <t>P8</t>
  </si>
  <si>
    <t>P9</t>
  </si>
  <si>
    <t>696,02</t>
  </si>
  <si>
    <t>697,63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</si>
  <si>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</si>
  <si>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J1</t>
  </si>
  <si>
    <t>105,79</t>
  </si>
  <si>
    <t>108,67</t>
  </si>
  <si>
    <t>CORRIMÃO SIMPLES, DIÂMETRO EXTERNO = 1 1/2", EM AÇO GALVANIZADO. AF_04/2019_PS</t>
  </si>
  <si>
    <t>99855</t>
  </si>
  <si>
    <t>98,75</t>
  </si>
  <si>
    <t>102,27</t>
  </si>
  <si>
    <t>25,48</t>
  </si>
  <si>
    <t>26,67</t>
  </si>
  <si>
    <t>49,12</t>
  </si>
  <si>
    <t>52,18</t>
  </si>
  <si>
    <t>93572 / 93565 /SINAPI-PE (FEVEREIRO/2025)</t>
  </si>
  <si>
    <t>21,94</t>
  </si>
  <si>
    <t>8,83</t>
  </si>
  <si>
    <t>14,82</t>
  </si>
  <si>
    <t>15,4</t>
  </si>
  <si>
    <t>12,14</t>
  </si>
  <si>
    <t>7,36</t>
  </si>
  <si>
    <t>8,01</t>
  </si>
  <si>
    <t>15,44</t>
  </si>
  <si>
    <t xml:space="preserve">Wcs </t>
  </si>
  <si>
    <t>Açougue</t>
  </si>
  <si>
    <t>01683/ORSE (JANEIRO/2025)</t>
  </si>
  <si>
    <t>60,78</t>
  </si>
  <si>
    <t>7,39</t>
  </si>
  <si>
    <t>13,26</t>
  </si>
  <si>
    <t>16,97</t>
  </si>
  <si>
    <t>25,36</t>
  </si>
  <si>
    <t>27,62</t>
  </si>
  <si>
    <t>21,24</t>
  </si>
  <si>
    <t>Wc's Mas/Fem/PNE</t>
  </si>
  <si>
    <t>01679/ORSE (JANEIRO/2025)</t>
  </si>
  <si>
    <t>25,08</t>
  </si>
  <si>
    <t>Bancos de feira livre (2,00x1,00x0,90)</t>
  </si>
  <si>
    <t>Tarimbas</t>
  </si>
  <si>
    <t>68,86</t>
  </si>
  <si>
    <t>2,08</t>
  </si>
  <si>
    <t>0,83</t>
  </si>
  <si>
    <t>5,79</t>
  </si>
  <si>
    <t>450,74</t>
  </si>
  <si>
    <t>453,25</t>
  </si>
  <si>
    <t>Wc's  Mas/Fem/PNE</t>
  </si>
  <si>
    <t>Açougue - Tarimbas</t>
  </si>
  <si>
    <t>265,88</t>
  </si>
  <si>
    <t>268,5</t>
  </si>
  <si>
    <t>136,62</t>
  </si>
  <si>
    <t>112,54</t>
  </si>
  <si>
    <t>Wc's PNE</t>
  </si>
  <si>
    <t>159,9</t>
  </si>
  <si>
    <t>160,17</t>
  </si>
  <si>
    <t>98,97</t>
  </si>
  <si>
    <t>99,87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</si>
  <si>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</si>
  <si>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104162</t>
  </si>
  <si>
    <t>32,41</t>
  </si>
  <si>
    <t>32,85</t>
  </si>
  <si>
    <t>10203/ORSE (JANEIRO/2025)</t>
  </si>
  <si>
    <t>2482,86</t>
  </si>
  <si>
    <t>81,32</t>
  </si>
  <si>
    <t>82,21</t>
  </si>
  <si>
    <t>83,16</t>
  </si>
  <si>
    <t>84,05</t>
  </si>
  <si>
    <t>107,15</t>
  </si>
  <si>
    <t>108,92</t>
  </si>
  <si>
    <t>29,95</t>
  </si>
  <si>
    <t>31,8</t>
  </si>
  <si>
    <t>92,62</t>
  </si>
  <si>
    <t>95,93</t>
  </si>
  <si>
    <t>PONTO DE TOMADA 2P+T, ABNT, DE EMBUTIR, 10 A, COM ELETRODUTO DE PVC FLEXÍVEL SANFONADO EMBUTIDO Ø 3/4", FIO RIGIDO 2,5MM² (FIO 12), INCLUSIVE PLACA EM PVCE ATERRAMENTO</t>
  </si>
  <si>
    <t>PT</t>
  </si>
  <si>
    <t xml:space="preserve">3298
</t>
  </si>
  <si>
    <t>Conf layout elétrico</t>
  </si>
  <si>
    <t>PONTO DE INTERRUPTOR 01 SEÇÃO PARALELA, EMBUTIDO, COM ELETRODUTO DE PVC FLEXÍVEL SANFONADO Ø 3/4"</t>
  </si>
  <si>
    <t>3287</t>
  </si>
  <si>
    <t>33,26</t>
  </si>
  <si>
    <t>34,65</t>
  </si>
  <si>
    <t>REFLETOR SLIM LED 200W DE POTÊNCIA, BRANCO FRIO, 6500K, AUTOVOLT, MARCA G-LIGHT OU SIMILAR</t>
  </si>
  <si>
    <t>12808</t>
  </si>
  <si>
    <t>15,16</t>
  </si>
  <si>
    <t>15,31</t>
  </si>
  <si>
    <t>15,77</t>
  </si>
  <si>
    <t>15,96</t>
  </si>
  <si>
    <t>121,21</t>
  </si>
  <si>
    <t>122,04</t>
  </si>
  <si>
    <t>141,77</t>
  </si>
  <si>
    <t>216,21</t>
  </si>
  <si>
    <t>42,59</t>
  </si>
  <si>
    <t>43,23</t>
  </si>
  <si>
    <t>107,23</t>
  </si>
  <si>
    <t>108,27</t>
  </si>
  <si>
    <t>1,95</t>
  </si>
  <si>
    <t>FONTES DE PREÇOS: SINAPI-PE FEVEREIRO - 2025 / ORSEJANEIRO - 2025 / SEINFRA-CE 028  / SBC - PE / COMPOSIÇÕES / SEM DESONERAÇÃO / BDI = 20,50% / BDI = 11,10%</t>
  </si>
  <si>
    <t>QUADRO DE DISTRIBUIÇÃO DE ENERGIA EM CHAPA DE AÇO GALVANIZADO, DE EMBUTIR, COM BARRAMENTO TRIFÁSICO, PARA 24 DISJUNTORES DIN 100A - FORNECIMENTO E INSTALAÇÃO. AF_10/2020</t>
  </si>
  <si>
    <t>101879</t>
  </si>
  <si>
    <t>2.8</t>
  </si>
  <si>
    <t>2.9</t>
  </si>
  <si>
    <t>2.10</t>
  </si>
  <si>
    <t xml:space="preserve">113,94% (hora), 70,11% (mês) </t>
  </si>
  <si>
    <t>91,23% (hora), 52,09% (mês)</t>
  </si>
  <si>
    <t>ESTADO DE PERNAMBUCO - SEM DESONERAÇÃO</t>
  </si>
  <si>
    <t>(FONTE: SINAPI FEVEREIRO/2025)</t>
  </si>
  <si>
    <r>
      <t>ENCARGOS</t>
    </r>
    <r>
      <rPr>
        <b/>
        <sz val="10"/>
        <color rgb="FFFFFFFF"/>
        <rFont val="Times New Roman"/>
        <family val="1"/>
      </rPr>
      <t xml:space="preserve">  </t>
    </r>
    <r>
      <rPr>
        <b/>
        <sz val="10"/>
        <color rgb="FFFFFFFF"/>
        <rFont val="Calibri"/>
        <family val="2"/>
      </rPr>
      <t>SOCIAIS</t>
    </r>
    <r>
      <rPr>
        <b/>
        <sz val="10"/>
        <color rgb="FFFFFFFF"/>
        <rFont val="Times New Roman"/>
        <family val="1"/>
      </rPr>
      <t xml:space="preserve">  </t>
    </r>
    <r>
      <rPr>
        <b/>
        <sz val="10"/>
        <color rgb="FFFFFFFF"/>
        <rFont val="Calibri"/>
        <family val="2"/>
      </rPr>
      <t>SOBRE</t>
    </r>
    <r>
      <rPr>
        <b/>
        <sz val="10"/>
        <color rgb="FFFFFFFF"/>
        <rFont val="Times New Roman"/>
        <family val="1"/>
      </rPr>
      <t xml:space="preserve">  </t>
    </r>
    <r>
      <rPr>
        <b/>
        <sz val="10"/>
        <color rgb="FFFFFFFF"/>
        <rFont val="Calibri"/>
        <family val="2"/>
      </rPr>
      <t>A</t>
    </r>
    <r>
      <rPr>
        <b/>
        <sz val="10"/>
        <color rgb="FFFFFFFF"/>
        <rFont val="Times New Roman"/>
        <family val="1"/>
      </rPr>
      <t xml:space="preserve">  </t>
    </r>
    <r>
      <rPr>
        <b/>
        <sz val="10"/>
        <color rgb="FFFFFFFF"/>
        <rFont val="Calibri"/>
        <family val="2"/>
      </rPr>
      <t>MÃO</t>
    </r>
    <r>
      <rPr>
        <b/>
        <sz val="10"/>
        <color rgb="FFFFFFFF"/>
        <rFont val="Times New Roman"/>
        <family val="1"/>
      </rPr>
      <t xml:space="preserve">  </t>
    </r>
    <r>
      <rPr>
        <b/>
        <sz val="10"/>
        <color rgb="FFFFFFFF"/>
        <rFont val="Calibri"/>
        <family val="2"/>
      </rPr>
      <t>DE</t>
    </r>
    <r>
      <rPr>
        <b/>
        <sz val="10"/>
        <color rgb="FFFFFFFF"/>
        <rFont val="Times New Roman"/>
        <family val="1"/>
      </rPr>
      <t xml:space="preserve">  </t>
    </r>
    <r>
      <rPr>
        <b/>
        <sz val="10"/>
        <color rgb="FFFFFFFF"/>
        <rFont val="Calibri"/>
        <family val="2"/>
      </rPr>
      <t>OBRA</t>
    </r>
  </si>
  <si>
    <r>
      <t>COM</t>
    </r>
    <r>
      <rPr>
        <b/>
        <sz val="10"/>
        <color rgb="FFFFFFFF"/>
        <rFont val="Times New Roman"/>
        <family val="1"/>
      </rPr>
      <t xml:space="preserve"> </t>
    </r>
    <r>
      <rPr>
        <b/>
        <sz val="10"/>
        <color rgb="FFFFFFFF"/>
        <rFont val="Calibri"/>
        <family val="2"/>
      </rPr>
      <t>DESONERAÇÃO</t>
    </r>
  </si>
  <si>
    <r>
      <t>SEM</t>
    </r>
    <r>
      <rPr>
        <b/>
        <sz val="10"/>
        <color rgb="FFFFFFFF"/>
        <rFont val="Times New Roman"/>
        <family val="1"/>
      </rPr>
      <t xml:space="preserve"> </t>
    </r>
    <r>
      <rPr>
        <b/>
        <sz val="10"/>
        <color rgb="FFFFFFFF"/>
        <rFont val="Calibri"/>
        <family val="2"/>
      </rPr>
      <t>DESONERAÇÃO</t>
    </r>
  </si>
  <si>
    <t>HORISTA
%</t>
  </si>
  <si>
    <t>MENSALISTA
%</t>
  </si>
  <si>
    <r>
      <t>GRUPO</t>
    </r>
    <r>
      <rPr>
        <b/>
        <sz val="10"/>
        <color rgb="FFFFFFFF"/>
        <rFont val="Times New Roman"/>
        <family val="1"/>
      </rPr>
      <t xml:space="preserve"> </t>
    </r>
    <r>
      <rPr>
        <b/>
        <sz val="10"/>
        <color rgb="FFFFFFFF"/>
        <rFont val="Calibri"/>
        <family val="2"/>
      </rPr>
      <t>A</t>
    </r>
  </si>
  <si>
    <t>5,00%</t>
  </si>
  <si>
    <t>20,00%</t>
  </si>
  <si>
    <t>1,50%</t>
  </si>
  <si>
    <t>1,00%</t>
  </si>
  <si>
    <t>0,20%</t>
  </si>
  <si>
    <t>0,60%</t>
  </si>
  <si>
    <r>
      <t>Salário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Educação</t>
    </r>
  </si>
  <si>
    <t>2,50%</t>
  </si>
  <si>
    <r>
      <t>Seguro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Contra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Acidentes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de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Trabalho</t>
    </r>
  </si>
  <si>
    <t>3,00%</t>
  </si>
  <si>
    <t>8,00%</t>
  </si>
  <si>
    <t>0,00%</t>
  </si>
  <si>
    <t>21,80%</t>
  </si>
  <si>
    <t>36,80%</t>
  </si>
  <si>
    <r>
      <t>GRUPO</t>
    </r>
    <r>
      <rPr>
        <b/>
        <sz val="10"/>
        <color rgb="FFFFFFFF"/>
        <rFont val="Times New Roman"/>
        <family val="1"/>
      </rPr>
      <t xml:space="preserve"> </t>
    </r>
    <r>
      <rPr>
        <b/>
        <sz val="10"/>
        <color rgb="FFFFFFFF"/>
        <rFont val="Calibri"/>
        <family val="2"/>
      </rPr>
      <t>B</t>
    </r>
  </si>
  <si>
    <r>
      <t>Repouso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Semanal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Remunerado</t>
    </r>
  </si>
  <si>
    <t>18,01%</t>
  </si>
  <si>
    <r>
      <t>Não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incide</t>
    </r>
  </si>
  <si>
    <t>4,32%</t>
  </si>
  <si>
    <r>
      <t>Auxílio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-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Enfermidade</t>
    </r>
  </si>
  <si>
    <t>0,86%</t>
  </si>
  <si>
    <t>0,65%</t>
  </si>
  <si>
    <r>
      <t>13º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Salário</t>
    </r>
  </si>
  <si>
    <t>10,97%</t>
  </si>
  <si>
    <t>8,33%</t>
  </si>
  <si>
    <r>
      <t>Licença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Paternidade</t>
    </r>
  </si>
  <si>
    <t>0,07%</t>
  </si>
  <si>
    <t>0,05%</t>
  </si>
  <si>
    <r>
      <t>Faltas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Justificadas</t>
    </r>
  </si>
  <si>
    <t>0,73%</t>
  </si>
  <si>
    <t>0,56%</t>
  </si>
  <si>
    <r>
      <t>Dias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de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Chuvas</t>
    </r>
  </si>
  <si>
    <t>1,96%</t>
  </si>
  <si>
    <r>
      <t>Auxílio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Acidente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de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Trabalho</t>
    </r>
  </si>
  <si>
    <t>0,10%</t>
  </si>
  <si>
    <r>
      <t>Férias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Gozadas</t>
    </r>
  </si>
  <si>
    <t>9,95%</t>
  </si>
  <si>
    <t>7,56%</t>
  </si>
  <si>
    <r>
      <t>Salário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Maternidade</t>
    </r>
  </si>
  <si>
    <t>0,03%</t>
  </si>
  <si>
    <t>47,00%</t>
  </si>
  <si>
    <t>17,25%</t>
  </si>
  <si>
    <r>
      <t>GRUPO</t>
    </r>
    <r>
      <rPr>
        <b/>
        <sz val="10"/>
        <color rgb="FFFFFFFF"/>
        <rFont val="Times New Roman"/>
        <family val="1"/>
      </rPr>
      <t xml:space="preserve"> </t>
    </r>
    <r>
      <rPr>
        <b/>
        <sz val="10"/>
        <color rgb="FFFFFFFF"/>
        <rFont val="Calibri"/>
        <family val="2"/>
      </rPr>
      <t>C</t>
    </r>
  </si>
  <si>
    <r>
      <t>Aviso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Prévio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Indenizado</t>
    </r>
  </si>
  <si>
    <t>4,77%</t>
  </si>
  <si>
    <t>3,63%</t>
  </si>
  <si>
    <r>
      <t>Aviso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Prévio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Trabalhado</t>
    </r>
  </si>
  <si>
    <t>0,11%</t>
  </si>
  <si>
    <t>0,09%</t>
  </si>
  <si>
    <r>
      <t>Férias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Indenizadas</t>
    </r>
  </si>
  <si>
    <t>3,98%</t>
  </si>
  <si>
    <t>3,03%</t>
  </si>
  <si>
    <r>
      <t>Depósito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Rescisão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Sem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Justa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Causa</t>
    </r>
  </si>
  <si>
    <t>3,06%</t>
  </si>
  <si>
    <t>2,33%</t>
  </si>
  <si>
    <r>
      <t>Indenização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Adicional</t>
    </r>
  </si>
  <si>
    <t>0,40%</t>
  </si>
  <si>
    <t>0,31%</t>
  </si>
  <si>
    <t>12,32%</t>
  </si>
  <si>
    <t>9,39%</t>
  </si>
  <si>
    <r>
      <t>GRUPO</t>
    </r>
    <r>
      <rPr>
        <b/>
        <sz val="10"/>
        <color rgb="FFFFFFFF"/>
        <rFont val="Times New Roman"/>
        <family val="1"/>
      </rPr>
      <t xml:space="preserve"> </t>
    </r>
    <r>
      <rPr>
        <b/>
        <sz val="10"/>
        <color rgb="FFFFFFFF"/>
        <rFont val="Calibri"/>
        <family val="2"/>
      </rPr>
      <t>D</t>
    </r>
  </si>
  <si>
    <r>
      <t>Reincidência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de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Grupo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A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sobre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Grupo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B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(sem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considerar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INNS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sobre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13º,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conforme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Lei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nº
14.973/2024)</t>
    </r>
  </si>
  <si>
    <t>9,70%</t>
  </si>
  <si>
    <t>3,34%</t>
  </si>
  <si>
    <t>17,30%</t>
  </si>
  <si>
    <t>6,35%</t>
  </si>
  <si>
    <r>
      <t>Reincidência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de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Grupo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A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sobre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Aviso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Prévio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Trabalhado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e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Reincidência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do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FGTS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sobre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Aviso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Prévio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Indenizado</t>
    </r>
  </si>
  <si>
    <t>0,41%</t>
  </si>
  <si>
    <t>0,42%</t>
  </si>
  <si>
    <t>0,32%</t>
  </si>
  <si>
    <t>10,11%</t>
  </si>
  <si>
    <t>3,65%</t>
  </si>
  <si>
    <t>17,72%</t>
  </si>
  <si>
    <t>6,67%</t>
  </si>
  <si>
    <t>TOTAL(A+B+C+D)</t>
  </si>
  <si>
    <t>91,23%</t>
  </si>
  <si>
    <t>52,09%</t>
  </si>
  <si>
    <t>113,84%</t>
  </si>
  <si>
    <t>70,11%</t>
  </si>
  <si>
    <t>QUADRO DE COMPOSIÇÃO DO INVESTIMENTO - QCI</t>
  </si>
  <si>
    <t>DISCRIMINAÇÃO</t>
  </si>
  <si>
    <t>TOTAL (R$)
CONTRAPARTIDA</t>
  </si>
  <si>
    <t>TOTAL (R$)
ETAPA</t>
  </si>
  <si>
    <t>TOTAIS:</t>
  </si>
  <si>
    <t xml:space="preserve">ADEPE / REPASSE </t>
  </si>
  <si>
    <t>TOTAL (R$)
ADEPE</t>
  </si>
  <si>
    <t>7.8</t>
  </si>
  <si>
    <t>12.4</t>
  </si>
  <si>
    <t>FONTES DE PREÇOS: SINAPI-PE FEVEREIRO - 2025 / ORSE JANEIRO - 2025 / SEINFRA-CE 028  / SBC - PE / COMPOSIÇÕES / SEM DESONERAÇÃO / BDI = 20,50% / BDI = 11,10%</t>
  </si>
  <si>
    <t>NÃO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</si>
</sst>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 * #,##0.00_ ;_ * \-#,##0.00_ ;_ * &quot;-&quot;??_ ;_ @_ "/>
    <numFmt numFmtId="167" formatCode="0.000"/>
    <numFmt numFmtId="168" formatCode="_(* #,##0.00_);_(* \(#,##0.00\);_(* \-??_);_(@_)"/>
    <numFmt numFmtId="169" formatCode="0000"/>
    <numFmt numFmtId="170" formatCode="&quot;R$&quot;\ #,##0.00"/>
    <numFmt numFmtId="171" formatCode="0.0000"/>
    <numFmt numFmtId="172" formatCode="_ &quot;R$&quot;\ * #,##0.00_ ;_ &quot;R$&quot;\ * \-#,##0.00_ ;_ &quot;R$&quot;\ * &quot;-&quot;??_ ;_ @_ "/>
  </numFmts>
  <fonts count="8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sz val="10"/>
      <color rgb="FFFF0000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2"/>
      <name val="Calibri"/>
      <family val="2"/>
      <scheme val="minor"/>
    </font>
    <font>
      <b/>
      <i/>
      <sz val="9"/>
      <name val="Calibri"/>
      <family val="2"/>
      <scheme val="minor"/>
    </font>
    <font>
      <i/>
      <sz val="9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5"/>
      <name val="Calibri"/>
      <family val="2"/>
      <scheme val="minor"/>
    </font>
    <font>
      <sz val="5"/>
      <name val="Calibri"/>
      <family val="2"/>
      <scheme val="minor"/>
    </font>
    <font>
      <sz val="5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i/>
      <sz val="1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C0000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sz val="5"/>
      <color rgb="FFC00000"/>
      <name val="Calibri"/>
      <family val="2"/>
      <scheme val="minor"/>
    </font>
    <font>
      <sz val="8"/>
      <color rgb="FFC00000"/>
      <name val="Calibri"/>
      <family val="2"/>
      <scheme val="minor"/>
    </font>
    <font>
      <sz val="10"/>
      <color rgb="FF000000"/>
      <name val="Arial"/>
      <family val="2"/>
    </font>
    <font>
      <b/>
      <sz val="8"/>
      <color theme="1"/>
      <name val="Calibri"/>
      <family val="2"/>
      <scheme val="minor"/>
    </font>
    <font>
      <sz val="10"/>
      <color rgb="FFFF0000"/>
      <name val="Century Gothic"/>
      <family val="2"/>
    </font>
    <font>
      <sz val="10"/>
      <name val="Century Gothic"/>
      <family val="2"/>
    </font>
    <font>
      <sz val="8"/>
      <color rgb="FFFF0000"/>
      <name val="Calibri"/>
      <family val="2"/>
      <scheme val="minor"/>
    </font>
    <font>
      <sz val="8"/>
      <name val="Century Gothic"/>
      <family val="2"/>
    </font>
    <font>
      <sz val="5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b/>
      <sz val="10"/>
      <name val="Century Gothic"/>
      <family val="2"/>
    </font>
    <font>
      <b/>
      <sz val="8"/>
      <name val="Century Gothic"/>
      <family val="2"/>
    </font>
    <font>
      <b/>
      <sz val="11"/>
      <color rgb="FFFF0000"/>
      <name val="Calibri"/>
      <family val="2"/>
      <scheme val="minor"/>
    </font>
    <font>
      <sz val="5"/>
      <color rgb="FFFF0000"/>
      <name val="Calibri"/>
      <family val="2"/>
      <scheme val="minor"/>
    </font>
    <font>
      <sz val="10"/>
      <color theme="1"/>
      <name val="Calibri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i/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FF0000"/>
      <name val="Century Gothic"/>
      <family val="2"/>
    </font>
    <font>
      <b/>
      <sz val="12"/>
      <color rgb="FFFF0000"/>
      <name val="Century Gothic"/>
      <family val="2"/>
    </font>
    <font>
      <sz val="5"/>
      <color rgb="FFFF0000"/>
      <name val="Century Gothic"/>
      <family val="2"/>
    </font>
    <font>
      <b/>
      <sz val="8"/>
      <color rgb="FFFF0000"/>
      <name val="Century Gothic"/>
      <family val="2"/>
    </font>
    <font>
      <b/>
      <sz val="11"/>
      <color rgb="FFFF0000"/>
      <name val="Century Gothic"/>
      <family val="2"/>
    </font>
    <font>
      <sz val="9"/>
      <color rgb="FFFF0000"/>
      <name val="Century Gothic"/>
      <family val="2"/>
    </font>
    <font>
      <b/>
      <sz val="9"/>
      <color rgb="FFFF0000"/>
      <name val="Century Gothic"/>
      <family val="2"/>
    </font>
    <font>
      <b/>
      <sz val="10"/>
      <color rgb="FFFF0000"/>
      <name val="Century Gothic"/>
      <family val="2"/>
    </font>
    <font>
      <sz val="9"/>
      <color rgb="FFFF0000"/>
      <name val="Calibri"/>
      <family val="2"/>
      <scheme val="minor"/>
    </font>
    <font>
      <b/>
      <sz val="9.5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1"/>
      <color rgb="FF000000"/>
      <name val="Calibri"/>
      <family val="2"/>
      <charset val="204"/>
    </font>
    <font>
      <sz val="12"/>
      <color rgb="FFFF0000"/>
      <name val="Calibri"/>
      <family val="2"/>
      <scheme val="minor"/>
    </font>
    <font>
      <b/>
      <sz val="10"/>
      <color rgb="FFFFFFFF"/>
      <name val="Calibri"/>
      <family val="2"/>
    </font>
    <font>
      <b/>
      <sz val="10"/>
      <color rgb="FFFFFFFF"/>
      <name val="Times New Roman"/>
      <family val="1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0"/>
      <name val="Times New Roman"/>
      <family val="1"/>
    </font>
    <font>
      <b/>
      <u/>
      <sz val="14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538CD3"/>
      </patternFill>
    </fill>
    <fill>
      <patternFill patternType="solid">
        <fgColor rgb="FF7F7F7F"/>
      </patternFill>
    </fill>
    <fill>
      <patternFill patternType="solid">
        <fgColor rgb="FFB8CCE4"/>
      </patternFill>
    </fill>
    <fill>
      <patternFill patternType="solid">
        <fgColor rgb="FFECF57D"/>
        <bgColor indexed="64"/>
      </patternFill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57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2" fillId="0" borderId="0" applyFill="0" applyBorder="0" applyAlignment="0" applyProtection="0"/>
    <xf numFmtId="164" fontId="2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2" fillId="0" borderId="0"/>
    <xf numFmtId="0" fontId="5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ill="0" applyBorder="0" applyAlignment="0" applyProtection="0"/>
    <xf numFmtId="165" fontId="2" fillId="0" borderId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2" fillId="0" borderId="0" applyFill="0" applyBorder="0" applyAlignment="0" applyProtection="0"/>
    <xf numFmtId="165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9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1" fillId="0" borderId="0"/>
    <xf numFmtId="168" fontId="2" fillId="0" borderId="0" applyFill="0" applyBorder="0" applyAlignment="0" applyProtection="0"/>
    <xf numFmtId="0" fontId="1" fillId="0" borderId="0"/>
    <xf numFmtId="165" fontId="2" fillId="0" borderId="0" applyFill="0" applyBorder="0" applyAlignment="0" applyProtection="0"/>
    <xf numFmtId="0" fontId="50" fillId="0" borderId="0"/>
    <xf numFmtId="165" fontId="2" fillId="0" borderId="0" applyFont="0" applyFill="0" applyBorder="0" applyAlignment="0" applyProtection="0"/>
    <xf numFmtId="0" fontId="65" fillId="0" borderId="0"/>
    <xf numFmtId="43" fontId="65" fillId="0" borderId="0" applyFont="0" applyFill="0" applyBorder="0" applyAlignment="0" applyProtection="0"/>
    <xf numFmtId="0" fontId="67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79" fillId="0" borderId="0"/>
    <xf numFmtId="172" fontId="1" fillId="0" borderId="0" applyFont="0" applyFill="0" applyBorder="0" applyAlignment="0" applyProtection="0"/>
  </cellStyleXfs>
  <cellXfs count="693">
    <xf numFmtId="0" fontId="0" fillId="0" borderId="0" xfId="0"/>
    <xf numFmtId="0" fontId="11" fillId="0" borderId="0" xfId="0" applyFont="1"/>
    <xf numFmtId="169" fontId="21" fillId="9" borderId="1" xfId="9" applyNumberFormat="1" applyFont="1" applyFill="1" applyBorder="1" applyAlignment="1">
      <alignment horizontal="justify" vertical="distributed" wrapText="1"/>
    </xf>
    <xf numFmtId="165" fontId="22" fillId="9" borderId="1" xfId="9" applyFont="1" applyFill="1" applyBorder="1" applyAlignment="1">
      <alignment horizontal="justify" vertical="distributed" wrapText="1"/>
    </xf>
    <xf numFmtId="165" fontId="22" fillId="9" borderId="4" xfId="9" applyFont="1" applyFill="1" applyBorder="1" applyAlignment="1">
      <alignment horizontal="justify" vertical="distributed" wrapText="1"/>
    </xf>
    <xf numFmtId="165" fontId="22" fillId="9" borderId="20" xfId="9" applyFont="1" applyFill="1" applyBorder="1" applyAlignment="1">
      <alignment vertical="distributed" wrapText="1"/>
    </xf>
    <xf numFmtId="0" fontId="21" fillId="0" borderId="0" xfId="0" applyFont="1"/>
    <xf numFmtId="169" fontId="20" fillId="2" borderId="1" xfId="9" applyNumberFormat="1" applyFont="1" applyFill="1" applyBorder="1" applyAlignment="1">
      <alignment horizontal="center" vertical="center" wrapText="1"/>
    </xf>
    <xf numFmtId="165" fontId="20" fillId="2" borderId="1" xfId="9" applyFont="1" applyFill="1" applyBorder="1" applyAlignment="1">
      <alignment horizontal="center" vertical="center" wrapText="1"/>
    </xf>
    <xf numFmtId="165" fontId="20" fillId="2" borderId="4" xfId="9" applyFont="1" applyFill="1" applyBorder="1" applyAlignment="1">
      <alignment horizontal="center" vertical="center" wrapText="1"/>
    </xf>
    <xf numFmtId="165" fontId="20" fillId="13" borderId="20" xfId="9" applyFont="1" applyFill="1" applyBorder="1" applyAlignment="1">
      <alignment horizontal="center" vertical="center" wrapText="1"/>
    </xf>
    <xf numFmtId="165" fontId="20" fillId="2" borderId="5" xfId="9" applyFont="1" applyFill="1" applyBorder="1" applyAlignment="1">
      <alignment horizontal="center" vertical="center" wrapText="1"/>
    </xf>
    <xf numFmtId="165" fontId="20" fillId="3" borderId="33" xfId="9" applyFont="1" applyFill="1" applyBorder="1" applyAlignment="1">
      <alignment horizontal="center" vertical="center" wrapText="1"/>
    </xf>
    <xf numFmtId="165" fontId="20" fillId="2" borderId="33" xfId="9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49" fontId="11" fillId="9" borderId="1" xfId="9" quotePrefix="1" applyNumberFormat="1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justify" vertical="center" wrapText="1"/>
    </xf>
    <xf numFmtId="0" fontId="11" fillId="0" borderId="4" xfId="0" applyFont="1" applyBorder="1" applyAlignment="1">
      <alignment horizontal="center" vertical="distributed"/>
    </xf>
    <xf numFmtId="2" fontId="11" fillId="6" borderId="20" xfId="9" applyNumberFormat="1" applyFont="1" applyFill="1" applyBorder="1" applyAlignment="1">
      <alignment horizontal="center" vertical="distributed" wrapText="1"/>
    </xf>
    <xf numFmtId="165" fontId="15" fillId="11" borderId="6" xfId="9" applyFont="1" applyFill="1" applyBorder="1" applyAlignment="1">
      <alignment horizontal="center" vertical="distributed" wrapText="1"/>
    </xf>
    <xf numFmtId="165" fontId="15" fillId="3" borderId="6" xfId="9" applyFont="1" applyFill="1" applyBorder="1" applyAlignment="1">
      <alignment horizontal="center" vertical="distributed" wrapText="1"/>
    </xf>
    <xf numFmtId="165" fontId="15" fillId="12" borderId="6" xfId="9" applyFont="1" applyFill="1" applyBorder="1" applyAlignment="1">
      <alignment horizontal="center" vertical="distributed" wrapText="1"/>
    </xf>
    <xf numFmtId="171" fontId="11" fillId="14" borderId="20" xfId="46" applyNumberFormat="1" applyFont="1" applyFill="1" applyBorder="1" applyAlignment="1">
      <alignment horizontal="center" vertical="distributed" wrapText="1"/>
    </xf>
    <xf numFmtId="2" fontId="11" fillId="12" borderId="20" xfId="9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4" fontId="15" fillId="13" borderId="6" xfId="2" applyNumberFormat="1" applyFont="1" applyFill="1" applyBorder="1" applyAlignment="1">
      <alignment horizontal="center" vertical="center"/>
    </xf>
    <xf numFmtId="4" fontId="15" fillId="2" borderId="6" xfId="2" applyNumberFormat="1" applyFont="1" applyFill="1" applyBorder="1" applyAlignment="1">
      <alignment horizontal="center" vertical="center"/>
    </xf>
    <xf numFmtId="4" fontId="15" fillId="2" borderId="1" xfId="2" applyNumberFormat="1" applyFont="1" applyFill="1" applyBorder="1" applyAlignment="1">
      <alignment horizontal="center" vertical="center"/>
    </xf>
    <xf numFmtId="0" fontId="15" fillId="9" borderId="1" xfId="2" applyFont="1" applyFill="1" applyBorder="1" applyAlignment="1">
      <alignment horizontal="center" vertical="center"/>
    </xf>
    <xf numFmtId="4" fontId="12" fillId="9" borderId="1" xfId="2" applyNumberFormat="1" applyFont="1" applyFill="1" applyBorder="1" applyAlignment="1">
      <alignment horizontal="center" vertical="center"/>
    </xf>
    <xf numFmtId="4" fontId="15" fillId="9" borderId="1" xfId="2" applyNumberFormat="1" applyFont="1" applyFill="1" applyBorder="1" applyAlignment="1">
      <alignment horizontal="center" vertical="center"/>
    </xf>
    <xf numFmtId="0" fontId="12" fillId="9" borderId="0" xfId="0" applyFont="1" applyFill="1" applyAlignment="1">
      <alignment vertical="center"/>
    </xf>
    <xf numFmtId="0" fontId="12" fillId="9" borderId="1" xfId="2" applyFont="1" applyFill="1" applyBorder="1" applyAlignment="1">
      <alignment horizontal="right" vertical="center"/>
    </xf>
    <xf numFmtId="4" fontId="12" fillId="0" borderId="1" xfId="2" applyNumberFormat="1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/>
    </xf>
    <xf numFmtId="0" fontId="15" fillId="0" borderId="1" xfId="2" applyFont="1" applyBorder="1" applyAlignment="1">
      <alignment horizontal="right" vertical="center"/>
    </xf>
    <xf numFmtId="4" fontId="15" fillId="0" borderId="1" xfId="2" applyNumberFormat="1" applyFont="1" applyBorder="1" applyAlignment="1">
      <alignment horizontal="center" vertical="center"/>
    </xf>
    <xf numFmtId="4" fontId="12" fillId="0" borderId="0" xfId="2" applyNumberFormat="1" applyFont="1" applyAlignment="1">
      <alignment horizontal="center" vertical="center"/>
    </xf>
    <xf numFmtId="0" fontId="15" fillId="0" borderId="0" xfId="2" applyFont="1" applyAlignment="1">
      <alignment horizontal="left" vertical="center"/>
    </xf>
    <xf numFmtId="10" fontId="15" fillId="11" borderId="9" xfId="2" applyNumberFormat="1" applyFont="1" applyFill="1" applyBorder="1" applyAlignment="1">
      <alignment horizontal="center" vertical="center"/>
    </xf>
    <xf numFmtId="10" fontId="15" fillId="12" borderId="9" xfId="2" applyNumberFormat="1" applyFont="1" applyFill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4" fontId="15" fillId="11" borderId="6" xfId="2" applyNumberFormat="1" applyFont="1" applyFill="1" applyBorder="1" applyAlignment="1">
      <alignment horizontal="center" vertical="center" wrapText="1"/>
    </xf>
    <xf numFmtId="4" fontId="15" fillId="12" borderId="6" xfId="2" applyNumberFormat="1" applyFont="1" applyFill="1" applyBorder="1" applyAlignment="1">
      <alignment horizontal="center" vertical="center" wrapText="1"/>
    </xf>
    <xf numFmtId="0" fontId="15" fillId="10" borderId="0" xfId="0" applyFont="1" applyFill="1" applyAlignment="1">
      <alignment horizontal="center" vertical="center"/>
    </xf>
    <xf numFmtId="4" fontId="15" fillId="10" borderId="1" xfId="2" applyNumberFormat="1" applyFont="1" applyFill="1" applyBorder="1" applyAlignment="1">
      <alignment horizontal="center" vertical="center"/>
    </xf>
    <xf numFmtId="0" fontId="12" fillId="10" borderId="0" xfId="0" applyFont="1" applyFill="1" applyAlignment="1">
      <alignment horizontal="right" vertical="center"/>
    </xf>
    <xf numFmtId="0" fontId="15" fillId="8" borderId="0" xfId="0" applyFont="1" applyFill="1" applyAlignment="1">
      <alignment vertical="center"/>
    </xf>
    <xf numFmtId="4" fontId="15" fillId="8" borderId="1" xfId="2" applyNumberFormat="1" applyFont="1" applyFill="1" applyBorder="1" applyAlignment="1">
      <alignment horizontal="center" vertical="center"/>
    </xf>
    <xf numFmtId="4" fontId="12" fillId="0" borderId="0" xfId="0" applyNumberFormat="1" applyFont="1" applyAlignment="1">
      <alignment vertical="center"/>
    </xf>
    <xf numFmtId="4" fontId="15" fillId="0" borderId="0" xfId="2" applyNumberFormat="1" applyFont="1" applyAlignment="1">
      <alignment horizontal="center" vertical="center"/>
    </xf>
    <xf numFmtId="0" fontId="15" fillId="0" borderId="0" xfId="2" applyFont="1" applyAlignment="1">
      <alignment vertical="center"/>
    </xf>
    <xf numFmtId="49" fontId="15" fillId="0" borderId="0" xfId="2" applyNumberFormat="1" applyFont="1" applyAlignment="1">
      <alignment vertical="center"/>
    </xf>
    <xf numFmtId="0" fontId="12" fillId="0" borderId="0" xfId="0" applyFont="1"/>
    <xf numFmtId="0" fontId="20" fillId="0" borderId="0" xfId="0" applyFont="1" applyAlignment="1">
      <alignment horizontal="center"/>
    </xf>
    <xf numFmtId="0" fontId="20" fillId="2" borderId="0" xfId="0" applyFont="1" applyFill="1" applyAlignment="1">
      <alignment horizontal="center"/>
    </xf>
    <xf numFmtId="169" fontId="21" fillId="9" borderId="40" xfId="9" applyNumberFormat="1" applyFont="1" applyFill="1" applyBorder="1" applyAlignment="1">
      <alignment horizontal="justify" vertical="distributed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7" fillId="0" borderId="0" xfId="0" applyFont="1"/>
    <xf numFmtId="0" fontId="29" fillId="0" borderId="0" xfId="0" applyFont="1" applyAlignment="1">
      <alignment horizontal="center"/>
    </xf>
    <xf numFmtId="0" fontId="31" fillId="0" borderId="0" xfId="0" applyFont="1" applyAlignment="1">
      <alignment horizontal="center" wrapText="1"/>
    </xf>
    <xf numFmtId="0" fontId="32" fillId="0" borderId="0" xfId="0" applyFont="1"/>
    <xf numFmtId="0" fontId="32" fillId="0" borderId="0" xfId="0" applyFont="1" applyAlignment="1">
      <alignment horizontal="center"/>
    </xf>
    <xf numFmtId="0" fontId="27" fillId="6" borderId="6" xfId="0" applyFont="1" applyFill="1" applyBorder="1"/>
    <xf numFmtId="0" fontId="27" fillId="6" borderId="6" xfId="0" applyFont="1" applyFill="1" applyBorder="1" applyAlignment="1">
      <alignment horizontal="center"/>
    </xf>
    <xf numFmtId="0" fontId="32" fillId="0" borderId="6" xfId="0" applyFont="1" applyBorder="1" applyAlignment="1">
      <alignment horizontal="left"/>
    </xf>
    <xf numFmtId="0" fontId="27" fillId="0" borderId="7" xfId="0" applyFont="1" applyBorder="1"/>
    <xf numFmtId="0" fontId="27" fillId="0" borderId="7" xfId="0" applyFont="1" applyBorder="1" applyAlignment="1">
      <alignment horizontal="center"/>
    </xf>
    <xf numFmtId="0" fontId="27" fillId="0" borderId="6" xfId="0" applyFont="1" applyBorder="1"/>
    <xf numFmtId="0" fontId="27" fillId="0" borderId="6" xfId="0" applyFont="1" applyBorder="1" applyAlignment="1">
      <alignment horizontal="center"/>
    </xf>
    <xf numFmtId="0" fontId="8" fillId="0" borderId="6" xfId="0" applyFont="1" applyBorder="1"/>
    <xf numFmtId="10" fontId="16" fillId="0" borderId="6" xfId="1" applyNumberFormat="1" applyFont="1" applyBorder="1" applyAlignment="1">
      <alignment horizontal="center"/>
    </xf>
    <xf numFmtId="167" fontId="33" fillId="0" borderId="0" xfId="0" applyNumberFormat="1" applyFont="1" applyAlignment="1">
      <alignment horizontal="left"/>
    </xf>
    <xf numFmtId="0" fontId="27" fillId="6" borderId="8" xfId="0" applyFont="1" applyFill="1" applyBorder="1"/>
    <xf numFmtId="0" fontId="0" fillId="6" borderId="9" xfId="0" applyFill="1" applyBorder="1" applyAlignment="1">
      <alignment horizontal="center"/>
    </xf>
    <xf numFmtId="0" fontId="34" fillId="0" borderId="0" xfId="0" applyFont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7" fillId="0" borderId="0" xfId="0" applyFont="1"/>
    <xf numFmtId="0" fontId="9" fillId="0" borderId="6" xfId="0" applyFont="1" applyBorder="1" applyAlignment="1">
      <alignment wrapText="1"/>
    </xf>
    <xf numFmtId="49" fontId="15" fillId="0" borderId="0" xfId="2" applyNumberFormat="1" applyFont="1" applyAlignment="1">
      <alignment horizontal="left" vertical="center"/>
    </xf>
    <xf numFmtId="165" fontId="20" fillId="4" borderId="33" xfId="9" applyFont="1" applyFill="1" applyBorder="1" applyAlignment="1">
      <alignment horizontal="center" vertical="center" wrapText="1"/>
    </xf>
    <xf numFmtId="165" fontId="15" fillId="4" borderId="6" xfId="9" applyFont="1" applyFill="1" applyBorder="1" applyAlignment="1">
      <alignment horizontal="center" vertical="distributed" wrapText="1"/>
    </xf>
    <xf numFmtId="2" fontId="11" fillId="11" borderId="20" xfId="9" applyNumberFormat="1" applyFont="1" applyFill="1" applyBorder="1" applyAlignment="1" applyProtection="1">
      <alignment horizontal="center" vertical="center"/>
      <protection locked="0"/>
    </xf>
    <xf numFmtId="0" fontId="22" fillId="0" borderId="1" xfId="2" applyFont="1" applyBorder="1" applyAlignment="1">
      <alignment horizontal="center" vertical="center"/>
    </xf>
    <xf numFmtId="0" fontId="22" fillId="0" borderId="1" xfId="2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169" fontId="20" fillId="2" borderId="40" xfId="9" applyNumberFormat="1" applyFont="1" applyFill="1" applyBorder="1" applyAlignment="1">
      <alignment horizontal="center" vertical="center" wrapText="1"/>
    </xf>
    <xf numFmtId="49" fontId="11" fillId="9" borderId="40" xfId="9" applyNumberFormat="1" applyFont="1" applyFill="1" applyBorder="1" applyAlignment="1">
      <alignment horizontal="center" vertical="center" wrapText="1"/>
    </xf>
    <xf numFmtId="0" fontId="11" fillId="0" borderId="29" xfId="0" applyFont="1" applyBorder="1"/>
    <xf numFmtId="0" fontId="11" fillId="0" borderId="30" xfId="0" applyFont="1" applyBorder="1"/>
    <xf numFmtId="0" fontId="11" fillId="0" borderId="43" xfId="0" applyFont="1" applyBorder="1"/>
    <xf numFmtId="0" fontId="40" fillId="0" borderId="0" xfId="0" applyFont="1"/>
    <xf numFmtId="44" fontId="40" fillId="0" borderId="0" xfId="15" applyFont="1" applyBorder="1"/>
    <xf numFmtId="0" fontId="40" fillId="0" borderId="44" xfId="0" applyFont="1" applyBorder="1"/>
    <xf numFmtId="0" fontId="40" fillId="0" borderId="44" xfId="0" applyFont="1" applyBorder="1" applyAlignment="1">
      <alignment horizontal="center" vertical="center"/>
    </xf>
    <xf numFmtId="44" fontId="40" fillId="0" borderId="44" xfId="15" applyFont="1" applyBorder="1"/>
    <xf numFmtId="0" fontId="1" fillId="0" borderId="0" xfId="38"/>
    <xf numFmtId="0" fontId="16" fillId="0" borderId="0" xfId="2" applyFont="1" applyAlignment="1">
      <alignment horizontal="center" vertical="center"/>
    </xf>
    <xf numFmtId="0" fontId="16" fillId="0" borderId="0" xfId="2" applyFont="1" applyAlignment="1">
      <alignment horizontal="center"/>
    </xf>
    <xf numFmtId="0" fontId="16" fillId="0" borderId="0" xfId="2" applyFont="1" applyAlignment="1">
      <alignment wrapText="1"/>
    </xf>
    <xf numFmtId="0" fontId="16" fillId="0" borderId="0" xfId="2" applyFont="1" applyAlignment="1">
      <alignment horizontal="left"/>
    </xf>
    <xf numFmtId="0" fontId="35" fillId="0" borderId="0" xfId="0" applyFont="1"/>
    <xf numFmtId="4" fontId="16" fillId="0" borderId="0" xfId="2" applyNumberFormat="1" applyFont="1" applyAlignment="1">
      <alignment horizontal="center"/>
    </xf>
    <xf numFmtId="0" fontId="16" fillId="0" borderId="0" xfId="2" applyFont="1" applyAlignment="1">
      <alignment horizontal="left" vertical="top"/>
    </xf>
    <xf numFmtId="0" fontId="16" fillId="0" borderId="0" xfId="2" applyFont="1" applyAlignment="1">
      <alignment horizontal="left" vertical="center"/>
    </xf>
    <xf numFmtId="4" fontId="35" fillId="0" borderId="0" xfId="2" applyNumberFormat="1" applyFont="1" applyAlignment="1">
      <alignment horizontal="center"/>
    </xf>
    <xf numFmtId="0" fontId="16" fillId="0" borderId="18" xfId="2" applyFont="1" applyBorder="1" applyAlignment="1">
      <alignment horizontal="center" vertical="center" wrapText="1"/>
    </xf>
    <xf numFmtId="0" fontId="1" fillId="7" borderId="0" xfId="38" applyFill="1" applyAlignment="1">
      <alignment vertical="center" wrapText="1"/>
    </xf>
    <xf numFmtId="0" fontId="16" fillId="0" borderId="5" xfId="2" applyFont="1" applyBorder="1" applyAlignment="1">
      <alignment horizontal="center" vertical="center"/>
    </xf>
    <xf numFmtId="4" fontId="16" fillId="0" borderId="19" xfId="2" applyNumberFormat="1" applyFont="1" applyBorder="1" applyAlignment="1">
      <alignment horizontal="center"/>
    </xf>
    <xf numFmtId="0" fontId="27" fillId="0" borderId="0" xfId="38" applyFont="1" applyAlignment="1">
      <alignment horizontal="center"/>
    </xf>
    <xf numFmtId="0" fontId="1" fillId="2" borderId="0" xfId="38" applyFill="1" applyAlignment="1">
      <alignment horizontal="center" vertical="center"/>
    </xf>
    <xf numFmtId="0" fontId="16" fillId="0" borderId="19" xfId="2" applyFont="1" applyBorder="1" applyAlignment="1">
      <alignment horizontal="left" vertical="center"/>
    </xf>
    <xf numFmtId="44" fontId="16" fillId="0" borderId="19" xfId="15" applyFont="1" applyFill="1" applyBorder="1" applyAlignment="1">
      <alignment horizontal="center"/>
    </xf>
    <xf numFmtId="10" fontId="16" fillId="0" borderId="19" xfId="1" applyNumberFormat="1" applyFont="1" applyFill="1" applyBorder="1" applyAlignment="1">
      <alignment horizontal="center"/>
    </xf>
    <xf numFmtId="0" fontId="35" fillId="0" borderId="2" xfId="2" applyFont="1" applyBorder="1" applyAlignment="1">
      <alignment horizontal="center" vertical="center"/>
    </xf>
    <xf numFmtId="4" fontId="35" fillId="0" borderId="2" xfId="2" applyNumberFormat="1" applyFont="1" applyBorder="1" applyAlignment="1">
      <alignment horizontal="center"/>
    </xf>
    <xf numFmtId="0" fontId="1" fillId="0" borderId="0" xfId="38" applyAlignment="1">
      <alignment horizontal="center"/>
    </xf>
    <xf numFmtId="0" fontId="35" fillId="0" borderId="0" xfId="38" applyFont="1" applyAlignment="1">
      <alignment vertical="center"/>
    </xf>
    <xf numFmtId="0" fontId="16" fillId="0" borderId="0" xfId="38" applyFont="1" applyAlignment="1">
      <alignment vertical="center"/>
    </xf>
    <xf numFmtId="0" fontId="16" fillId="0" borderId="0" xfId="2" applyFont="1"/>
    <xf numFmtId="0" fontId="16" fillId="15" borderId="1" xfId="2" applyFont="1" applyFill="1" applyBorder="1" applyAlignment="1">
      <alignment horizontal="center" vertical="center" wrapText="1"/>
    </xf>
    <xf numFmtId="10" fontId="16" fillId="12" borderId="1" xfId="1" applyNumberFormat="1" applyFont="1" applyFill="1" applyBorder="1" applyAlignment="1">
      <alignment horizontal="center" vertical="center"/>
    </xf>
    <xf numFmtId="0" fontId="16" fillId="16" borderId="1" xfId="2" applyFont="1" applyFill="1" applyBorder="1" applyAlignment="1">
      <alignment horizontal="center" vertical="center" wrapText="1"/>
    </xf>
    <xf numFmtId="4" fontId="16" fillId="2" borderId="1" xfId="2" applyNumberFormat="1" applyFont="1" applyFill="1" applyBorder="1" applyAlignment="1">
      <alignment horizontal="center" vertical="center" wrapText="1"/>
    </xf>
    <xf numFmtId="0" fontId="44" fillId="0" borderId="0" xfId="38" applyFont="1" applyAlignment="1">
      <alignment horizontal="center"/>
    </xf>
    <xf numFmtId="0" fontId="45" fillId="0" borderId="0" xfId="38" applyFont="1" applyAlignment="1">
      <alignment horizontal="right"/>
    </xf>
    <xf numFmtId="4" fontId="16" fillId="6" borderId="1" xfId="2" applyNumberFormat="1" applyFont="1" applyFill="1" applyBorder="1" applyAlignment="1">
      <alignment horizontal="center" vertical="center" wrapText="1"/>
    </xf>
    <xf numFmtId="0" fontId="32" fillId="0" borderId="0" xfId="38" applyFont="1" applyAlignment="1">
      <alignment vertical="center"/>
    </xf>
    <xf numFmtId="170" fontId="16" fillId="4" borderId="1" xfId="15" applyNumberFormat="1" applyFont="1" applyFill="1" applyBorder="1" applyAlignment="1">
      <alignment horizontal="center" vertical="center"/>
    </xf>
    <xf numFmtId="170" fontId="16" fillId="3" borderId="1" xfId="15" applyNumberFormat="1" applyFont="1" applyFill="1" applyBorder="1" applyAlignment="1">
      <alignment horizontal="center" vertical="center"/>
    </xf>
    <xf numFmtId="43" fontId="22" fillId="3" borderId="1" xfId="2" applyNumberFormat="1" applyFont="1" applyFill="1" applyBorder="1" applyAlignment="1">
      <alignment horizontal="center" vertical="center"/>
    </xf>
    <xf numFmtId="10" fontId="22" fillId="3" borderId="1" xfId="1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2" borderId="0" xfId="0" applyFont="1" applyFill="1" applyAlignment="1">
      <alignment horizontal="center"/>
    </xf>
    <xf numFmtId="170" fontId="12" fillId="0" borderId="0" xfId="0" applyNumberFormat="1" applyFont="1"/>
    <xf numFmtId="0" fontId="12" fillId="0" borderId="44" xfId="0" applyFont="1" applyBorder="1"/>
    <xf numFmtId="0" fontId="15" fillId="0" borderId="1" xfId="2" applyFont="1" applyBorder="1" applyAlignment="1">
      <alignment horizontal="left" vertical="center"/>
    </xf>
    <xf numFmtId="4" fontId="12" fillId="0" borderId="0" xfId="0" applyNumberFormat="1" applyFont="1" applyAlignment="1">
      <alignment horizontal="center" vertical="center"/>
    </xf>
    <xf numFmtId="4" fontId="12" fillId="11" borderId="4" xfId="2" applyNumberFormat="1" applyFont="1" applyFill="1" applyBorder="1" applyAlignment="1">
      <alignment vertical="center"/>
    </xf>
    <xf numFmtId="4" fontId="12" fillId="11" borderId="3" xfId="2" applyNumberFormat="1" applyFont="1" applyFill="1" applyBorder="1" applyAlignment="1">
      <alignment vertical="center"/>
    </xf>
    <xf numFmtId="0" fontId="22" fillId="15" borderId="1" xfId="2" applyFont="1" applyFill="1" applyBorder="1" applyAlignment="1">
      <alignment horizontal="left" vertical="center"/>
    </xf>
    <xf numFmtId="0" fontId="21" fillId="0" borderId="1" xfId="0" applyFont="1" applyBorder="1" applyAlignment="1">
      <alignment horizontal="left" vertical="center" wrapText="1"/>
    </xf>
    <xf numFmtId="0" fontId="46" fillId="0" borderId="0" xfId="0" applyFont="1" applyAlignment="1">
      <alignment vertic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vertical="center"/>
    </xf>
    <xf numFmtId="4" fontId="46" fillId="0" borderId="0" xfId="0" applyNumberFormat="1" applyFont="1" applyAlignment="1">
      <alignment vertical="center"/>
    </xf>
    <xf numFmtId="0" fontId="47" fillId="0" borderId="0" xfId="2" applyFont="1" applyAlignment="1">
      <alignment horizontal="center" vertical="center"/>
    </xf>
    <xf numFmtId="4" fontId="47" fillId="0" borderId="0" xfId="2" applyNumberFormat="1" applyFont="1" applyAlignment="1">
      <alignment horizontal="center" vertical="center"/>
    </xf>
    <xf numFmtId="0" fontId="47" fillId="0" borderId="0" xfId="2" applyFont="1" applyAlignment="1">
      <alignment vertical="center"/>
    </xf>
    <xf numFmtId="0" fontId="47" fillId="0" borderId="0" xfId="2" applyFont="1" applyAlignment="1">
      <alignment horizontal="left" vertical="center"/>
    </xf>
    <xf numFmtId="4" fontId="46" fillId="0" borderId="0" xfId="0" applyNumberFormat="1" applyFont="1" applyAlignment="1">
      <alignment horizontal="center" vertical="center"/>
    </xf>
    <xf numFmtId="0" fontId="15" fillId="10" borderId="0" xfId="0" applyFont="1" applyFill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46" fillId="0" borderId="0" xfId="0" applyFont="1"/>
    <xf numFmtId="0" fontId="49" fillId="0" borderId="0" xfId="0" applyFont="1"/>
    <xf numFmtId="0" fontId="48" fillId="0" borderId="0" xfId="0" applyFont="1"/>
    <xf numFmtId="165" fontId="46" fillId="0" borderId="0" xfId="0" applyNumberFormat="1" applyFont="1"/>
    <xf numFmtId="0" fontId="15" fillId="0" borderId="0" xfId="2" applyFont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39" fillId="0" borderId="0" xfId="2" applyFont="1" applyAlignment="1">
      <alignment horizontal="center" vertical="center"/>
    </xf>
    <xf numFmtId="0" fontId="22" fillId="0" borderId="0" xfId="2" applyFont="1" applyAlignment="1">
      <alignment vertical="center"/>
    </xf>
    <xf numFmtId="0" fontId="40" fillId="0" borderId="0" xfId="2" applyFont="1" applyAlignment="1">
      <alignment horizontal="center" vertical="center"/>
    </xf>
    <xf numFmtId="4" fontId="22" fillId="0" borderId="1" xfId="2" applyNumberFormat="1" applyFont="1" applyBorder="1" applyAlignment="1">
      <alignment horizontal="center" vertical="center"/>
    </xf>
    <xf numFmtId="4" fontId="22" fillId="15" borderId="1" xfId="2" applyNumberFormat="1" applyFont="1" applyFill="1" applyBorder="1" applyAlignment="1">
      <alignment horizontal="center" vertical="center"/>
    </xf>
    <xf numFmtId="10" fontId="24" fillId="12" borderId="1" xfId="1" applyNumberFormat="1" applyFont="1" applyFill="1" applyBorder="1" applyAlignment="1">
      <alignment horizontal="center" vertical="center"/>
    </xf>
    <xf numFmtId="10" fontId="24" fillId="3" borderId="1" xfId="1" applyNumberFormat="1" applyFont="1" applyFill="1" applyBorder="1" applyAlignment="1">
      <alignment horizontal="center" vertical="center"/>
    </xf>
    <xf numFmtId="10" fontId="25" fillId="0" borderId="0" xfId="1" applyNumberFormat="1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4" fontId="40" fillId="0" borderId="0" xfId="2" applyNumberFormat="1" applyFont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4" fontId="22" fillId="6" borderId="6" xfId="2" applyNumberFormat="1" applyFont="1" applyFill="1" applyBorder="1" applyAlignment="1">
      <alignment horizontal="center" vertical="center"/>
    </xf>
    <xf numFmtId="4" fontId="22" fillId="3" borderId="1" xfId="2" applyNumberFormat="1" applyFont="1" applyFill="1" applyBorder="1" applyAlignment="1">
      <alignment horizontal="center" vertical="center"/>
    </xf>
    <xf numFmtId="10" fontId="25" fillId="12" borderId="1" xfId="1" applyNumberFormat="1" applyFont="1" applyFill="1" applyBorder="1" applyAlignment="1">
      <alignment horizontal="center" vertical="center"/>
    </xf>
    <xf numFmtId="10" fontId="25" fillId="0" borderId="1" xfId="1" applyNumberFormat="1" applyFont="1" applyFill="1" applyBorder="1" applyAlignment="1">
      <alignment horizontal="center" vertical="center"/>
    </xf>
    <xf numFmtId="43" fontId="24" fillId="3" borderId="6" xfId="1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10" fontId="24" fillId="12" borderId="6" xfId="1" applyNumberFormat="1" applyFont="1" applyFill="1" applyBorder="1" applyAlignment="1">
      <alignment horizontal="center" vertical="center"/>
    </xf>
    <xf numFmtId="0" fontId="22" fillId="2" borderId="0" xfId="0" applyFont="1" applyFill="1" applyAlignment="1">
      <alignment vertical="center"/>
    </xf>
    <xf numFmtId="4" fontId="22" fillId="4" borderId="1" xfId="2" applyNumberFormat="1" applyFont="1" applyFill="1" applyBorder="1" applyAlignment="1">
      <alignment horizontal="center" vertical="center"/>
    </xf>
    <xf numFmtId="165" fontId="22" fillId="4" borderId="1" xfId="2" applyNumberFormat="1" applyFont="1" applyFill="1" applyBorder="1" applyAlignment="1">
      <alignment horizontal="center" vertical="center"/>
    </xf>
    <xf numFmtId="4" fontId="9" fillId="0" borderId="0" xfId="0" applyNumberFormat="1" applyFont="1" applyAlignment="1">
      <alignment vertical="center"/>
    </xf>
    <xf numFmtId="4" fontId="26" fillId="4" borderId="1" xfId="2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4" fontId="7" fillId="0" borderId="0" xfId="0" applyNumberFormat="1" applyFont="1" applyAlignment="1">
      <alignment horizontal="center" vertical="center"/>
    </xf>
    <xf numFmtId="0" fontId="15" fillId="2" borderId="1" xfId="2" applyFont="1" applyFill="1" applyBorder="1" applyAlignment="1">
      <alignment horizontal="left" vertical="center"/>
    </xf>
    <xf numFmtId="0" fontId="15" fillId="9" borderId="1" xfId="2" quotePrefix="1" applyFont="1" applyFill="1" applyBorder="1" applyAlignment="1">
      <alignment horizontal="center" vertical="center"/>
    </xf>
    <xf numFmtId="0" fontId="15" fillId="9" borderId="1" xfId="2" applyFont="1" applyFill="1" applyBorder="1" applyAlignment="1">
      <alignment horizontal="justify" vertical="center" wrapText="1"/>
    </xf>
    <xf numFmtId="4" fontId="15" fillId="2" borderId="0" xfId="2" applyNumberFormat="1" applyFont="1" applyFill="1" applyAlignment="1">
      <alignment horizontal="center" vertical="center"/>
    </xf>
    <xf numFmtId="4" fontId="15" fillId="0" borderId="0" xfId="0" applyNumberFormat="1" applyFont="1" applyAlignment="1">
      <alignment vertical="center"/>
    </xf>
    <xf numFmtId="4" fontId="15" fillId="4" borderId="1" xfId="2" applyNumberFormat="1" applyFont="1" applyFill="1" applyBorder="1" applyAlignment="1">
      <alignment horizontal="center" vertical="center"/>
    </xf>
    <xf numFmtId="0" fontId="15" fillId="12" borderId="19" xfId="2" applyFont="1" applyFill="1" applyBorder="1" applyAlignment="1">
      <alignment vertical="center" wrapText="1"/>
    </xf>
    <xf numFmtId="0" fontId="15" fillId="12" borderId="3" xfId="2" applyFont="1" applyFill="1" applyBorder="1" applyAlignment="1">
      <alignment vertical="center" wrapText="1"/>
    </xf>
    <xf numFmtId="4" fontId="15" fillId="3" borderId="1" xfId="2" applyNumberFormat="1" applyFont="1" applyFill="1" applyBorder="1" applyAlignment="1">
      <alignment horizontal="center" vertical="center"/>
    </xf>
    <xf numFmtId="9" fontId="12" fillId="0" borderId="1" xfId="1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10" fontId="15" fillId="12" borderId="6" xfId="1" applyNumberFormat="1" applyFont="1" applyFill="1" applyBorder="1" applyAlignment="1">
      <alignment horizontal="center" vertical="center" wrapText="1"/>
    </xf>
    <xf numFmtId="10" fontId="15" fillId="9" borderId="1" xfId="1" applyNumberFormat="1" applyFont="1" applyFill="1" applyBorder="1" applyAlignment="1">
      <alignment horizontal="center" vertical="center"/>
    </xf>
    <xf numFmtId="9" fontId="15" fillId="9" borderId="1" xfId="1" applyFont="1" applyFill="1" applyBorder="1" applyAlignment="1">
      <alignment horizontal="center" vertical="center"/>
    </xf>
    <xf numFmtId="0" fontId="12" fillId="9" borderId="1" xfId="2" applyFont="1" applyFill="1" applyBorder="1" applyAlignment="1">
      <alignment horizontal="right" vertical="center" wrapText="1"/>
    </xf>
    <xf numFmtId="49" fontId="14" fillId="0" borderId="1" xfId="2" applyNumberFormat="1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14" fillId="0" borderId="1" xfId="2" applyFont="1" applyBorder="1" applyAlignment="1">
      <alignment horizontal="right" vertical="center"/>
    </xf>
    <xf numFmtId="0" fontId="18" fillId="0" borderId="1" xfId="2" applyFont="1" applyBorder="1" applyAlignment="1">
      <alignment horizontal="center" vertical="center"/>
    </xf>
    <xf numFmtId="4" fontId="18" fillId="0" borderId="1" xfId="2" applyNumberFormat="1" applyFont="1" applyBorder="1" applyAlignment="1">
      <alignment horizontal="center" vertical="center"/>
    </xf>
    <xf numFmtId="4" fontId="14" fillId="0" borderId="1" xfId="2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4" fontId="18" fillId="0" borderId="0" xfId="2" applyNumberFormat="1" applyFont="1" applyAlignment="1">
      <alignment horizontal="center" vertical="center"/>
    </xf>
    <xf numFmtId="165" fontId="22" fillId="9" borderId="22" xfId="9" applyFont="1" applyFill="1" applyBorder="1" applyAlignment="1">
      <alignment horizontal="right" vertical="distributed" wrapText="1"/>
    </xf>
    <xf numFmtId="165" fontId="22" fillId="9" borderId="1" xfId="9" applyFont="1" applyFill="1" applyBorder="1" applyAlignment="1">
      <alignment horizontal="right" vertical="distributed" wrapText="1"/>
    </xf>
    <xf numFmtId="170" fontId="11" fillId="0" borderId="0" xfId="0" applyNumberFormat="1" applyFont="1"/>
    <xf numFmtId="0" fontId="11" fillId="0" borderId="1" xfId="0" applyFont="1" applyBorder="1" applyAlignment="1">
      <alignment horizontal="center" vertical="distributed"/>
    </xf>
    <xf numFmtId="4" fontId="11" fillId="6" borderId="51" xfId="9" applyNumberFormat="1" applyFont="1" applyFill="1" applyBorder="1" applyAlignment="1">
      <alignment horizontal="center" vertical="distributed" wrapText="1"/>
    </xf>
    <xf numFmtId="4" fontId="11" fillId="6" borderId="20" xfId="9" applyNumberFormat="1" applyFont="1" applyFill="1" applyBorder="1" applyAlignment="1">
      <alignment horizontal="center" vertical="distributed" wrapText="1"/>
    </xf>
    <xf numFmtId="0" fontId="11" fillId="11" borderId="20" xfId="9" applyNumberFormat="1" applyFont="1" applyFill="1" applyBorder="1" applyAlignment="1" applyProtection="1">
      <alignment horizontal="center" vertical="center"/>
      <protection locked="0"/>
    </xf>
    <xf numFmtId="0" fontId="11" fillId="12" borderId="20" xfId="9" applyNumberFormat="1" applyFont="1" applyFill="1" applyBorder="1" applyAlignment="1" applyProtection="1">
      <alignment horizontal="center" vertical="center"/>
      <protection locked="0"/>
    </xf>
    <xf numFmtId="3" fontId="47" fillId="0" borderId="0" xfId="0" applyNumberFormat="1" applyFont="1" applyAlignment="1">
      <alignment vertical="center"/>
    </xf>
    <xf numFmtId="4" fontId="47" fillId="0" borderId="0" xfId="0" applyNumberFormat="1" applyFont="1" applyAlignment="1">
      <alignment vertical="center"/>
    </xf>
    <xf numFmtId="0" fontId="51" fillId="0" borderId="0" xfId="0" applyFont="1"/>
    <xf numFmtId="4" fontId="18" fillId="9" borderId="1" xfId="2" applyNumberFormat="1" applyFont="1" applyFill="1" applyBorder="1" applyAlignment="1">
      <alignment horizontal="center" vertical="center"/>
    </xf>
    <xf numFmtId="0" fontId="11" fillId="0" borderId="31" xfId="0" applyFont="1" applyBorder="1"/>
    <xf numFmtId="10" fontId="27" fillId="5" borderId="6" xfId="1" applyNumberFormat="1" applyFont="1" applyFill="1" applyBorder="1" applyAlignment="1">
      <alignment horizontal="center"/>
    </xf>
    <xf numFmtId="2" fontId="27" fillId="0" borderId="6" xfId="0" applyNumberFormat="1" applyFont="1" applyBorder="1" applyAlignment="1">
      <alignment horizontal="center"/>
    </xf>
    <xf numFmtId="10" fontId="27" fillId="0" borderId="6" xfId="1" applyNumberFormat="1" applyFont="1" applyBorder="1" applyAlignment="1">
      <alignment horizontal="center"/>
    </xf>
    <xf numFmtId="10" fontId="27" fillId="0" borderId="7" xfId="1" applyNumberFormat="1" applyFont="1" applyFill="1" applyBorder="1" applyAlignment="1">
      <alignment horizontal="center"/>
    </xf>
    <xf numFmtId="0" fontId="1" fillId="0" borderId="0" xfId="6" applyFont="1"/>
    <xf numFmtId="0" fontId="11" fillId="9" borderId="36" xfId="0" applyFont="1" applyFill="1" applyBorder="1"/>
    <xf numFmtId="165" fontId="15" fillId="9" borderId="36" xfId="9" applyFont="1" applyFill="1" applyBorder="1" applyAlignment="1">
      <alignment horizontal="center" vertical="distributed" wrapText="1"/>
    </xf>
    <xf numFmtId="2" fontId="22" fillId="9" borderId="4" xfId="9" applyNumberFormat="1" applyFont="1" applyFill="1" applyBorder="1" applyAlignment="1">
      <alignment horizontal="center" vertical="distributed" wrapText="1"/>
    </xf>
    <xf numFmtId="0" fontId="15" fillId="2" borderId="1" xfId="2" applyFont="1" applyFill="1" applyBorder="1" applyAlignment="1">
      <alignment horizontal="center"/>
    </xf>
    <xf numFmtId="0" fontId="12" fillId="0" borderId="1" xfId="2" applyFont="1" applyBorder="1" applyAlignment="1">
      <alignment horizontal="center"/>
    </xf>
    <xf numFmtId="0" fontId="15" fillId="9" borderId="1" xfId="2" applyFont="1" applyFill="1" applyBorder="1" applyAlignment="1">
      <alignment horizontal="center"/>
    </xf>
    <xf numFmtId="4" fontId="15" fillId="9" borderId="1" xfId="2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vertical="center"/>
    </xf>
    <xf numFmtId="0" fontId="12" fillId="9" borderId="1" xfId="2" applyFont="1" applyFill="1" applyBorder="1" applyAlignment="1">
      <alignment horizontal="center"/>
    </xf>
    <xf numFmtId="0" fontId="15" fillId="9" borderId="1" xfId="2" applyFont="1" applyFill="1" applyBorder="1" applyAlignment="1">
      <alignment horizontal="right" vertical="center"/>
    </xf>
    <xf numFmtId="0" fontId="18" fillId="0" borderId="1" xfId="2" applyFont="1" applyBorder="1" applyAlignment="1">
      <alignment horizontal="center"/>
    </xf>
    <xf numFmtId="0" fontId="52" fillId="0" borderId="0" xfId="0" applyFont="1" applyAlignment="1">
      <alignment vertical="center"/>
    </xf>
    <xf numFmtId="0" fontId="53" fillId="9" borderId="0" xfId="0" applyFont="1" applyFill="1" applyAlignment="1">
      <alignment vertical="center"/>
    </xf>
    <xf numFmtId="0" fontId="15" fillId="9" borderId="1" xfId="2" applyFont="1" applyFill="1" applyBorder="1" applyAlignment="1">
      <alignment horizontal="right" vertical="center" wrapText="1"/>
    </xf>
    <xf numFmtId="0" fontId="54" fillId="0" borderId="0" xfId="0" applyFont="1"/>
    <xf numFmtId="165" fontId="22" fillId="9" borderId="48" xfId="9" applyFont="1" applyFill="1" applyBorder="1" applyAlignment="1">
      <alignment horizontal="right" vertical="distributed" wrapText="1"/>
    </xf>
    <xf numFmtId="165" fontId="22" fillId="9" borderId="3" xfId="9" applyFont="1" applyFill="1" applyBorder="1" applyAlignment="1">
      <alignment horizontal="right" vertical="distributed" wrapText="1"/>
    </xf>
    <xf numFmtId="49" fontId="11" fillId="0" borderId="40" xfId="9" applyNumberFormat="1" applyFont="1" applyFill="1" applyBorder="1" applyAlignment="1">
      <alignment horizontal="center" vertical="center" wrapText="1"/>
    </xf>
    <xf numFmtId="0" fontId="55" fillId="0" borderId="0" xfId="0" applyFont="1"/>
    <xf numFmtId="0" fontId="56" fillId="0" borderId="44" xfId="0" applyFont="1" applyBorder="1"/>
    <xf numFmtId="0" fontId="57" fillId="0" borderId="0" xfId="0" applyFont="1"/>
    <xf numFmtId="169" fontId="57" fillId="9" borderId="40" xfId="9" applyNumberFormat="1" applyFont="1" applyFill="1" applyBorder="1" applyAlignment="1">
      <alignment horizontal="justify" vertical="distributed" wrapText="1"/>
    </xf>
    <xf numFmtId="169" fontId="57" fillId="9" borderId="1" xfId="9" applyNumberFormat="1" applyFont="1" applyFill="1" applyBorder="1" applyAlignment="1">
      <alignment horizontal="justify" vertical="distributed" wrapText="1"/>
    </xf>
    <xf numFmtId="165" fontId="58" fillId="9" borderId="1" xfId="9" applyFont="1" applyFill="1" applyBorder="1" applyAlignment="1">
      <alignment horizontal="justify" vertical="distributed" wrapText="1"/>
    </xf>
    <xf numFmtId="165" fontId="58" fillId="9" borderId="4" xfId="9" applyFont="1" applyFill="1" applyBorder="1" applyAlignment="1">
      <alignment horizontal="justify" vertical="distributed" wrapText="1"/>
    </xf>
    <xf numFmtId="165" fontId="58" fillId="9" borderId="20" xfId="9" applyFont="1" applyFill="1" applyBorder="1" applyAlignment="1">
      <alignment vertical="distributed" wrapText="1"/>
    </xf>
    <xf numFmtId="0" fontId="55" fillId="0" borderId="0" xfId="0" applyFont="1" applyAlignment="1">
      <alignment horizontal="center" vertical="center"/>
    </xf>
    <xf numFmtId="0" fontId="56" fillId="0" borderId="44" xfId="0" applyFont="1" applyBorder="1" applyAlignment="1">
      <alignment horizontal="center" vertical="center"/>
    </xf>
    <xf numFmtId="0" fontId="55" fillId="0" borderId="29" xfId="0" applyFont="1" applyBorder="1"/>
    <xf numFmtId="0" fontId="55" fillId="0" borderId="30" xfId="0" applyFont="1" applyBorder="1"/>
    <xf numFmtId="0" fontId="55" fillId="0" borderId="31" xfId="0" applyFont="1" applyBorder="1"/>
    <xf numFmtId="44" fontId="56" fillId="0" borderId="44" xfId="15" applyFont="1" applyBorder="1"/>
    <xf numFmtId="0" fontId="56" fillId="0" borderId="0" xfId="0" applyFont="1"/>
    <xf numFmtId="0" fontId="55" fillId="0" borderId="43" xfId="0" applyFont="1" applyBorder="1"/>
    <xf numFmtId="44" fontId="56" fillId="0" borderId="0" xfId="15" applyFont="1" applyBorder="1"/>
    <xf numFmtId="0" fontId="59" fillId="2" borderId="0" xfId="0" applyFont="1" applyFill="1" applyAlignment="1">
      <alignment vertical="center"/>
    </xf>
    <xf numFmtId="0" fontId="53" fillId="0" borderId="0" xfId="0" applyFont="1" applyAlignment="1">
      <alignment vertical="center"/>
    </xf>
    <xf numFmtId="0" fontId="32" fillId="9" borderId="1" xfId="2" applyFont="1" applyFill="1" applyBorder="1" applyAlignment="1">
      <alignment horizontal="center"/>
    </xf>
    <xf numFmtId="4" fontId="32" fillId="9" borderId="1" xfId="2" applyNumberFormat="1" applyFont="1" applyFill="1" applyBorder="1" applyAlignment="1">
      <alignment horizontal="center" vertical="center"/>
    </xf>
    <xf numFmtId="4" fontId="8" fillId="9" borderId="1" xfId="2" applyNumberFormat="1" applyFont="1" applyFill="1" applyBorder="1" applyAlignment="1">
      <alignment horizontal="center" vertical="center"/>
    </xf>
    <xf numFmtId="0" fontId="8" fillId="9" borderId="0" xfId="0" applyFont="1" applyFill="1" applyAlignment="1">
      <alignment vertical="center"/>
    </xf>
    <xf numFmtId="4" fontId="12" fillId="9" borderId="0" xfId="2" applyNumberFormat="1" applyFont="1" applyFill="1" applyAlignment="1">
      <alignment horizontal="center" vertical="center"/>
    </xf>
    <xf numFmtId="0" fontId="53" fillId="0" borderId="0" xfId="0" applyFont="1"/>
    <xf numFmtId="0" fontId="59" fillId="0" borderId="0" xfId="2" applyFont="1" applyAlignment="1">
      <alignment horizontal="left" vertical="center"/>
    </xf>
    <xf numFmtId="49" fontId="59" fillId="0" borderId="0" xfId="2" applyNumberFormat="1" applyFont="1" applyAlignment="1">
      <alignment horizontal="left" vertical="center"/>
    </xf>
    <xf numFmtId="0" fontId="60" fillId="2" borderId="0" xfId="0" applyFont="1" applyFill="1" applyAlignment="1">
      <alignment horizontal="center"/>
    </xf>
    <xf numFmtId="4" fontId="12" fillId="0" borderId="1" xfId="2" applyNumberFormat="1" applyFont="1" applyBorder="1" applyAlignment="1">
      <alignment horizontal="center"/>
    </xf>
    <xf numFmtId="0" fontId="12" fillId="0" borderId="44" xfId="0" applyFont="1" applyBorder="1" applyAlignment="1">
      <alignment horizontal="center" vertical="center"/>
    </xf>
    <xf numFmtId="44" fontId="12" fillId="0" borderId="44" xfId="15" applyFont="1" applyBorder="1"/>
    <xf numFmtId="2" fontId="11" fillId="0" borderId="0" xfId="0" applyNumberFormat="1" applyFont="1"/>
    <xf numFmtId="43" fontId="11" fillId="0" borderId="0" xfId="0" applyNumberFormat="1" applyFont="1"/>
    <xf numFmtId="0" fontId="22" fillId="0" borderId="40" xfId="2" applyFont="1" applyBorder="1" applyAlignment="1">
      <alignment horizontal="center" vertical="center"/>
    </xf>
    <xf numFmtId="4" fontId="22" fillId="0" borderId="41" xfId="2" applyNumberFormat="1" applyFont="1" applyBorder="1" applyAlignment="1">
      <alignment horizontal="center" vertical="center"/>
    </xf>
    <xf numFmtId="49" fontId="22" fillId="15" borderId="40" xfId="2" applyNumberFormat="1" applyFont="1" applyFill="1" applyBorder="1" applyAlignment="1">
      <alignment horizontal="center" vertical="center" wrapText="1"/>
    </xf>
    <xf numFmtId="4" fontId="22" fillId="3" borderId="41" xfId="2" applyNumberFormat="1" applyFont="1" applyFill="1" applyBorder="1" applyAlignment="1">
      <alignment horizontal="center" vertical="center"/>
    </xf>
    <xf numFmtId="10" fontId="25" fillId="12" borderId="41" xfId="1" applyNumberFormat="1" applyFont="1" applyFill="1" applyBorder="1" applyAlignment="1">
      <alignment horizontal="center" vertical="center"/>
    </xf>
    <xf numFmtId="10" fontId="25" fillId="0" borderId="41" xfId="1" applyNumberFormat="1" applyFont="1" applyFill="1" applyBorder="1" applyAlignment="1">
      <alignment horizontal="center" vertical="center"/>
    </xf>
    <xf numFmtId="49" fontId="22" fillId="15" borderId="40" xfId="2" applyNumberFormat="1" applyFont="1" applyFill="1" applyBorder="1" applyAlignment="1">
      <alignment horizontal="center" vertical="center"/>
    </xf>
    <xf numFmtId="0" fontId="22" fillId="0" borderId="44" xfId="2" applyFont="1" applyBorder="1" applyAlignment="1">
      <alignment horizontal="center" vertical="center"/>
    </xf>
    <xf numFmtId="10" fontId="25" fillId="0" borderId="46" xfId="1" applyNumberFormat="1" applyFont="1" applyFill="1" applyBorder="1" applyAlignment="1">
      <alignment horizontal="center" vertical="center"/>
    </xf>
    <xf numFmtId="0" fontId="22" fillId="0" borderId="46" xfId="0" applyFont="1" applyBorder="1" applyAlignment="1">
      <alignment vertical="center"/>
    </xf>
    <xf numFmtId="0" fontId="15" fillId="9" borderId="0" xfId="0" applyFont="1" applyFill="1" applyAlignment="1">
      <alignment horizontal="center" vertical="center"/>
    </xf>
    <xf numFmtId="10" fontId="15" fillId="9" borderId="1" xfId="1" applyNumberFormat="1" applyFont="1" applyFill="1" applyBorder="1" applyAlignment="1">
      <alignment vertical="center"/>
    </xf>
    <xf numFmtId="49" fontId="14" fillId="0" borderId="0" xfId="2" applyNumberFormat="1" applyFont="1" applyAlignment="1">
      <alignment vertical="center"/>
    </xf>
    <xf numFmtId="0" fontId="61" fillId="0" borderId="0" xfId="0" applyFont="1" applyAlignment="1">
      <alignment wrapText="1"/>
    </xf>
    <xf numFmtId="10" fontId="16" fillId="2" borderId="6" xfId="1" applyNumberFormat="1" applyFont="1" applyFill="1" applyBorder="1" applyAlignment="1">
      <alignment horizontal="center"/>
    </xf>
    <xf numFmtId="2" fontId="61" fillId="0" borderId="6" xfId="0" applyNumberFormat="1" applyFont="1" applyBorder="1" applyAlignment="1">
      <alignment horizontal="center"/>
    </xf>
    <xf numFmtId="10" fontId="61" fillId="0" borderId="6" xfId="1" applyNumberFormat="1" applyFont="1" applyBorder="1" applyAlignment="1">
      <alignment horizontal="center"/>
    </xf>
    <xf numFmtId="0" fontId="27" fillId="0" borderId="6" xfId="19" applyFont="1" applyBorder="1"/>
    <xf numFmtId="0" fontId="27" fillId="0" borderId="6" xfId="19" applyFont="1" applyBorder="1" applyAlignment="1">
      <alignment horizontal="center"/>
    </xf>
    <xf numFmtId="10" fontId="16" fillId="2" borderId="6" xfId="26" applyNumberFormat="1" applyFont="1" applyFill="1" applyBorder="1" applyAlignment="1">
      <alignment horizontal="center"/>
    </xf>
    <xf numFmtId="0" fontId="8" fillId="0" borderId="6" xfId="0" applyFont="1" applyBorder="1" applyAlignment="1">
      <alignment vertical="center"/>
    </xf>
    <xf numFmtId="10" fontId="16" fillId="0" borderId="7" xfId="1" applyNumberFormat="1" applyFont="1" applyFill="1" applyBorder="1" applyAlignment="1">
      <alignment horizontal="center"/>
    </xf>
    <xf numFmtId="0" fontId="14" fillId="0" borderId="0" xfId="0" applyFont="1"/>
    <xf numFmtId="0" fontId="18" fillId="0" borderId="0" xfId="0" applyFont="1" applyAlignment="1">
      <alignment horizontal="center"/>
    </xf>
    <xf numFmtId="0" fontId="0" fillId="0" borderId="0" xfId="6" applyFont="1"/>
    <xf numFmtId="0" fontId="16" fillId="0" borderId="0" xfId="0" applyFont="1" applyAlignment="1">
      <alignment wrapText="1"/>
    </xf>
    <xf numFmtId="0" fontId="16" fillId="0" borderId="0" xfId="0" applyFont="1" applyAlignment="1">
      <alignment vertical="top" wrapText="1"/>
    </xf>
    <xf numFmtId="0" fontId="18" fillId="0" borderId="0" xfId="0" applyFont="1"/>
    <xf numFmtId="0" fontId="62" fillId="0" borderId="44" xfId="0" applyFont="1" applyBorder="1"/>
    <xf numFmtId="49" fontId="15" fillId="0" borderId="1" xfId="2" applyNumberFormat="1" applyFont="1" applyBorder="1" applyAlignment="1">
      <alignment horizontal="center" vertical="top"/>
    </xf>
    <xf numFmtId="0" fontId="15" fillId="0" borderId="1" xfId="2" applyFont="1" applyBorder="1" applyAlignment="1">
      <alignment horizontal="center" vertical="top"/>
    </xf>
    <xf numFmtId="0" fontId="15" fillId="9" borderId="1" xfId="2" applyFont="1" applyFill="1" applyBorder="1" applyAlignment="1">
      <alignment horizontal="center" vertical="top"/>
    </xf>
    <xf numFmtId="0" fontId="15" fillId="9" borderId="1" xfId="2" quotePrefix="1" applyFont="1" applyFill="1" applyBorder="1" applyAlignment="1">
      <alignment horizontal="center" vertical="top"/>
    </xf>
    <xf numFmtId="4" fontId="8" fillId="9" borderId="0" xfId="2" applyNumberFormat="1" applyFont="1" applyFill="1" applyAlignment="1">
      <alignment horizontal="center" vertical="center"/>
    </xf>
    <xf numFmtId="0" fontId="11" fillId="9" borderId="1" xfId="9" quotePrefix="1" applyNumberFormat="1" applyFont="1" applyFill="1" applyBorder="1" applyAlignment="1">
      <alignment horizontal="center" vertical="center" wrapText="1"/>
    </xf>
    <xf numFmtId="0" fontId="15" fillId="2" borderId="1" xfId="2" applyFont="1" applyFill="1" applyBorder="1" applyAlignment="1">
      <alignment horizontal="center" vertical="top"/>
    </xf>
    <xf numFmtId="0" fontId="14" fillId="0" borderId="1" xfId="2" applyFont="1" applyBorder="1" applyAlignment="1">
      <alignment horizontal="center" vertical="top"/>
    </xf>
    <xf numFmtId="49" fontId="15" fillId="2" borderId="1" xfId="2" applyNumberFormat="1" applyFont="1" applyFill="1" applyBorder="1" applyAlignment="1">
      <alignment horizontal="center" vertical="top"/>
    </xf>
    <xf numFmtId="49" fontId="14" fillId="0" borderId="1" xfId="2" applyNumberFormat="1" applyFont="1" applyBorder="1" applyAlignment="1">
      <alignment horizontal="center" vertical="top"/>
    </xf>
    <xf numFmtId="0" fontId="32" fillId="9" borderId="1" xfId="2" applyFont="1" applyFill="1" applyBorder="1" applyAlignment="1">
      <alignment horizontal="center" vertical="top"/>
    </xf>
    <xf numFmtId="0" fontId="63" fillId="0" borderId="0" xfId="0" applyFont="1"/>
    <xf numFmtId="0" fontId="64" fillId="0" borderId="0" xfId="0" applyFont="1"/>
    <xf numFmtId="0" fontId="63" fillId="0" borderId="0" xfId="0" applyFont="1" applyAlignment="1">
      <alignment horizontal="left"/>
    </xf>
    <xf numFmtId="0" fontId="63" fillId="0" borderId="0" xfId="0" applyFont="1" applyAlignment="1">
      <alignment horizontal="center"/>
    </xf>
    <xf numFmtId="171" fontId="63" fillId="0" borderId="0" xfId="0" applyNumberFormat="1" applyFont="1" applyAlignment="1">
      <alignment horizontal="center"/>
    </xf>
    <xf numFmtId="172" fontId="63" fillId="0" borderId="0" xfId="0" applyNumberFormat="1" applyFont="1"/>
    <xf numFmtId="2" fontId="46" fillId="0" borderId="0" xfId="0" applyNumberFormat="1" applyFont="1" applyAlignment="1">
      <alignment vertical="center"/>
    </xf>
    <xf numFmtId="0" fontId="63" fillId="17" borderId="56" xfId="0" applyFont="1" applyFill="1" applyBorder="1" applyAlignment="1">
      <alignment horizontal="right" vertical="center"/>
    </xf>
    <xf numFmtId="0" fontId="64" fillId="17" borderId="56" xfId="0" applyFont="1" applyFill="1" applyBorder="1" applyAlignment="1">
      <alignment horizontal="right" vertical="center"/>
    </xf>
    <xf numFmtId="10" fontId="15" fillId="2" borderId="1" xfId="1" applyNumberFormat="1" applyFont="1" applyFill="1" applyBorder="1" applyAlignment="1">
      <alignment horizontal="center" vertical="center"/>
    </xf>
    <xf numFmtId="4" fontId="15" fillId="0" borderId="0" xfId="0" applyNumberFormat="1" applyFont="1" applyAlignment="1">
      <alignment horizontal="center" vertical="center"/>
    </xf>
    <xf numFmtId="10" fontId="16" fillId="18" borderId="1" xfId="1" applyNumberFormat="1" applyFont="1" applyFill="1" applyBorder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4" fontId="21" fillId="0" borderId="0" xfId="0" applyNumberFormat="1" applyFont="1" applyAlignment="1">
      <alignment horizontal="center"/>
    </xf>
    <xf numFmtId="4" fontId="11" fillId="0" borderId="0" xfId="0" applyNumberFormat="1" applyFont="1" applyAlignment="1">
      <alignment horizontal="center"/>
    </xf>
    <xf numFmtId="4" fontId="20" fillId="0" borderId="0" xfId="0" applyNumberFormat="1" applyFont="1"/>
    <xf numFmtId="4" fontId="66" fillId="9" borderId="1" xfId="2" applyNumberFormat="1" applyFont="1" applyFill="1" applyBorder="1" applyAlignment="1">
      <alignment horizontal="center" vertical="center"/>
    </xf>
    <xf numFmtId="0" fontId="12" fillId="9" borderId="1" xfId="2" applyFont="1" applyFill="1" applyBorder="1" applyAlignment="1">
      <alignment horizontal="center" vertical="center"/>
    </xf>
    <xf numFmtId="165" fontId="20" fillId="9" borderId="22" xfId="9" applyFont="1" applyFill="1" applyBorder="1" applyAlignment="1">
      <alignment horizontal="right" vertical="distributed" wrapText="1"/>
    </xf>
    <xf numFmtId="165" fontId="20" fillId="9" borderId="1" xfId="9" applyFont="1" applyFill="1" applyBorder="1" applyAlignment="1">
      <alignment horizontal="right" vertical="distributed" wrapText="1"/>
    </xf>
    <xf numFmtId="2" fontId="20" fillId="9" borderId="4" xfId="9" applyNumberFormat="1" applyFont="1" applyFill="1" applyBorder="1" applyAlignment="1">
      <alignment horizontal="center" vertical="distributed" wrapText="1"/>
    </xf>
    <xf numFmtId="49" fontId="15" fillId="0" borderId="1" xfId="2" applyNumberFormat="1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10" fontId="12" fillId="9" borderId="1" xfId="1" applyNumberFormat="1" applyFont="1" applyFill="1" applyBorder="1" applyAlignment="1">
      <alignment horizontal="center" vertical="center"/>
    </xf>
    <xf numFmtId="4" fontId="12" fillId="0" borderId="0" xfId="0" applyNumberFormat="1" applyFont="1"/>
    <xf numFmtId="4" fontId="22" fillId="0" borderId="0" xfId="2" applyNumberFormat="1" applyFont="1" applyAlignment="1">
      <alignment horizontal="center" vertical="center"/>
    </xf>
    <xf numFmtId="4" fontId="22" fillId="0" borderId="4" xfId="2" applyNumberFormat="1" applyFont="1" applyBorder="1" applyAlignment="1">
      <alignment horizontal="center" vertical="center"/>
    </xf>
    <xf numFmtId="4" fontId="22" fillId="0" borderId="27" xfId="2" applyNumberFormat="1" applyFont="1" applyBorder="1" applyAlignment="1">
      <alignment horizontal="center" vertical="center"/>
    </xf>
    <xf numFmtId="4" fontId="22" fillId="3" borderId="4" xfId="2" applyNumberFormat="1" applyFont="1" applyFill="1" applyBorder="1" applyAlignment="1">
      <alignment horizontal="center" vertical="center"/>
    </xf>
    <xf numFmtId="10" fontId="25" fillId="12" borderId="4" xfId="1" applyNumberFormat="1" applyFont="1" applyFill="1" applyBorder="1" applyAlignment="1">
      <alignment horizontal="center" vertical="center"/>
    </xf>
    <xf numFmtId="10" fontId="25" fillId="0" borderId="4" xfId="1" applyNumberFormat="1" applyFont="1" applyFill="1" applyBorder="1" applyAlignment="1">
      <alignment horizontal="center" vertical="center"/>
    </xf>
    <xf numFmtId="4" fontId="22" fillId="0" borderId="36" xfId="2" applyNumberFormat="1" applyFont="1" applyBorder="1" applyAlignment="1">
      <alignment horizontal="center" vertical="center"/>
    </xf>
    <xf numFmtId="10" fontId="25" fillId="0" borderId="58" xfId="1" applyNumberFormat="1" applyFont="1" applyFill="1" applyBorder="1" applyAlignment="1">
      <alignment horizontal="center" vertical="center"/>
    </xf>
    <xf numFmtId="0" fontId="22" fillId="0" borderId="0" xfId="2" applyFont="1" applyAlignment="1">
      <alignment horizontal="center" vertical="center"/>
    </xf>
    <xf numFmtId="4" fontId="22" fillId="0" borderId="7" xfId="2" applyNumberFormat="1" applyFont="1" applyBorder="1" applyAlignment="1">
      <alignment horizontal="center" vertical="center"/>
    </xf>
    <xf numFmtId="0" fontId="22" fillId="0" borderId="7" xfId="0" applyFont="1" applyBorder="1" applyAlignment="1">
      <alignment vertical="center"/>
    </xf>
    <xf numFmtId="0" fontId="12" fillId="0" borderId="27" xfId="0" applyFont="1" applyBorder="1" applyAlignment="1">
      <alignment vertical="center"/>
    </xf>
    <xf numFmtId="0" fontId="32" fillId="0" borderId="6" xfId="0" applyFont="1" applyBorder="1"/>
    <xf numFmtId="0" fontId="32" fillId="0" borderId="6" xfId="0" applyFont="1" applyBorder="1" applyAlignment="1">
      <alignment vertical="center"/>
    </xf>
    <xf numFmtId="0" fontId="68" fillId="0" borderId="0" xfId="0" applyFont="1"/>
    <xf numFmtId="0" fontId="70" fillId="0" borderId="0" xfId="0" applyFont="1"/>
    <xf numFmtId="165" fontId="71" fillId="9" borderId="22" xfId="9" applyFont="1" applyFill="1" applyBorder="1" applyAlignment="1">
      <alignment horizontal="right" vertical="distributed" wrapText="1"/>
    </xf>
    <xf numFmtId="0" fontId="70" fillId="0" borderId="44" xfId="0" applyFont="1" applyBorder="1"/>
    <xf numFmtId="165" fontId="71" fillId="9" borderId="1" xfId="9" applyFont="1" applyFill="1" applyBorder="1" applyAlignment="1">
      <alignment horizontal="right" vertical="distributed" wrapText="1"/>
    </xf>
    <xf numFmtId="2" fontId="71" fillId="9" borderId="4" xfId="9" applyNumberFormat="1" applyFont="1" applyFill="1" applyBorder="1" applyAlignment="1">
      <alignment horizontal="center" vertical="distributed" wrapText="1"/>
    </xf>
    <xf numFmtId="0" fontId="73" fillId="0" borderId="0" xfId="0" applyFont="1"/>
    <xf numFmtId="169" fontId="73" fillId="9" borderId="40" xfId="9" applyNumberFormat="1" applyFont="1" applyFill="1" applyBorder="1" applyAlignment="1">
      <alignment horizontal="justify" vertical="distributed" wrapText="1"/>
    </xf>
    <xf numFmtId="169" fontId="73" fillId="9" borderId="1" xfId="9" applyNumberFormat="1" applyFont="1" applyFill="1" applyBorder="1" applyAlignment="1">
      <alignment horizontal="justify" vertical="distributed" wrapText="1"/>
    </xf>
    <xf numFmtId="165" fontId="74" fillId="9" borderId="1" xfId="9" applyFont="1" applyFill="1" applyBorder="1" applyAlignment="1">
      <alignment horizontal="justify" vertical="distributed" wrapText="1"/>
    </xf>
    <xf numFmtId="165" fontId="74" fillId="9" borderId="4" xfId="9" applyFont="1" applyFill="1" applyBorder="1" applyAlignment="1">
      <alignment horizontal="justify" vertical="distributed" wrapText="1"/>
    </xf>
    <xf numFmtId="165" fontId="74" fillId="9" borderId="20" xfId="9" applyFont="1" applyFill="1" applyBorder="1" applyAlignment="1">
      <alignment vertical="distributed" wrapText="1"/>
    </xf>
    <xf numFmtId="0" fontId="76" fillId="0" borderId="0" xfId="0" applyFont="1"/>
    <xf numFmtId="0" fontId="68" fillId="0" borderId="0" xfId="0" applyFont="1" applyAlignment="1">
      <alignment horizontal="center" vertical="center"/>
    </xf>
    <xf numFmtId="169" fontId="71" fillId="2" borderId="40" xfId="9" applyNumberFormat="1" applyFont="1" applyFill="1" applyBorder="1" applyAlignment="1">
      <alignment horizontal="center" vertical="center" wrapText="1"/>
    </xf>
    <xf numFmtId="169" fontId="71" fillId="2" borderId="1" xfId="9" applyNumberFormat="1" applyFont="1" applyFill="1" applyBorder="1" applyAlignment="1">
      <alignment horizontal="center" vertical="center" wrapText="1"/>
    </xf>
    <xf numFmtId="165" fontId="71" fillId="2" borderId="1" xfId="9" applyFont="1" applyFill="1" applyBorder="1" applyAlignment="1">
      <alignment horizontal="center" vertical="center" wrapText="1"/>
    </xf>
    <xf numFmtId="165" fontId="75" fillId="2" borderId="4" xfId="9" applyFont="1" applyFill="1" applyBorder="1" applyAlignment="1">
      <alignment horizontal="center" vertical="center" wrapText="1"/>
    </xf>
    <xf numFmtId="165" fontId="75" fillId="13" borderId="20" xfId="9" applyFont="1" applyFill="1" applyBorder="1" applyAlignment="1">
      <alignment horizontal="center" vertical="center" wrapText="1"/>
    </xf>
    <xf numFmtId="165" fontId="75" fillId="4" borderId="33" xfId="9" applyFont="1" applyFill="1" applyBorder="1" applyAlignment="1">
      <alignment horizontal="center" vertical="center" wrapText="1"/>
    </xf>
    <xf numFmtId="4" fontId="75" fillId="2" borderId="5" xfId="9" applyNumberFormat="1" applyFont="1" applyFill="1" applyBorder="1" applyAlignment="1">
      <alignment horizontal="center" vertical="center" wrapText="1"/>
    </xf>
    <xf numFmtId="165" fontId="75" fillId="3" borderId="33" xfId="9" applyFont="1" applyFill="1" applyBorder="1" applyAlignment="1">
      <alignment horizontal="center" vertical="center" wrapText="1"/>
    </xf>
    <xf numFmtId="4" fontId="75" fillId="2" borderId="33" xfId="9" applyNumberFormat="1" applyFont="1" applyFill="1" applyBorder="1" applyAlignment="1">
      <alignment horizontal="center" vertical="center" wrapText="1"/>
    </xf>
    <xf numFmtId="0" fontId="70" fillId="0" borderId="0" xfId="0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49" fontId="68" fillId="9" borderId="40" xfId="9" applyNumberFormat="1" applyFont="1" applyFill="1" applyBorder="1" applyAlignment="1">
      <alignment horizontal="center" vertical="center" wrapText="1"/>
    </xf>
    <xf numFmtId="49" fontId="68" fillId="9" borderId="1" xfId="9" quotePrefix="1" applyNumberFormat="1" applyFont="1" applyFill="1" applyBorder="1" applyAlignment="1">
      <alignment horizontal="center" vertical="center" wrapText="1"/>
    </xf>
    <xf numFmtId="0" fontId="68" fillId="9" borderId="1" xfId="0" applyFont="1" applyFill="1" applyBorder="1" applyAlignment="1">
      <alignment horizontal="justify" vertical="center" wrapText="1"/>
    </xf>
    <xf numFmtId="0" fontId="68" fillId="0" borderId="4" xfId="0" applyFont="1" applyBorder="1" applyAlignment="1">
      <alignment horizontal="center" vertical="distributed"/>
    </xf>
    <xf numFmtId="171" fontId="68" fillId="14" borderId="20" xfId="46" applyNumberFormat="1" applyFont="1" applyFill="1" applyBorder="1" applyAlignment="1">
      <alignment horizontal="center" vertical="distributed" wrapText="1"/>
    </xf>
    <xf numFmtId="2" fontId="68" fillId="11" borderId="20" xfId="9" applyNumberFormat="1" applyFont="1" applyFill="1" applyBorder="1" applyAlignment="1" applyProtection="1">
      <alignment horizontal="center" vertical="center"/>
      <protection locked="0"/>
    </xf>
    <xf numFmtId="2" fontId="68" fillId="6" borderId="20" xfId="9" applyNumberFormat="1" applyFont="1" applyFill="1" applyBorder="1" applyAlignment="1">
      <alignment horizontal="center" vertical="distributed" wrapText="1"/>
    </xf>
    <xf numFmtId="2" fontId="68" fillId="12" borderId="20" xfId="9" applyNumberFormat="1" applyFont="1" applyFill="1" applyBorder="1" applyAlignment="1" applyProtection="1">
      <alignment horizontal="center" vertical="center"/>
      <protection locked="0"/>
    </xf>
    <xf numFmtId="0" fontId="68" fillId="0" borderId="0" xfId="0" applyFont="1" applyAlignment="1">
      <alignment wrapText="1"/>
    </xf>
    <xf numFmtId="2" fontId="68" fillId="6" borderId="21" xfId="9" applyNumberFormat="1" applyFont="1" applyFill="1" applyBorder="1" applyAlignment="1">
      <alignment horizontal="center" vertical="distributed" wrapText="1"/>
    </xf>
    <xf numFmtId="0" fontId="68" fillId="0" borderId="29" xfId="0" applyFont="1" applyBorder="1"/>
    <xf numFmtId="0" fontId="68" fillId="0" borderId="30" xfId="0" applyFont="1" applyBorder="1"/>
    <xf numFmtId="0" fontId="68" fillId="0" borderId="43" xfId="0" applyFont="1" applyBorder="1"/>
    <xf numFmtId="165" fontId="75" fillId="4" borderId="6" xfId="9" applyFont="1" applyFill="1" applyBorder="1" applyAlignment="1">
      <alignment horizontal="center" vertical="distributed" wrapText="1"/>
    </xf>
    <xf numFmtId="165" fontId="75" fillId="11" borderId="6" xfId="9" applyFont="1" applyFill="1" applyBorder="1" applyAlignment="1">
      <alignment horizontal="center" vertical="distributed" wrapText="1"/>
    </xf>
    <xf numFmtId="165" fontId="75" fillId="3" borderId="6" xfId="9" applyFont="1" applyFill="1" applyBorder="1" applyAlignment="1">
      <alignment horizontal="center" vertical="distributed" wrapText="1"/>
    </xf>
    <xf numFmtId="165" fontId="75" fillId="12" borderId="6" xfId="9" applyFont="1" applyFill="1" applyBorder="1" applyAlignment="1">
      <alignment horizontal="center" vertical="distributed" wrapText="1"/>
    </xf>
    <xf numFmtId="44" fontId="70" fillId="0" borderId="0" xfId="15" applyFont="1" applyBorder="1"/>
    <xf numFmtId="165" fontId="71" fillId="2" borderId="4" xfId="9" applyFont="1" applyFill="1" applyBorder="1" applyAlignment="1">
      <alignment horizontal="center" vertical="center" wrapText="1"/>
    </xf>
    <xf numFmtId="165" fontId="71" fillId="13" borderId="20" xfId="9" applyFont="1" applyFill="1" applyBorder="1" applyAlignment="1">
      <alignment horizontal="center" vertical="center" wrapText="1"/>
    </xf>
    <xf numFmtId="165" fontId="71" fillId="4" borderId="33" xfId="9" applyFont="1" applyFill="1" applyBorder="1" applyAlignment="1">
      <alignment horizontal="center" vertical="center" wrapText="1"/>
    </xf>
    <xf numFmtId="165" fontId="71" fillId="2" borderId="5" xfId="9" applyFont="1" applyFill="1" applyBorder="1" applyAlignment="1">
      <alignment horizontal="center" vertical="center" wrapText="1"/>
    </xf>
    <xf numFmtId="165" fontId="71" fillId="3" borderId="33" xfId="9" applyFont="1" applyFill="1" applyBorder="1" applyAlignment="1">
      <alignment horizontal="center" vertical="center" wrapText="1"/>
    </xf>
    <xf numFmtId="165" fontId="71" fillId="2" borderId="33" xfId="9" applyFont="1" applyFill="1" applyBorder="1" applyAlignment="1">
      <alignment horizontal="center" vertical="center" wrapText="1"/>
    </xf>
    <xf numFmtId="0" fontId="68" fillId="0" borderId="40" xfId="0" applyFont="1" applyBorder="1"/>
    <xf numFmtId="0" fontId="68" fillId="0" borderId="1" xfId="0" applyFont="1" applyBorder="1"/>
    <xf numFmtId="0" fontId="68" fillId="0" borderId="4" xfId="0" applyFont="1" applyBorder="1"/>
    <xf numFmtId="0" fontId="68" fillId="9" borderId="7" xfId="0" applyFont="1" applyFill="1" applyBorder="1"/>
    <xf numFmtId="165" fontId="75" fillId="9" borderId="7" xfId="9" applyFont="1" applyFill="1" applyBorder="1" applyAlignment="1">
      <alignment horizontal="center" vertical="distributed" wrapText="1"/>
    </xf>
    <xf numFmtId="0" fontId="12" fillId="9" borderId="1" xfId="2" applyFont="1" applyFill="1" applyBorder="1" applyAlignment="1">
      <alignment horizontal="justify" vertical="center" wrapText="1"/>
    </xf>
    <xf numFmtId="169" fontId="15" fillId="2" borderId="6" xfId="9" applyNumberFormat="1" applyFont="1" applyFill="1" applyBorder="1" applyAlignment="1">
      <alignment horizontal="center" vertical="center" wrapText="1"/>
    </xf>
    <xf numFmtId="165" fontId="15" fillId="2" borderId="6" xfId="9" applyFont="1" applyFill="1" applyBorder="1" applyAlignment="1">
      <alignment horizontal="center" vertical="center" wrapText="1"/>
    </xf>
    <xf numFmtId="165" fontId="15" fillId="13" borderId="6" xfId="9" applyFont="1" applyFill="1" applyBorder="1" applyAlignment="1">
      <alignment horizontal="center" vertical="center" wrapText="1"/>
    </xf>
    <xf numFmtId="165" fontId="15" fillId="3" borderId="6" xfId="9" applyFont="1" applyFill="1" applyBorder="1" applyAlignment="1">
      <alignment horizontal="center" vertical="center" wrapText="1"/>
    </xf>
    <xf numFmtId="49" fontId="12" fillId="9" borderId="6" xfId="9" quotePrefix="1" applyNumberFormat="1" applyFont="1" applyFill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justify" vertical="center" wrapText="1"/>
    </xf>
    <xf numFmtId="0" fontId="12" fillId="0" borderId="6" xfId="0" applyFont="1" applyBorder="1" applyAlignment="1">
      <alignment horizontal="center" vertical="distributed"/>
    </xf>
    <xf numFmtId="0" fontId="12" fillId="0" borderId="6" xfId="0" applyFont="1" applyBorder="1" applyAlignment="1">
      <alignment horizontal="center" vertical="distributed" wrapText="1"/>
    </xf>
    <xf numFmtId="43" fontId="12" fillId="9" borderId="6" xfId="12" applyFont="1" applyFill="1" applyBorder="1" applyAlignment="1" applyProtection="1">
      <alignment horizontal="center" vertical="center" wrapText="1"/>
      <protection locked="0"/>
    </xf>
    <xf numFmtId="43" fontId="12" fillId="6" borderId="6" xfId="12" applyFont="1" applyFill="1" applyBorder="1" applyAlignment="1">
      <alignment horizontal="center" vertical="distributed" wrapText="1"/>
    </xf>
    <xf numFmtId="49" fontId="12" fillId="9" borderId="6" xfId="53" applyNumberFormat="1" applyFont="1" applyFill="1" applyBorder="1" applyAlignment="1">
      <alignment horizontal="center" vertical="center" wrapText="1"/>
    </xf>
    <xf numFmtId="0" fontId="77" fillId="0" borderId="0" xfId="0" applyFont="1"/>
    <xf numFmtId="0" fontId="12" fillId="9" borderId="61" xfId="0" applyFont="1" applyFill="1" applyBorder="1" applyAlignment="1">
      <alignment vertical="center"/>
    </xf>
    <xf numFmtId="0" fontId="12" fillId="0" borderId="61" xfId="0" applyFont="1" applyBorder="1" applyAlignment="1">
      <alignment vertical="center"/>
    </xf>
    <xf numFmtId="0" fontId="15" fillId="9" borderId="0" xfId="0" applyFont="1" applyFill="1" applyAlignment="1">
      <alignment vertical="center"/>
    </xf>
    <xf numFmtId="0" fontId="78" fillId="0" borderId="0" xfId="0" applyFont="1"/>
    <xf numFmtId="0" fontId="20" fillId="0" borderId="0" xfId="0" applyFont="1"/>
    <xf numFmtId="4" fontId="15" fillId="9" borderId="1" xfId="2" applyNumberFormat="1" applyFont="1" applyFill="1" applyBorder="1" applyAlignment="1">
      <alignment vertical="center"/>
    </xf>
    <xf numFmtId="4" fontId="15" fillId="9" borderId="32" xfId="2" applyNumberFormat="1" applyFont="1" applyFill="1" applyBorder="1" applyAlignment="1">
      <alignment horizontal="center" vertical="center"/>
    </xf>
    <xf numFmtId="4" fontId="15" fillId="9" borderId="3" xfId="2" applyNumberFormat="1" applyFont="1" applyFill="1" applyBorder="1" applyAlignment="1">
      <alignment vertical="center"/>
    </xf>
    <xf numFmtId="0" fontId="15" fillId="9" borderId="1" xfId="2" quotePrefix="1" applyFont="1" applyFill="1" applyBorder="1" applyAlignment="1">
      <alignment horizontal="center" vertical="top" wrapText="1"/>
    </xf>
    <xf numFmtId="4" fontId="12" fillId="9" borderId="1" xfId="2" applyNumberFormat="1" applyFont="1" applyFill="1" applyBorder="1" applyAlignment="1">
      <alignment horizontal="center" vertical="center" wrapText="1"/>
    </xf>
    <xf numFmtId="4" fontId="15" fillId="9" borderId="1" xfId="2" quotePrefix="1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left" wrapText="1"/>
    </xf>
    <xf numFmtId="0" fontId="79" fillId="0" borderId="0" xfId="55"/>
    <xf numFmtId="0" fontId="80" fillId="0" borderId="0" xfId="0" applyFont="1" applyAlignment="1">
      <alignment horizontal="center"/>
    </xf>
    <xf numFmtId="0" fontId="23" fillId="0" borderId="0" xfId="0" applyFont="1"/>
    <xf numFmtId="0" fontId="81" fillId="19" borderId="62" xfId="55" applyFont="1" applyFill="1" applyBorder="1" applyAlignment="1">
      <alignment horizontal="center" vertical="center"/>
    </xf>
    <xf numFmtId="0" fontId="83" fillId="0" borderId="62" xfId="55" applyFont="1" applyBorder="1" applyAlignment="1">
      <alignment horizontal="center" vertical="top" wrapText="1"/>
    </xf>
    <xf numFmtId="0" fontId="84" fillId="0" borderId="62" xfId="55" applyFont="1" applyBorder="1" applyAlignment="1">
      <alignment horizontal="center" vertical="top"/>
    </xf>
    <xf numFmtId="0" fontId="84" fillId="0" borderId="62" xfId="55" applyFont="1" applyBorder="1" applyAlignment="1">
      <alignment horizontal="left" vertical="top"/>
    </xf>
    <xf numFmtId="0" fontId="84" fillId="0" borderId="62" xfId="55" applyFont="1" applyBorder="1" applyAlignment="1">
      <alignment horizontal="center" vertical="center"/>
    </xf>
    <xf numFmtId="0" fontId="84" fillId="21" borderId="62" xfId="55" applyFont="1" applyFill="1" applyBorder="1" applyAlignment="1">
      <alignment horizontal="center" vertical="top"/>
    </xf>
    <xf numFmtId="0" fontId="84" fillId="21" borderId="62" xfId="55" applyFont="1" applyFill="1" applyBorder="1" applyAlignment="1">
      <alignment horizontal="left" vertical="top"/>
    </xf>
    <xf numFmtId="0" fontId="84" fillId="21" borderId="62" xfId="55" applyFont="1" applyFill="1" applyBorder="1" applyAlignment="1">
      <alignment horizontal="center" vertical="center"/>
    </xf>
    <xf numFmtId="0" fontId="83" fillId="21" borderId="62" xfId="55" applyFont="1" applyFill="1" applyBorder="1" applyAlignment="1">
      <alignment horizontal="center" vertical="top"/>
    </xf>
    <xf numFmtId="0" fontId="83" fillId="21" borderId="62" xfId="55" applyFont="1" applyFill="1" applyBorder="1" applyAlignment="1">
      <alignment horizontal="center" vertical="center"/>
    </xf>
    <xf numFmtId="0" fontId="83" fillId="0" borderId="62" xfId="55" applyFont="1" applyBorder="1" applyAlignment="1">
      <alignment horizontal="center" vertical="top"/>
    </xf>
    <xf numFmtId="0" fontId="83" fillId="0" borderId="62" xfId="55" applyFont="1" applyBorder="1" applyAlignment="1">
      <alignment horizontal="center" vertical="center"/>
    </xf>
    <xf numFmtId="0" fontId="84" fillId="0" borderId="62" xfId="55" applyFont="1" applyBorder="1" applyAlignment="1">
      <alignment horizontal="left" vertical="top" wrapText="1"/>
    </xf>
    <xf numFmtId="0" fontId="84" fillId="0" borderId="62" xfId="55" applyFont="1" applyBorder="1" applyAlignment="1">
      <alignment horizontal="center" vertical="center" wrapText="1"/>
    </xf>
    <xf numFmtId="0" fontId="84" fillId="21" borderId="62" xfId="55" applyFont="1" applyFill="1" applyBorder="1" applyAlignment="1">
      <alignment horizontal="left" vertical="top" wrapText="1"/>
    </xf>
    <xf numFmtId="0" fontId="84" fillId="21" borderId="62" xfId="55" applyFont="1" applyFill="1" applyBorder="1" applyAlignment="1">
      <alignment horizontal="center" vertical="center" wrapText="1"/>
    </xf>
    <xf numFmtId="10" fontId="84" fillId="0" borderId="62" xfId="55" applyNumberFormat="1" applyFont="1" applyBorder="1" applyAlignment="1">
      <alignment horizontal="center" vertical="center"/>
    </xf>
    <xf numFmtId="10" fontId="15" fillId="9" borderId="45" xfId="1" applyNumberFormat="1" applyFont="1" applyFill="1" applyBorder="1" applyAlignment="1">
      <alignment horizontal="center" vertical="center"/>
    </xf>
    <xf numFmtId="10" fontId="15" fillId="9" borderId="50" xfId="1" applyNumberFormat="1" applyFont="1" applyFill="1" applyBorder="1" applyAlignment="1">
      <alignment horizontal="center" vertical="center"/>
    </xf>
    <xf numFmtId="4" fontId="15" fillId="8" borderId="0" xfId="0" applyNumberFormat="1" applyFont="1" applyFill="1" applyAlignment="1">
      <alignment vertical="center"/>
    </xf>
    <xf numFmtId="10" fontId="12" fillId="0" borderId="0" xfId="1" applyNumberFormat="1" applyFont="1" applyAlignment="1">
      <alignment vertical="center"/>
    </xf>
    <xf numFmtId="0" fontId="15" fillId="0" borderId="0" xfId="2" applyFont="1" applyAlignment="1">
      <alignment vertical="center" wrapText="1"/>
    </xf>
    <xf numFmtId="0" fontId="15" fillId="5" borderId="0" xfId="0" applyFont="1" applyFill="1" applyAlignment="1">
      <alignment horizontal="center" vertical="center"/>
    </xf>
    <xf numFmtId="0" fontId="15" fillId="0" borderId="38" xfId="2" applyFont="1" applyBorder="1" applyAlignment="1">
      <alignment horizontal="center" vertical="center"/>
    </xf>
    <xf numFmtId="0" fontId="15" fillId="0" borderId="63" xfId="2" applyFont="1" applyBorder="1" applyAlignment="1">
      <alignment horizontal="left" vertical="center"/>
    </xf>
    <xf numFmtId="0" fontId="15" fillId="0" borderId="21" xfId="2" applyFont="1" applyBorder="1" applyAlignment="1">
      <alignment horizontal="center" vertical="center"/>
    </xf>
    <xf numFmtId="0" fontId="15" fillId="0" borderId="39" xfId="2" applyFont="1" applyBorder="1" applyAlignment="1">
      <alignment horizontal="center" vertical="center"/>
    </xf>
    <xf numFmtId="0" fontId="15" fillId="2" borderId="40" xfId="2" applyFont="1" applyFill="1" applyBorder="1" applyAlignment="1">
      <alignment horizontal="center" vertical="center"/>
    </xf>
    <xf numFmtId="0" fontId="15" fillId="2" borderId="4" xfId="2" applyFont="1" applyFill="1" applyBorder="1" applyAlignment="1">
      <alignment horizontal="left" vertical="center"/>
    </xf>
    <xf numFmtId="4" fontId="15" fillId="2" borderId="20" xfId="2" applyNumberFormat="1" applyFont="1" applyFill="1" applyBorder="1" applyAlignment="1">
      <alignment horizontal="center" vertical="center"/>
    </xf>
    <xf numFmtId="4" fontId="15" fillId="2" borderId="41" xfId="2" applyNumberFormat="1" applyFont="1" applyFill="1" applyBorder="1" applyAlignment="1">
      <alignment horizontal="center" vertical="center"/>
    </xf>
    <xf numFmtId="4" fontId="12" fillId="22" borderId="0" xfId="0" applyNumberFormat="1" applyFont="1" applyFill="1" applyAlignment="1">
      <alignment vertical="center"/>
    </xf>
    <xf numFmtId="0" fontId="12" fillId="22" borderId="0" xfId="0" applyFont="1" applyFill="1" applyAlignment="1">
      <alignment vertical="center"/>
    </xf>
    <xf numFmtId="0" fontId="12" fillId="9" borderId="40" xfId="2" applyFont="1" applyFill="1" applyBorder="1" applyAlignment="1">
      <alignment horizontal="center" vertical="center"/>
    </xf>
    <xf numFmtId="0" fontId="12" fillId="9" borderId="4" xfId="2" applyFont="1" applyFill="1" applyBorder="1" applyAlignment="1">
      <alignment horizontal="left" vertical="center"/>
    </xf>
    <xf numFmtId="4" fontId="12" fillId="9" borderId="20" xfId="2" applyNumberFormat="1" applyFont="1" applyFill="1" applyBorder="1" applyAlignment="1">
      <alignment horizontal="center" vertical="center"/>
    </xf>
    <xf numFmtId="4" fontId="12" fillId="9" borderId="41" xfId="2" applyNumberFormat="1" applyFont="1" applyFill="1" applyBorder="1" applyAlignment="1">
      <alignment horizontal="center" vertical="center"/>
    </xf>
    <xf numFmtId="0" fontId="15" fillId="9" borderId="40" xfId="2" applyFont="1" applyFill="1" applyBorder="1" applyAlignment="1">
      <alignment horizontal="center" vertical="center"/>
    </xf>
    <xf numFmtId="0" fontId="15" fillId="9" borderId="4" xfId="2" applyFont="1" applyFill="1" applyBorder="1" applyAlignment="1">
      <alignment horizontal="left" vertical="center"/>
    </xf>
    <xf numFmtId="4" fontId="15" fillId="9" borderId="20" xfId="2" applyNumberFormat="1" applyFont="1" applyFill="1" applyBorder="1" applyAlignment="1">
      <alignment horizontal="center" vertical="center"/>
    </xf>
    <xf numFmtId="4" fontId="15" fillId="9" borderId="41" xfId="2" applyNumberFormat="1" applyFont="1" applyFill="1" applyBorder="1" applyAlignment="1">
      <alignment horizontal="center" vertical="center"/>
    </xf>
    <xf numFmtId="172" fontId="15" fillId="6" borderId="6" xfId="56" applyFont="1" applyFill="1" applyBorder="1" applyAlignment="1">
      <alignment vertical="center"/>
    </xf>
    <xf numFmtId="172" fontId="15" fillId="2" borderId="6" xfId="56" applyFont="1" applyFill="1" applyBorder="1" applyAlignment="1">
      <alignment vertical="center"/>
    </xf>
    <xf numFmtId="167" fontId="15" fillId="2" borderId="0" xfId="0" applyNumberFormat="1" applyFont="1" applyFill="1" applyAlignment="1">
      <alignment vertical="center"/>
    </xf>
    <xf numFmtId="43" fontId="12" fillId="0" borderId="0" xfId="0" applyNumberFormat="1" applyFont="1" applyAlignment="1">
      <alignment vertical="center"/>
    </xf>
    <xf numFmtId="43" fontId="15" fillId="0" borderId="0" xfId="0" applyNumberFormat="1" applyFont="1" applyAlignment="1">
      <alignment vertical="center"/>
    </xf>
    <xf numFmtId="43" fontId="15" fillId="0" borderId="0" xfId="0" applyNumberFormat="1" applyFont="1" applyAlignment="1">
      <alignment horizontal="center" vertical="center"/>
    </xf>
    <xf numFmtId="43" fontId="15" fillId="0" borderId="0" xfId="0" applyNumberFormat="1" applyFont="1" applyAlignment="1">
      <alignment horizontal="left" vertical="center"/>
    </xf>
    <xf numFmtId="165" fontId="15" fillId="0" borderId="0" xfId="0" applyNumberFormat="1" applyFont="1" applyAlignment="1">
      <alignment vertical="center"/>
    </xf>
    <xf numFmtId="44" fontId="12" fillId="0" borderId="0" xfId="0" applyNumberFormat="1" applyFont="1" applyAlignment="1">
      <alignment vertical="center"/>
    </xf>
    <xf numFmtId="0" fontId="12" fillId="23" borderId="40" xfId="2" applyFont="1" applyFill="1" applyBorder="1" applyAlignment="1">
      <alignment horizontal="center" vertical="center"/>
    </xf>
    <xf numFmtId="0" fontId="12" fillId="23" borderId="4" xfId="2" applyFont="1" applyFill="1" applyBorder="1" applyAlignment="1">
      <alignment horizontal="left" vertical="center"/>
    </xf>
    <xf numFmtId="4" fontId="12" fillId="23" borderId="20" xfId="2" applyNumberFormat="1" applyFont="1" applyFill="1" applyBorder="1" applyAlignment="1">
      <alignment horizontal="center" vertical="center"/>
    </xf>
    <xf numFmtId="4" fontId="12" fillId="23" borderId="41" xfId="2" applyNumberFormat="1" applyFont="1" applyFill="1" applyBorder="1" applyAlignment="1">
      <alignment horizontal="center" vertical="center"/>
    </xf>
    <xf numFmtId="0" fontId="12" fillId="23" borderId="0" xfId="0" applyFont="1" applyFill="1" applyAlignment="1">
      <alignment vertical="center"/>
    </xf>
    <xf numFmtId="4" fontId="12" fillId="23" borderId="0" xfId="0" applyNumberFormat="1" applyFont="1" applyFill="1" applyAlignment="1">
      <alignment vertical="center"/>
    </xf>
    <xf numFmtId="0" fontId="37" fillId="0" borderId="8" xfId="0" applyFont="1" applyBorder="1" applyAlignment="1">
      <alignment horizontal="left" vertical="justify" wrapText="1"/>
    </xf>
    <xf numFmtId="0" fontId="37" fillId="0" borderId="7" xfId="0" applyFont="1" applyBorder="1" applyAlignment="1">
      <alignment horizontal="left" vertical="justify" wrapText="1"/>
    </xf>
    <xf numFmtId="0" fontId="37" fillId="0" borderId="9" xfId="0" applyFont="1" applyBorder="1" applyAlignment="1">
      <alignment horizontal="left" vertical="justify" wrapText="1"/>
    </xf>
    <xf numFmtId="0" fontId="28" fillId="0" borderId="0" xfId="0" applyFont="1" applyAlignment="1">
      <alignment horizontal="center"/>
    </xf>
    <xf numFmtId="0" fontId="30" fillId="0" borderId="0" xfId="0" applyFont="1" applyAlignment="1">
      <alignment horizontal="center" wrapText="1"/>
    </xf>
    <xf numFmtId="0" fontId="0" fillId="0" borderId="0" xfId="6" applyFont="1" applyAlignment="1">
      <alignment horizontal="justify" wrapText="1"/>
    </xf>
    <xf numFmtId="0" fontId="35" fillId="0" borderId="0" xfId="6" applyFont="1" applyAlignment="1">
      <alignment horizontal="justify" wrapText="1"/>
    </xf>
    <xf numFmtId="0" fontId="35" fillId="0" borderId="0" xfId="19" applyFont="1" applyAlignment="1">
      <alignment horizontal="justify" wrapText="1"/>
    </xf>
    <xf numFmtId="4" fontId="15" fillId="4" borderId="23" xfId="2" applyNumberFormat="1" applyFont="1" applyFill="1" applyBorder="1" applyAlignment="1">
      <alignment horizontal="center" vertical="center"/>
    </xf>
    <xf numFmtId="4" fontId="15" fillId="4" borderId="24" xfId="2" applyNumberFormat="1" applyFont="1" applyFill="1" applyBorder="1" applyAlignment="1">
      <alignment horizontal="center" vertical="center"/>
    </xf>
    <xf numFmtId="4" fontId="15" fillId="4" borderId="25" xfId="2" applyNumberFormat="1" applyFont="1" applyFill="1" applyBorder="1" applyAlignment="1">
      <alignment horizontal="center" vertical="center"/>
    </xf>
    <xf numFmtId="4" fontId="15" fillId="3" borderId="23" xfId="2" applyNumberFormat="1" applyFont="1" applyFill="1" applyBorder="1" applyAlignment="1">
      <alignment horizontal="center" vertical="center"/>
    </xf>
    <xf numFmtId="4" fontId="15" fillId="3" borderId="24" xfId="2" applyNumberFormat="1" applyFont="1" applyFill="1" applyBorder="1" applyAlignment="1">
      <alignment horizontal="center" vertical="center"/>
    </xf>
    <xf numFmtId="4" fontId="15" fillId="3" borderId="25" xfId="2" applyNumberFormat="1" applyFont="1" applyFill="1" applyBorder="1" applyAlignment="1">
      <alignment horizontal="center" vertical="center"/>
    </xf>
    <xf numFmtId="0" fontId="15" fillId="2" borderId="4" xfId="2" applyFont="1" applyFill="1" applyBorder="1" applyAlignment="1">
      <alignment horizontal="center" vertical="center" wrapText="1"/>
    </xf>
    <xf numFmtId="0" fontId="15" fillId="2" borderId="19" xfId="2" applyFont="1" applyFill="1" applyBorder="1" applyAlignment="1">
      <alignment horizontal="center" vertical="center" wrapText="1"/>
    </xf>
    <xf numFmtId="0" fontId="13" fillId="0" borderId="8" xfId="2" applyFont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3" fillId="0" borderId="23" xfId="2" applyFont="1" applyBorder="1" applyAlignment="1">
      <alignment horizontal="center" vertical="center"/>
    </xf>
    <xf numFmtId="0" fontId="13" fillId="0" borderId="24" xfId="2" applyFont="1" applyBorder="1" applyAlignment="1">
      <alignment horizontal="center" vertical="center"/>
    </xf>
    <xf numFmtId="0" fontId="23" fillId="0" borderId="24" xfId="0" applyFont="1" applyBorder="1" applyAlignment="1">
      <alignment vertical="center"/>
    </xf>
    <xf numFmtId="0" fontId="23" fillId="0" borderId="25" xfId="0" applyFont="1" applyBorder="1" applyAlignment="1">
      <alignment vertical="center"/>
    </xf>
    <xf numFmtId="0" fontId="15" fillId="0" borderId="35" xfId="2" applyFont="1" applyBorder="1" applyAlignment="1">
      <alignment horizontal="center" vertical="center"/>
    </xf>
    <xf numFmtId="0" fontId="15" fillId="0" borderId="36" xfId="2" applyFont="1" applyBorder="1" applyAlignment="1">
      <alignment horizontal="center" vertical="center"/>
    </xf>
    <xf numFmtId="0" fontId="15" fillId="0" borderId="37" xfId="2" applyFont="1" applyBorder="1" applyAlignment="1">
      <alignment horizontal="center" vertical="center"/>
    </xf>
    <xf numFmtId="0" fontId="22" fillId="11" borderId="8" xfId="2" applyFont="1" applyFill="1" applyBorder="1" applyAlignment="1">
      <alignment horizontal="right" vertical="center"/>
    </xf>
    <xf numFmtId="0" fontId="22" fillId="11" borderId="7" xfId="2" applyFont="1" applyFill="1" applyBorder="1" applyAlignment="1">
      <alignment horizontal="right" vertical="center"/>
    </xf>
    <xf numFmtId="0" fontId="22" fillId="12" borderId="8" xfId="2" applyFont="1" applyFill="1" applyBorder="1" applyAlignment="1">
      <alignment horizontal="right" vertical="center"/>
    </xf>
    <xf numFmtId="0" fontId="22" fillId="12" borderId="7" xfId="2" applyFont="1" applyFill="1" applyBorder="1" applyAlignment="1">
      <alignment horizontal="right" vertical="center"/>
    </xf>
    <xf numFmtId="0" fontId="15" fillId="2" borderId="1" xfId="2" applyFont="1" applyFill="1" applyBorder="1" applyAlignment="1">
      <alignment horizontal="center" vertical="center" wrapText="1"/>
    </xf>
    <xf numFmtId="0" fontId="15" fillId="12" borderId="4" xfId="2" applyFont="1" applyFill="1" applyBorder="1" applyAlignment="1">
      <alignment horizontal="center" vertical="center" wrapText="1"/>
    </xf>
    <xf numFmtId="0" fontId="15" fillId="12" borderId="3" xfId="2" applyFont="1" applyFill="1" applyBorder="1" applyAlignment="1">
      <alignment horizontal="center" vertical="center" wrapText="1"/>
    </xf>
    <xf numFmtId="0" fontId="15" fillId="2" borderId="3" xfId="2" applyFont="1" applyFill="1" applyBorder="1" applyAlignment="1">
      <alignment horizontal="center" vertical="center" wrapText="1"/>
    </xf>
    <xf numFmtId="4" fontId="22" fillId="2" borderId="8" xfId="2" applyNumberFormat="1" applyFont="1" applyFill="1" applyBorder="1" applyAlignment="1">
      <alignment horizontal="center" vertical="center"/>
    </xf>
    <xf numFmtId="4" fontId="22" fillId="2" borderId="7" xfId="2" applyNumberFormat="1" applyFont="1" applyFill="1" applyBorder="1" applyAlignment="1">
      <alignment horizontal="center" vertical="center"/>
    </xf>
    <xf numFmtId="4" fontId="22" fillId="2" borderId="9" xfId="2" applyNumberFormat="1" applyFont="1" applyFill="1" applyBorder="1" applyAlignment="1">
      <alignment horizontal="center" vertical="center"/>
    </xf>
    <xf numFmtId="0" fontId="38" fillId="0" borderId="8" xfId="2" applyFont="1" applyBorder="1" applyAlignment="1">
      <alignment horizontal="center" vertical="center"/>
    </xf>
    <xf numFmtId="0" fontId="38" fillId="0" borderId="7" xfId="2" applyFont="1" applyBorder="1" applyAlignment="1">
      <alignment horizontal="center" vertical="center"/>
    </xf>
    <xf numFmtId="0" fontId="38" fillId="0" borderId="9" xfId="2" applyFont="1" applyBorder="1" applyAlignment="1">
      <alignment horizontal="center" vertical="center"/>
    </xf>
    <xf numFmtId="170" fontId="13" fillId="6" borderId="8" xfId="2" applyNumberFormat="1" applyFont="1" applyFill="1" applyBorder="1" applyAlignment="1">
      <alignment horizontal="center" vertical="center"/>
    </xf>
    <xf numFmtId="170" fontId="13" fillId="6" borderId="7" xfId="2" applyNumberFormat="1" applyFont="1" applyFill="1" applyBorder="1" applyAlignment="1">
      <alignment horizontal="center" vertical="center"/>
    </xf>
    <xf numFmtId="170" fontId="13" fillId="6" borderId="9" xfId="2" applyNumberFormat="1" applyFont="1" applyFill="1" applyBorder="1" applyAlignment="1">
      <alignment horizontal="center" vertical="center"/>
    </xf>
    <xf numFmtId="0" fontId="13" fillId="2" borderId="6" xfId="2" applyFont="1" applyFill="1" applyBorder="1" applyAlignment="1">
      <alignment horizontal="center" vertical="center"/>
    </xf>
    <xf numFmtId="0" fontId="22" fillId="2" borderId="6" xfId="2" applyFont="1" applyFill="1" applyBorder="1" applyAlignment="1">
      <alignment horizontal="center" vertical="center"/>
    </xf>
    <xf numFmtId="0" fontId="22" fillId="2" borderId="6" xfId="2" applyFont="1" applyFill="1" applyBorder="1" applyAlignment="1">
      <alignment horizontal="center" vertical="center" wrapText="1"/>
    </xf>
    <xf numFmtId="0" fontId="22" fillId="15" borderId="40" xfId="2" applyFont="1" applyFill="1" applyBorder="1" applyAlignment="1">
      <alignment horizontal="center" vertical="center"/>
    </xf>
    <xf numFmtId="0" fontId="22" fillId="15" borderId="1" xfId="2" applyFont="1" applyFill="1" applyBorder="1" applyAlignment="1">
      <alignment horizontal="center" vertical="center"/>
    </xf>
    <xf numFmtId="0" fontId="22" fillId="15" borderId="6" xfId="2" applyFont="1" applyFill="1" applyBorder="1" applyAlignment="1">
      <alignment horizontal="center" vertical="center"/>
    </xf>
    <xf numFmtId="0" fontId="13" fillId="2" borderId="6" xfId="2" applyFont="1" applyFill="1" applyBorder="1" applyAlignment="1">
      <alignment horizontal="center" vertical="center" wrapText="1"/>
    </xf>
    <xf numFmtId="0" fontId="86" fillId="0" borderId="7" xfId="2" applyFont="1" applyBorder="1" applyAlignment="1">
      <alignment horizontal="center" vertical="center"/>
    </xf>
    <xf numFmtId="0" fontId="86" fillId="0" borderId="9" xfId="2" applyFont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15" fillId="2" borderId="8" xfId="2" applyFont="1" applyFill="1" applyBorder="1" applyAlignment="1">
      <alignment horizontal="center" vertical="center"/>
    </xf>
    <xf numFmtId="0" fontId="15" fillId="6" borderId="6" xfId="2" applyFont="1" applyFill="1" applyBorder="1" applyAlignment="1">
      <alignment horizontal="center" vertical="center" wrapText="1"/>
    </xf>
    <xf numFmtId="0" fontId="15" fillId="2" borderId="6" xfId="2" applyFont="1" applyFill="1" applyBorder="1" applyAlignment="1">
      <alignment horizontal="center" vertical="center" wrapText="1"/>
    </xf>
    <xf numFmtId="0" fontId="15" fillId="0" borderId="0" xfId="2" applyFont="1" applyAlignment="1">
      <alignment horizontal="left" vertical="center" wrapText="1"/>
    </xf>
    <xf numFmtId="165" fontId="22" fillId="4" borderId="6" xfId="9" applyFont="1" applyFill="1" applyBorder="1" applyAlignment="1">
      <alignment horizontal="center" vertical="distributed" wrapText="1"/>
    </xf>
    <xf numFmtId="165" fontId="22" fillId="3" borderId="6" xfId="9" applyFont="1" applyFill="1" applyBorder="1" applyAlignment="1">
      <alignment horizontal="center" vertical="distributed" wrapText="1"/>
    </xf>
    <xf numFmtId="0" fontId="13" fillId="2" borderId="26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wrapText="1"/>
    </xf>
    <xf numFmtId="169" fontId="13" fillId="9" borderId="23" xfId="9" applyNumberFormat="1" applyFont="1" applyFill="1" applyBorder="1" applyAlignment="1">
      <alignment horizontal="center" vertical="distributed" wrapText="1"/>
    </xf>
    <xf numFmtId="169" fontId="13" fillId="9" borderId="52" xfId="9" applyNumberFormat="1" applyFont="1" applyFill="1" applyBorder="1" applyAlignment="1">
      <alignment horizontal="center" vertical="distributed" wrapText="1"/>
    </xf>
    <xf numFmtId="169" fontId="13" fillId="9" borderId="44" xfId="9" applyNumberFormat="1" applyFont="1" applyFill="1" applyBorder="1" applyAlignment="1">
      <alignment horizontal="center" vertical="distributed" wrapText="1"/>
    </xf>
    <xf numFmtId="169" fontId="13" fillId="9" borderId="18" xfId="9" applyNumberFormat="1" applyFont="1" applyFill="1" applyBorder="1" applyAlignment="1">
      <alignment horizontal="center" vertical="distributed" wrapText="1"/>
    </xf>
    <xf numFmtId="0" fontId="22" fillId="0" borderId="22" xfId="9" applyNumberFormat="1" applyFont="1" applyBorder="1" applyAlignment="1">
      <alignment horizontal="center" vertical="distributed" wrapText="1"/>
    </xf>
    <xf numFmtId="0" fontId="22" fillId="0" borderId="39" xfId="9" applyNumberFormat="1" applyFont="1" applyBorder="1" applyAlignment="1">
      <alignment horizontal="center" vertical="distributed" wrapText="1"/>
    </xf>
    <xf numFmtId="165" fontId="22" fillId="9" borderId="32" xfId="9" applyFont="1" applyFill="1" applyBorder="1" applyAlignment="1">
      <alignment horizontal="right" vertical="center" wrapText="1"/>
    </xf>
    <xf numFmtId="165" fontId="22" fillId="9" borderId="34" xfId="9" applyFont="1" applyFill="1" applyBorder="1" applyAlignment="1">
      <alignment horizontal="right" vertical="center" wrapText="1"/>
    </xf>
    <xf numFmtId="0" fontId="22" fillId="6" borderId="45" xfId="9" applyNumberFormat="1" applyFont="1" applyFill="1" applyBorder="1" applyAlignment="1">
      <alignment horizontal="justify" vertical="center" wrapText="1"/>
    </xf>
    <xf numFmtId="0" fontId="22" fillId="6" borderId="2" xfId="9" applyNumberFormat="1" applyFont="1" applyFill="1" applyBorder="1" applyAlignment="1">
      <alignment horizontal="justify" vertical="center" wrapText="1"/>
    </xf>
    <xf numFmtId="0" fontId="22" fillId="6" borderId="49" xfId="9" applyNumberFormat="1" applyFont="1" applyFill="1" applyBorder="1" applyAlignment="1">
      <alignment horizontal="justify" vertical="center" wrapText="1"/>
    </xf>
    <xf numFmtId="0" fontId="22" fillId="6" borderId="50" xfId="9" applyNumberFormat="1" applyFont="1" applyFill="1" applyBorder="1" applyAlignment="1">
      <alignment horizontal="justify" vertical="center" wrapText="1"/>
    </xf>
    <xf numFmtId="0" fontId="22" fillId="6" borderId="0" xfId="9" applyNumberFormat="1" applyFont="1" applyFill="1" applyBorder="1" applyAlignment="1">
      <alignment horizontal="justify" vertical="center" wrapText="1"/>
    </xf>
    <xf numFmtId="0" fontId="22" fillId="6" borderId="46" xfId="9" applyNumberFormat="1" applyFont="1" applyFill="1" applyBorder="1" applyAlignment="1">
      <alignment horizontal="justify" vertical="center" wrapText="1"/>
    </xf>
    <xf numFmtId="165" fontId="22" fillId="9" borderId="20" xfId="9" applyFont="1" applyFill="1" applyBorder="1" applyAlignment="1">
      <alignment horizontal="center" vertical="center" wrapText="1"/>
    </xf>
    <xf numFmtId="170" fontId="16" fillId="11" borderId="6" xfId="9" applyNumberFormat="1" applyFont="1" applyFill="1" applyBorder="1" applyAlignment="1">
      <alignment horizontal="center" vertical="center" wrapText="1"/>
    </xf>
    <xf numFmtId="170" fontId="16" fillId="12" borderId="6" xfId="9" applyNumberFormat="1" applyFont="1" applyFill="1" applyBorder="1" applyAlignment="1">
      <alignment horizontal="center" vertical="center" wrapText="1"/>
    </xf>
    <xf numFmtId="169" fontId="13" fillId="9" borderId="53" xfId="9" applyNumberFormat="1" applyFont="1" applyFill="1" applyBorder="1" applyAlignment="1">
      <alignment horizontal="center" vertical="distributed" wrapText="1"/>
    </xf>
    <xf numFmtId="169" fontId="13" fillId="9" borderId="48" xfId="9" applyNumberFormat="1" applyFont="1" applyFill="1" applyBorder="1" applyAlignment="1">
      <alignment horizontal="center" vertical="distributed" wrapText="1"/>
    </xf>
    <xf numFmtId="165" fontId="22" fillId="9" borderId="22" xfId="9" applyFont="1" applyFill="1" applyBorder="1" applyAlignment="1">
      <alignment horizontal="right" vertical="center" wrapText="1"/>
    </xf>
    <xf numFmtId="165" fontId="74" fillId="4" borderId="6" xfId="9" applyFont="1" applyFill="1" applyBorder="1" applyAlignment="1">
      <alignment horizontal="center" vertical="distributed" wrapText="1"/>
    </xf>
    <xf numFmtId="165" fontId="74" fillId="3" borderId="6" xfId="9" applyFont="1" applyFill="1" applyBorder="1" applyAlignment="1">
      <alignment horizontal="center" vertical="distributed" wrapText="1"/>
    </xf>
    <xf numFmtId="165" fontId="22" fillId="9" borderId="3" xfId="9" applyFont="1" applyFill="1" applyBorder="1" applyAlignment="1">
      <alignment horizontal="right" vertical="center" wrapText="1"/>
    </xf>
    <xf numFmtId="0" fontId="22" fillId="6" borderId="1" xfId="9" applyNumberFormat="1" applyFont="1" applyFill="1" applyBorder="1" applyAlignment="1">
      <alignment horizontal="justify" vertical="center" wrapText="1"/>
    </xf>
    <xf numFmtId="0" fontId="22" fillId="6" borderId="41" xfId="9" applyNumberFormat="1" applyFont="1" applyFill="1" applyBorder="1" applyAlignment="1">
      <alignment horizontal="justify" vertical="center" wrapText="1"/>
    </xf>
    <xf numFmtId="0" fontId="22" fillId="6" borderId="32" xfId="9" applyNumberFormat="1" applyFont="1" applyFill="1" applyBorder="1" applyAlignment="1">
      <alignment horizontal="justify" vertical="center" wrapText="1"/>
    </xf>
    <xf numFmtId="0" fontId="22" fillId="6" borderId="42" xfId="9" applyNumberFormat="1" applyFont="1" applyFill="1" applyBorder="1" applyAlignment="1">
      <alignment horizontal="justify" vertical="center" wrapText="1"/>
    </xf>
    <xf numFmtId="165" fontId="71" fillId="9" borderId="1" xfId="9" applyFont="1" applyFill="1" applyBorder="1" applyAlignment="1">
      <alignment horizontal="right" vertical="center" wrapText="1"/>
    </xf>
    <xf numFmtId="0" fontId="71" fillId="2" borderId="1" xfId="9" applyNumberFormat="1" applyFont="1" applyFill="1" applyBorder="1" applyAlignment="1">
      <alignment horizontal="justify" vertical="center" wrapText="1"/>
    </xf>
    <xf numFmtId="0" fontId="71" fillId="2" borderId="41" xfId="9" applyNumberFormat="1" applyFont="1" applyFill="1" applyBorder="1" applyAlignment="1">
      <alignment horizontal="justify" vertical="center" wrapText="1"/>
    </xf>
    <xf numFmtId="0" fontId="71" fillId="2" borderId="32" xfId="9" applyNumberFormat="1" applyFont="1" applyFill="1" applyBorder="1" applyAlignment="1">
      <alignment horizontal="justify" vertical="center" wrapText="1"/>
    </xf>
    <xf numFmtId="0" fontId="71" fillId="2" borderId="42" xfId="9" applyNumberFormat="1" applyFont="1" applyFill="1" applyBorder="1" applyAlignment="1">
      <alignment horizontal="justify" vertical="center" wrapText="1"/>
    </xf>
    <xf numFmtId="165" fontId="71" fillId="9" borderId="20" xfId="9" applyFont="1" applyFill="1" applyBorder="1" applyAlignment="1">
      <alignment horizontal="center" vertical="center" wrapText="1"/>
    </xf>
    <xf numFmtId="170" fontId="72" fillId="11" borderId="6" xfId="9" applyNumberFormat="1" applyFont="1" applyFill="1" applyBorder="1" applyAlignment="1">
      <alignment horizontal="center" vertical="center" wrapText="1"/>
    </xf>
    <xf numFmtId="170" fontId="72" fillId="12" borderId="6" xfId="9" applyNumberFormat="1" applyFont="1" applyFill="1" applyBorder="1" applyAlignment="1">
      <alignment horizontal="center" vertical="center" wrapText="1"/>
    </xf>
    <xf numFmtId="0" fontId="71" fillId="0" borderId="22" xfId="9" applyNumberFormat="1" applyFont="1" applyBorder="1" applyAlignment="1">
      <alignment horizontal="center" vertical="distributed" wrapText="1"/>
    </xf>
    <xf numFmtId="0" fontId="71" fillId="0" borderId="39" xfId="9" applyNumberFormat="1" applyFont="1" applyBorder="1" applyAlignment="1">
      <alignment horizontal="center" vertical="distributed" wrapText="1"/>
    </xf>
    <xf numFmtId="0" fontId="71" fillId="6" borderId="1" xfId="9" applyNumberFormat="1" applyFont="1" applyFill="1" applyBorder="1" applyAlignment="1">
      <alignment horizontal="justify" vertical="center" wrapText="1"/>
    </xf>
    <xf numFmtId="0" fontId="71" fillId="6" borderId="41" xfId="9" applyNumberFormat="1" applyFont="1" applyFill="1" applyBorder="1" applyAlignment="1">
      <alignment horizontal="justify" vertical="center" wrapText="1"/>
    </xf>
    <xf numFmtId="0" fontId="71" fillId="6" borderId="32" xfId="9" applyNumberFormat="1" applyFont="1" applyFill="1" applyBorder="1" applyAlignment="1">
      <alignment horizontal="justify" vertical="center" wrapText="1"/>
    </xf>
    <xf numFmtId="0" fontId="71" fillId="6" borderId="42" xfId="9" applyNumberFormat="1" applyFont="1" applyFill="1" applyBorder="1" applyAlignment="1">
      <alignment horizontal="justify" vertical="center" wrapText="1"/>
    </xf>
    <xf numFmtId="170" fontId="72" fillId="11" borderId="23" xfId="9" applyNumberFormat="1" applyFont="1" applyFill="1" applyBorder="1" applyAlignment="1">
      <alignment horizontal="center" vertical="center" wrapText="1"/>
    </xf>
    <xf numFmtId="170" fontId="72" fillId="11" borderId="25" xfId="9" applyNumberFormat="1" applyFont="1" applyFill="1" applyBorder="1" applyAlignment="1">
      <alignment horizontal="center" vertical="center" wrapText="1"/>
    </xf>
    <xf numFmtId="170" fontId="72" fillId="11" borderId="35" xfId="9" applyNumberFormat="1" applyFont="1" applyFill="1" applyBorder="1" applyAlignment="1">
      <alignment horizontal="center" vertical="center" wrapText="1"/>
    </xf>
    <xf numFmtId="170" fontId="72" fillId="11" borderId="37" xfId="9" applyNumberFormat="1" applyFont="1" applyFill="1" applyBorder="1" applyAlignment="1">
      <alignment horizontal="center" vertical="center" wrapText="1"/>
    </xf>
    <xf numFmtId="170" fontId="72" fillId="12" borderId="23" xfId="9" applyNumberFormat="1" applyFont="1" applyFill="1" applyBorder="1" applyAlignment="1">
      <alignment horizontal="center" vertical="center" wrapText="1"/>
    </xf>
    <xf numFmtId="170" fontId="72" fillId="12" borderId="25" xfId="9" applyNumberFormat="1" applyFont="1" applyFill="1" applyBorder="1" applyAlignment="1">
      <alignment horizontal="center" vertical="center" wrapText="1"/>
    </xf>
    <xf numFmtId="170" fontId="72" fillId="12" borderId="35" xfId="9" applyNumberFormat="1" applyFont="1" applyFill="1" applyBorder="1" applyAlignment="1">
      <alignment horizontal="center" vertical="center" wrapText="1"/>
    </xf>
    <xf numFmtId="170" fontId="72" fillId="12" borderId="37" xfId="9" applyNumberFormat="1" applyFont="1" applyFill="1" applyBorder="1" applyAlignment="1">
      <alignment horizontal="center" vertical="center" wrapText="1"/>
    </xf>
    <xf numFmtId="169" fontId="13" fillId="9" borderId="38" xfId="9" applyNumberFormat="1" applyFont="1" applyFill="1" applyBorder="1" applyAlignment="1">
      <alignment horizontal="center" vertical="distributed" wrapText="1"/>
    </xf>
    <xf numFmtId="169" fontId="13" fillId="9" borderId="22" xfId="9" applyNumberFormat="1" applyFont="1" applyFill="1" applyBorder="1" applyAlignment="1">
      <alignment horizontal="center" vertical="distributed" wrapText="1"/>
    </xf>
    <xf numFmtId="169" fontId="13" fillId="9" borderId="40" xfId="9" applyNumberFormat="1" applyFont="1" applyFill="1" applyBorder="1" applyAlignment="1">
      <alignment horizontal="center" vertical="distributed" wrapText="1"/>
    </xf>
    <xf numFmtId="169" fontId="13" fillId="9" borderId="1" xfId="9" applyNumberFormat="1" applyFont="1" applyFill="1" applyBorder="1" applyAlignment="1">
      <alignment horizontal="center" vertical="distributed" wrapText="1"/>
    </xf>
    <xf numFmtId="165" fontId="20" fillId="9" borderId="1" xfId="9" applyFont="1" applyFill="1" applyBorder="1" applyAlignment="1">
      <alignment horizontal="right" vertical="center" wrapText="1"/>
    </xf>
    <xf numFmtId="165" fontId="20" fillId="9" borderId="57" xfId="9" applyFont="1" applyFill="1" applyBorder="1" applyAlignment="1">
      <alignment horizontal="center" vertical="center" wrapText="1"/>
    </xf>
    <xf numFmtId="165" fontId="20" fillId="9" borderId="21" xfId="9" applyFont="1" applyFill="1" applyBorder="1" applyAlignment="1">
      <alignment horizontal="center" vertical="center" wrapText="1"/>
    </xf>
    <xf numFmtId="165" fontId="22" fillId="9" borderId="1" xfId="9" applyFont="1" applyFill="1" applyBorder="1" applyAlignment="1">
      <alignment horizontal="right" vertical="center" wrapText="1"/>
    </xf>
    <xf numFmtId="165" fontId="75" fillId="4" borderId="8" xfId="9" applyFont="1" applyFill="1" applyBorder="1" applyAlignment="1">
      <alignment horizontal="center" vertical="distributed" wrapText="1"/>
    </xf>
    <xf numFmtId="165" fontId="75" fillId="4" borderId="9" xfId="9" applyFont="1" applyFill="1" applyBorder="1" applyAlignment="1">
      <alignment horizontal="center" vertical="distributed" wrapText="1"/>
    </xf>
    <xf numFmtId="165" fontId="75" fillId="3" borderId="8" xfId="9" applyFont="1" applyFill="1" applyBorder="1" applyAlignment="1">
      <alignment horizontal="center" vertical="distributed" wrapText="1"/>
    </xf>
    <xf numFmtId="165" fontId="75" fillId="3" borderId="9" xfId="9" applyFont="1" applyFill="1" applyBorder="1" applyAlignment="1">
      <alignment horizontal="center" vertical="distributed" wrapText="1"/>
    </xf>
    <xf numFmtId="0" fontId="69" fillId="8" borderId="23" xfId="0" applyFont="1" applyFill="1" applyBorder="1" applyAlignment="1">
      <alignment horizontal="center" vertical="center" wrapText="1"/>
    </xf>
    <xf numFmtId="0" fontId="69" fillId="8" borderId="24" xfId="0" applyFont="1" applyFill="1" applyBorder="1" applyAlignment="1">
      <alignment horizontal="center" vertical="center" wrapText="1"/>
    </xf>
    <xf numFmtId="0" fontId="69" fillId="8" borderId="25" xfId="0" applyFont="1" applyFill="1" applyBorder="1" applyAlignment="1">
      <alignment horizontal="center" vertical="center" wrapText="1"/>
    </xf>
    <xf numFmtId="0" fontId="69" fillId="8" borderId="44" xfId="0" applyFont="1" applyFill="1" applyBorder="1" applyAlignment="1">
      <alignment horizontal="center" vertical="center" wrapText="1"/>
    </xf>
    <xf numFmtId="0" fontId="69" fillId="8" borderId="0" xfId="0" applyFont="1" applyFill="1" applyAlignment="1">
      <alignment horizontal="center" vertical="center" wrapText="1"/>
    </xf>
    <xf numFmtId="0" fontId="69" fillId="8" borderId="46" xfId="0" applyFont="1" applyFill="1" applyBorder="1" applyAlignment="1">
      <alignment horizontal="center" vertical="center" wrapText="1"/>
    </xf>
    <xf numFmtId="0" fontId="69" fillId="8" borderId="35" xfId="0" applyFont="1" applyFill="1" applyBorder="1" applyAlignment="1">
      <alignment horizontal="center" vertical="center" wrapText="1"/>
    </xf>
    <xf numFmtId="0" fontId="69" fillId="8" borderId="36" xfId="0" applyFont="1" applyFill="1" applyBorder="1" applyAlignment="1">
      <alignment horizontal="center" vertical="center" wrapText="1"/>
    </xf>
    <xf numFmtId="0" fontId="69" fillId="8" borderId="37" xfId="0" applyFont="1" applyFill="1" applyBorder="1" applyAlignment="1">
      <alignment horizontal="center" vertical="center" wrapText="1"/>
    </xf>
    <xf numFmtId="169" fontId="69" fillId="9" borderId="44" xfId="9" applyNumberFormat="1" applyFont="1" applyFill="1" applyBorder="1" applyAlignment="1">
      <alignment horizontal="center" vertical="distributed" wrapText="1"/>
    </xf>
    <xf numFmtId="169" fontId="69" fillId="9" borderId="18" xfId="9" applyNumberFormat="1" applyFont="1" applyFill="1" applyBorder="1" applyAlignment="1">
      <alignment horizontal="center" vertical="distributed" wrapText="1"/>
    </xf>
    <xf numFmtId="169" fontId="69" fillId="9" borderId="53" xfId="9" applyNumberFormat="1" applyFont="1" applyFill="1" applyBorder="1" applyAlignment="1">
      <alignment horizontal="center" vertical="distributed" wrapText="1"/>
    </xf>
    <xf numFmtId="169" fontId="69" fillId="9" borderId="48" xfId="9" applyNumberFormat="1" applyFont="1" applyFill="1" applyBorder="1" applyAlignment="1">
      <alignment horizontal="center" vertical="distributed" wrapText="1"/>
    </xf>
    <xf numFmtId="0" fontId="71" fillId="0" borderId="59" xfId="9" applyNumberFormat="1" applyFont="1" applyBorder="1" applyAlignment="1">
      <alignment horizontal="center" vertical="distributed" wrapText="1"/>
    </xf>
    <xf numFmtId="0" fontId="71" fillId="0" borderId="60" xfId="9" applyNumberFormat="1" applyFont="1" applyBorder="1" applyAlignment="1">
      <alignment horizontal="center" vertical="distributed" wrapText="1"/>
    </xf>
    <xf numFmtId="0" fontId="38" fillId="6" borderId="8" xfId="0" applyFont="1" applyFill="1" applyBorder="1" applyAlignment="1">
      <alignment horizontal="center" vertical="center"/>
    </xf>
    <xf numFmtId="0" fontId="38" fillId="6" borderId="7" xfId="0" applyFont="1" applyFill="1" applyBorder="1" applyAlignment="1">
      <alignment horizontal="center" vertical="center"/>
    </xf>
    <xf numFmtId="0" fontId="38" fillId="6" borderId="9" xfId="0" applyFont="1" applyFill="1" applyBorder="1" applyAlignment="1">
      <alignment horizontal="center" vertical="center"/>
    </xf>
    <xf numFmtId="0" fontId="77" fillId="0" borderId="0" xfId="0" applyFont="1" applyAlignment="1">
      <alignment horizontal="justify" vertical="justify" wrapText="1"/>
    </xf>
    <xf numFmtId="0" fontId="77" fillId="0" borderId="0" xfId="0" applyFont="1" applyAlignment="1">
      <alignment horizontal="left" wrapText="1"/>
    </xf>
    <xf numFmtId="0" fontId="15" fillId="2" borderId="8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6" fillId="2" borderId="23" xfId="0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16" fillId="2" borderId="25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 wrapText="1"/>
    </xf>
    <xf numFmtId="0" fontId="16" fillId="2" borderId="54" xfId="0" applyFont="1" applyFill="1" applyBorder="1" applyAlignment="1">
      <alignment horizontal="center" vertical="center" wrapText="1"/>
    </xf>
    <xf numFmtId="0" fontId="16" fillId="2" borderId="47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8" fillId="0" borderId="54" xfId="0" applyFont="1" applyBorder="1" applyAlignment="1">
      <alignment horizontal="left" vertical="center"/>
    </xf>
    <xf numFmtId="0" fontId="8" fillId="0" borderId="55" xfId="0" applyFont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1" fillId="0" borderId="0" xfId="6" applyFont="1" applyAlignment="1">
      <alignment horizontal="justify" wrapText="1"/>
    </xf>
    <xf numFmtId="0" fontId="35" fillId="0" borderId="0" xfId="0" applyFont="1" applyAlignment="1">
      <alignment horizontal="justify" wrapText="1"/>
    </xf>
    <xf numFmtId="0" fontId="16" fillId="0" borderId="0" xfId="0" applyFont="1" applyAlignment="1">
      <alignment horizontal="left" wrapText="1"/>
    </xf>
    <xf numFmtId="0" fontId="38" fillId="0" borderId="0" xfId="2" applyFont="1" applyAlignment="1">
      <alignment horizontal="center"/>
    </xf>
    <xf numFmtId="0" fontId="6" fillId="0" borderId="0" xfId="38" applyFont="1"/>
    <xf numFmtId="0" fontId="13" fillId="0" borderId="0" xfId="2" applyFont="1" applyAlignment="1">
      <alignment horizontal="center"/>
    </xf>
    <xf numFmtId="0" fontId="81" fillId="19" borderId="62" xfId="55" applyFont="1" applyFill="1" applyBorder="1" applyAlignment="1">
      <alignment horizontal="center" vertical="top"/>
    </xf>
    <xf numFmtId="0" fontId="16" fillId="0" borderId="23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6" fillId="0" borderId="25" xfId="0" applyFont="1" applyBorder="1" applyAlignment="1">
      <alignment horizontal="center"/>
    </xf>
    <xf numFmtId="0" fontId="16" fillId="0" borderId="44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46" xfId="0" applyFont="1" applyBorder="1" applyAlignment="1">
      <alignment horizontal="center"/>
    </xf>
    <xf numFmtId="0" fontId="35" fillId="0" borderId="35" xfId="0" applyFont="1" applyBorder="1" applyAlignment="1">
      <alignment horizontal="center"/>
    </xf>
    <xf numFmtId="0" fontId="35" fillId="0" borderId="36" xfId="0" applyFont="1" applyBorder="1" applyAlignment="1">
      <alignment horizontal="center"/>
    </xf>
    <xf numFmtId="0" fontId="35" fillId="0" borderId="37" xfId="0" applyFont="1" applyBorder="1" applyAlignment="1">
      <alignment horizontal="center"/>
    </xf>
    <xf numFmtId="0" fontId="81" fillId="19" borderId="62" xfId="55" applyFont="1" applyFill="1" applyBorder="1" applyAlignment="1">
      <alignment horizontal="center" vertical="center"/>
    </xf>
    <xf numFmtId="0" fontId="83" fillId="0" borderId="62" xfId="55" applyFont="1" applyBorder="1" applyAlignment="1">
      <alignment horizontal="center" vertical="center" wrapText="1"/>
    </xf>
    <xf numFmtId="0" fontId="81" fillId="20" borderId="62" xfId="55" applyFont="1" applyFill="1" applyBorder="1" applyAlignment="1">
      <alignment horizontal="center" vertical="center"/>
    </xf>
    <xf numFmtId="49" fontId="16" fillId="0" borderId="0" xfId="0" applyNumberFormat="1" applyFont="1" applyAlignment="1">
      <alignment horizontal="justify" vertical="justify" wrapText="1"/>
    </xf>
    <xf numFmtId="4" fontId="12" fillId="9" borderId="0" xfId="0" applyNumberFormat="1" applyFont="1" applyFill="1" applyAlignment="1">
      <alignment vertical="center"/>
    </xf>
  </cellXfs>
  <cellStyles count="57">
    <cellStyle name="Hiperlink" xfId="53" builtinId="8"/>
    <cellStyle name="Moeda 2" xfId="10" xr:uid="{00000000-0005-0000-0000-000001000000}"/>
    <cellStyle name="Moeda 3" xfId="15" xr:uid="{00000000-0005-0000-0000-000002000000}"/>
    <cellStyle name="Moeda 4" xfId="56" xr:uid="{FCADF8B5-15F0-4070-8509-B1C9FB370504}"/>
    <cellStyle name="Normal" xfId="0" builtinId="0"/>
    <cellStyle name="Normal 10" xfId="55" xr:uid="{2BA70298-D067-4EF4-ABBB-CB2758FB07C8}"/>
    <cellStyle name="Normal 19" xfId="47" xr:uid="{00000000-0005-0000-0000-000004000000}"/>
    <cellStyle name="Normal 2" xfId="3" xr:uid="{00000000-0005-0000-0000-000005000000}"/>
    <cellStyle name="Normal 2 2" xfId="5" xr:uid="{00000000-0005-0000-0000-000006000000}"/>
    <cellStyle name="Normal 2 2 2" xfId="45" xr:uid="{00000000-0005-0000-0000-000007000000}"/>
    <cellStyle name="Normal 2 3" xfId="16" xr:uid="{00000000-0005-0000-0000-000008000000}"/>
    <cellStyle name="Normal 2 3 2" xfId="17" xr:uid="{00000000-0005-0000-0000-000009000000}"/>
    <cellStyle name="Normal 2 4" xfId="18" xr:uid="{00000000-0005-0000-0000-00000A000000}"/>
    <cellStyle name="Normal 2 4 2" xfId="49" xr:uid="{DE5464F8-27D9-471C-AF54-BAB249A37B09}"/>
    <cellStyle name="Normal 2 5" xfId="38" xr:uid="{00000000-0005-0000-0000-00000B000000}"/>
    <cellStyle name="Normal 3" xfId="6" xr:uid="{00000000-0005-0000-0000-00000C000000}"/>
    <cellStyle name="Normal 3 2" xfId="19" xr:uid="{00000000-0005-0000-0000-00000D000000}"/>
    <cellStyle name="Normal 3 2 2" xfId="20" xr:uid="{00000000-0005-0000-0000-00000E000000}"/>
    <cellStyle name="Normal 3 2 3" xfId="36" xr:uid="{00000000-0005-0000-0000-00000F000000}"/>
    <cellStyle name="Normal 3 3" xfId="21" xr:uid="{00000000-0005-0000-0000-000010000000}"/>
    <cellStyle name="Normal 4" xfId="11" xr:uid="{00000000-0005-0000-0000-000011000000}"/>
    <cellStyle name="Normal 4 2" xfId="13" xr:uid="{00000000-0005-0000-0000-000012000000}"/>
    <cellStyle name="Normal 4 2 2" xfId="39" xr:uid="{00000000-0005-0000-0000-000013000000}"/>
    <cellStyle name="Normal 5" xfId="14" xr:uid="{00000000-0005-0000-0000-000014000000}"/>
    <cellStyle name="Normal 5 3" xfId="40" xr:uid="{00000000-0005-0000-0000-000015000000}"/>
    <cellStyle name="Normal 6" xfId="22" xr:uid="{00000000-0005-0000-0000-000016000000}"/>
    <cellStyle name="Normal 7" xfId="23" xr:uid="{00000000-0005-0000-0000-000017000000}"/>
    <cellStyle name="Normal 8" xfId="44" xr:uid="{00000000-0005-0000-0000-000018000000}"/>
    <cellStyle name="Normal 9" xfId="51" xr:uid="{4835005C-7D8C-4467-A6D9-214869D94DA6}"/>
    <cellStyle name="Normal_cronograma 6 meses 2" xfId="2" xr:uid="{00000000-0005-0000-0000-000019000000}"/>
    <cellStyle name="Porcentagem" xfId="1" builtinId="5"/>
    <cellStyle name="Porcentagem 2" xfId="7" xr:uid="{00000000-0005-0000-0000-00001C000000}"/>
    <cellStyle name="Porcentagem 2 2" xfId="24" xr:uid="{00000000-0005-0000-0000-00001D000000}"/>
    <cellStyle name="Porcentagem 2 2 2" xfId="25" xr:uid="{00000000-0005-0000-0000-00001E000000}"/>
    <cellStyle name="Porcentagem 3" xfId="26" xr:uid="{00000000-0005-0000-0000-00001F000000}"/>
    <cellStyle name="Porcentagem 3 4" xfId="54" xr:uid="{2E966773-2DFB-405F-9BA5-00F2DF5054CD}"/>
    <cellStyle name="Porcentagem 4" xfId="41" xr:uid="{00000000-0005-0000-0000-000020000000}"/>
    <cellStyle name="Separador de milhares 2" xfId="8" xr:uid="{00000000-0005-0000-0000-000021000000}"/>
    <cellStyle name="Separador de milhares 2 2" xfId="27" xr:uid="{00000000-0005-0000-0000-000022000000}"/>
    <cellStyle name="Separador de milhares 2 2 2" xfId="28" xr:uid="{00000000-0005-0000-0000-000023000000}"/>
    <cellStyle name="Separador de milhares 3" xfId="4" xr:uid="{00000000-0005-0000-0000-000024000000}"/>
    <cellStyle name="Separador de milhares 3 2" xfId="35" xr:uid="{00000000-0005-0000-0000-000025000000}"/>
    <cellStyle name="Separador de milhares 4" xfId="29" xr:uid="{00000000-0005-0000-0000-000026000000}"/>
    <cellStyle name="Separador de milhares 4 2" xfId="30" xr:uid="{00000000-0005-0000-0000-000027000000}"/>
    <cellStyle name="Separador de milhares 4 3" xfId="31" xr:uid="{00000000-0005-0000-0000-000028000000}"/>
    <cellStyle name="Separador de milhares 4 4" xfId="37" xr:uid="{00000000-0005-0000-0000-000029000000}"/>
    <cellStyle name="Separador de milhares 5" xfId="32" xr:uid="{00000000-0005-0000-0000-00002A000000}"/>
    <cellStyle name="Vírgula" xfId="12" builtinId="3"/>
    <cellStyle name="Vírgula 13" xfId="50" xr:uid="{6AFC6E10-08A3-40C5-9500-9C144716ECD0}"/>
    <cellStyle name="Vírgula 2" xfId="9" xr:uid="{00000000-0005-0000-0000-00002C000000}"/>
    <cellStyle name="Vírgula 2 2" xfId="33" xr:uid="{00000000-0005-0000-0000-00002D000000}"/>
    <cellStyle name="Vírgula 2 2 2" xfId="46" xr:uid="{00000000-0005-0000-0000-00002E000000}"/>
    <cellStyle name="Vírgula 2 3" xfId="48" xr:uid="{00000000-0005-0000-0000-00002F000000}"/>
    <cellStyle name="Vírgula 2 4" xfId="42" xr:uid="{00000000-0005-0000-0000-000030000000}"/>
    <cellStyle name="Vírgula 3" xfId="34" xr:uid="{00000000-0005-0000-0000-000031000000}"/>
    <cellStyle name="Vírgula 4" xfId="43" xr:uid="{00000000-0005-0000-0000-000032000000}"/>
    <cellStyle name="Vírgula 5" xfId="52" xr:uid="{84614D56-FF20-421A-B696-399C8C8D0271}"/>
  </cellStyles>
  <dxfs count="6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99FF33"/>
      <color rgb="FFECF57D"/>
      <color rgb="FFCCFF33"/>
      <color rgb="FFFFCC66"/>
      <color rgb="FF0099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7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29" Type="http://schemas.openxmlformats.org/officeDocument/2006/relationships/externalLink" Target="externalLinks/externalLink1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6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5.xml"/><Relationship Id="rId28" Type="http://schemas.openxmlformats.org/officeDocument/2006/relationships/externalLink" Target="externalLinks/externalLink10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Relationship Id="rId27" Type="http://schemas.openxmlformats.org/officeDocument/2006/relationships/externalLink" Target="externalLinks/externalLink9.xml"/><Relationship Id="rId30" Type="http://schemas.openxmlformats.org/officeDocument/2006/relationships/externalLink" Target="externalLinks/externalLink12.xml"/><Relationship Id="rId8" Type="http://schemas.openxmlformats.org/officeDocument/2006/relationships/worksheet" Target="worksheets/sheet8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5.jpe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5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5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vmlDrawing16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vmlDrawing17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vmlDrawing18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vmlDrawing19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5.jpeg"/></Relationships>
</file>

<file path=xl/drawings/_rels/vmlDrawing20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2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4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57151</xdr:colOff>
      <xdr:row>61</xdr:row>
      <xdr:rowOff>11301</xdr:rowOff>
    </xdr:from>
    <xdr:to>
      <xdr:col>1</xdr:col>
      <xdr:colOff>4000501</xdr:colOff>
      <xdr:row>64</xdr:row>
      <xdr:rowOff>152401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3351" y="14346426"/>
          <a:ext cx="3943350" cy="71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BDI =     (</a:t>
          </a:r>
          <a:r>
            <a:rPr lang="pt-BR" sz="1100" u="sng"/>
            <a:t>1+AC/100)x(1+DF/100)x(1+R/100)x(1+l/100</a:t>
          </a:r>
          <a:r>
            <a:rPr lang="pt-BR" sz="1100"/>
            <a:t>)  </a:t>
          </a:r>
          <a:r>
            <a:rPr lang="pt-BR" sz="1100" baseline="0"/>
            <a:t> -1        x100</a:t>
          </a:r>
        </a:p>
        <a:p>
          <a:r>
            <a:rPr lang="pt-BR" sz="1100" baseline="0"/>
            <a:t>                                                1-      </a:t>
          </a:r>
          <a:r>
            <a:rPr lang="pt-BR" sz="1100" u="sng" baseline="0"/>
            <a:t>    l   .           </a:t>
          </a:r>
        </a:p>
        <a:p>
          <a:r>
            <a:rPr lang="pt-BR" sz="1100" baseline="0"/>
            <a:t>                                                           100</a:t>
          </a:r>
          <a:endParaRPr lang="pt-BR" sz="1100"/>
        </a:p>
      </xdr:txBody>
    </xdr:sp>
    <xdr:clientData/>
  </xdr:twoCellAnchor>
  <xdr:twoCellAnchor>
    <xdr:from>
      <xdr:col>1</xdr:col>
      <xdr:colOff>581025</xdr:colOff>
      <xdr:row>61</xdr:row>
      <xdr:rowOff>19050</xdr:rowOff>
    </xdr:from>
    <xdr:to>
      <xdr:col>1</xdr:col>
      <xdr:colOff>3190875</xdr:colOff>
      <xdr:row>64</xdr:row>
      <xdr:rowOff>95250</xdr:rowOff>
    </xdr:to>
    <xdr:sp macro="" textlink="">
      <xdr:nvSpPr>
        <xdr:cNvPr id="3" name="Colchete dup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57225" y="14354175"/>
          <a:ext cx="2609850" cy="647700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457200</xdr:colOff>
      <xdr:row>61</xdr:row>
      <xdr:rowOff>0</xdr:rowOff>
    </xdr:from>
    <xdr:to>
      <xdr:col>1</xdr:col>
      <xdr:colOff>3415393</xdr:colOff>
      <xdr:row>64</xdr:row>
      <xdr:rowOff>142874</xdr:rowOff>
    </xdr:to>
    <xdr:sp macro="" textlink="">
      <xdr:nvSpPr>
        <xdr:cNvPr id="4" name="Chave dupla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33400" y="14335125"/>
          <a:ext cx="2958193" cy="714374"/>
        </a:xfrm>
        <a:prstGeom prst="brace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1876425</xdr:colOff>
      <xdr:row>62</xdr:row>
      <xdr:rowOff>95250</xdr:rowOff>
    </xdr:from>
    <xdr:to>
      <xdr:col>1</xdr:col>
      <xdr:colOff>2333625</xdr:colOff>
      <xdr:row>64</xdr:row>
      <xdr:rowOff>57149</xdr:rowOff>
    </xdr:to>
    <xdr:sp macro="" textlink="">
      <xdr:nvSpPr>
        <xdr:cNvPr id="5" name="Colchete dup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952625" y="14620875"/>
          <a:ext cx="457200" cy="342899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1571624</xdr:colOff>
      <xdr:row>62</xdr:row>
      <xdr:rowOff>57150</xdr:rowOff>
    </xdr:from>
    <xdr:to>
      <xdr:col>1</xdr:col>
      <xdr:colOff>2419349</xdr:colOff>
      <xdr:row>64</xdr:row>
      <xdr:rowOff>142875</xdr:rowOff>
    </xdr:to>
    <xdr:sp macro="" textlink="">
      <xdr:nvSpPr>
        <xdr:cNvPr id="6" name="Colchete dupl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647824" y="14582775"/>
          <a:ext cx="847725" cy="466725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975360</xdr:colOff>
          <xdr:row>33</xdr:row>
          <xdr:rowOff>0</xdr:rowOff>
        </xdr:from>
        <xdr:to>
          <xdr:col>2</xdr:col>
          <xdr:colOff>419100</xdr:colOff>
          <xdr:row>37</xdr:row>
          <xdr:rowOff>7620</xdr:rowOff>
        </xdr:to>
        <xdr:sp macro="" textlink="">
          <xdr:nvSpPr>
            <xdr:cNvPr id="52225" name="Object 1" hidden="1">
              <a:extLst>
                <a:ext uri="{63B3BB69-23CF-44E3-9099-C40C66FF867C}">
                  <a14:compatExt spid="_x0000_s52225"/>
                </a:ext>
                <a:ext uri="{FF2B5EF4-FFF2-40B4-BE49-F238E27FC236}">
                  <a16:creationId xmlns:a16="http://schemas.microsoft.com/office/drawing/2014/main" id="{00000000-0008-0000-0000-000001C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404</xdr:row>
      <xdr:rowOff>0</xdr:rowOff>
    </xdr:from>
    <xdr:ext cx="2019300" cy="2644999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3050" y="112185450"/>
          <a:ext cx="2019300" cy="2644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20</xdr:col>
      <xdr:colOff>0</xdr:colOff>
      <xdr:row>404</xdr:row>
      <xdr:rowOff>0</xdr:rowOff>
    </xdr:from>
    <xdr:ext cx="1845406" cy="1895475"/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9970" y="112185450"/>
          <a:ext cx="1845406" cy="189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19</xdr:col>
      <xdr:colOff>0</xdr:colOff>
      <xdr:row>404</xdr:row>
      <xdr:rowOff>0</xdr:rowOff>
    </xdr:from>
    <xdr:ext cx="2019300" cy="2514600"/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2200" y="112185450"/>
          <a:ext cx="2019300" cy="2514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20</xdr:col>
      <xdr:colOff>491489</xdr:colOff>
      <xdr:row>404</xdr:row>
      <xdr:rowOff>0</xdr:rowOff>
    </xdr:from>
    <xdr:ext cx="1845406" cy="1895475"/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2939" y="112185450"/>
          <a:ext cx="1845406" cy="189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19</xdr:col>
      <xdr:colOff>0</xdr:colOff>
      <xdr:row>404</xdr:row>
      <xdr:rowOff>0</xdr:rowOff>
    </xdr:from>
    <xdr:ext cx="2019300" cy="2514600"/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2200" y="112185450"/>
          <a:ext cx="2019300" cy="2514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20</xdr:col>
      <xdr:colOff>491489</xdr:colOff>
      <xdr:row>404</xdr:row>
      <xdr:rowOff>0</xdr:rowOff>
    </xdr:from>
    <xdr:ext cx="1845406" cy="1895475"/>
    <xdr:pic>
      <xdr:nvPicPr>
        <xdr:cNvPr id="7" name="Imagem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2939" y="112185450"/>
          <a:ext cx="1845406" cy="189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57151</xdr:colOff>
      <xdr:row>61</xdr:row>
      <xdr:rowOff>11301</xdr:rowOff>
    </xdr:from>
    <xdr:to>
      <xdr:col>1</xdr:col>
      <xdr:colOff>4000501</xdr:colOff>
      <xdr:row>64</xdr:row>
      <xdr:rowOff>152401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133351" y="14346426"/>
          <a:ext cx="3943350" cy="71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BDI =     (</a:t>
          </a:r>
          <a:r>
            <a:rPr lang="pt-BR" sz="1100" u="sng"/>
            <a:t>1+AC/100)x(1+DF/100)x(1+R/100)x(1+l/100</a:t>
          </a:r>
          <a:r>
            <a:rPr lang="pt-BR" sz="1100"/>
            <a:t>)  </a:t>
          </a:r>
          <a:r>
            <a:rPr lang="pt-BR" sz="1100" baseline="0"/>
            <a:t> -1        x100</a:t>
          </a:r>
        </a:p>
        <a:p>
          <a:r>
            <a:rPr lang="pt-BR" sz="1100" baseline="0"/>
            <a:t>                                                1-      </a:t>
          </a:r>
          <a:r>
            <a:rPr lang="pt-BR" sz="1100" u="sng" baseline="0"/>
            <a:t>    l   .           </a:t>
          </a:r>
        </a:p>
        <a:p>
          <a:r>
            <a:rPr lang="pt-BR" sz="1100" baseline="0"/>
            <a:t>                                                           100</a:t>
          </a:r>
          <a:endParaRPr lang="pt-BR" sz="1100"/>
        </a:p>
      </xdr:txBody>
    </xdr:sp>
    <xdr:clientData/>
  </xdr:twoCellAnchor>
  <xdr:twoCellAnchor>
    <xdr:from>
      <xdr:col>1</xdr:col>
      <xdr:colOff>581025</xdr:colOff>
      <xdr:row>61</xdr:row>
      <xdr:rowOff>19050</xdr:rowOff>
    </xdr:from>
    <xdr:to>
      <xdr:col>1</xdr:col>
      <xdr:colOff>3190875</xdr:colOff>
      <xdr:row>64</xdr:row>
      <xdr:rowOff>95250</xdr:rowOff>
    </xdr:to>
    <xdr:sp macro="" textlink="">
      <xdr:nvSpPr>
        <xdr:cNvPr id="3" name="Colchete dupl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657225" y="14354175"/>
          <a:ext cx="2609850" cy="647700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457200</xdr:colOff>
      <xdr:row>61</xdr:row>
      <xdr:rowOff>0</xdr:rowOff>
    </xdr:from>
    <xdr:to>
      <xdr:col>1</xdr:col>
      <xdr:colOff>3415393</xdr:colOff>
      <xdr:row>64</xdr:row>
      <xdr:rowOff>142874</xdr:rowOff>
    </xdr:to>
    <xdr:sp macro="" textlink="">
      <xdr:nvSpPr>
        <xdr:cNvPr id="4" name="Chave dupla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533400" y="14335125"/>
          <a:ext cx="2958193" cy="714374"/>
        </a:xfrm>
        <a:prstGeom prst="brace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1876425</xdr:colOff>
      <xdr:row>62</xdr:row>
      <xdr:rowOff>95250</xdr:rowOff>
    </xdr:from>
    <xdr:to>
      <xdr:col>1</xdr:col>
      <xdr:colOff>2333625</xdr:colOff>
      <xdr:row>64</xdr:row>
      <xdr:rowOff>57149</xdr:rowOff>
    </xdr:to>
    <xdr:sp macro="" textlink="">
      <xdr:nvSpPr>
        <xdr:cNvPr id="5" name="Colchete dupl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1952625" y="14620875"/>
          <a:ext cx="457200" cy="342899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1571624</xdr:colOff>
      <xdr:row>62</xdr:row>
      <xdr:rowOff>57150</xdr:rowOff>
    </xdr:from>
    <xdr:to>
      <xdr:col>1</xdr:col>
      <xdr:colOff>2419349</xdr:colOff>
      <xdr:row>64</xdr:row>
      <xdr:rowOff>142875</xdr:rowOff>
    </xdr:to>
    <xdr:sp macro="" textlink="">
      <xdr:nvSpPr>
        <xdr:cNvPr id="6" name="Colchete dupl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/>
      </xdr:nvSpPr>
      <xdr:spPr>
        <a:xfrm>
          <a:off x="1647824" y="14582775"/>
          <a:ext cx="847725" cy="466725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975360</xdr:colOff>
          <xdr:row>33</xdr:row>
          <xdr:rowOff>0</xdr:rowOff>
        </xdr:from>
        <xdr:to>
          <xdr:col>2</xdr:col>
          <xdr:colOff>419100</xdr:colOff>
          <xdr:row>37</xdr:row>
          <xdr:rowOff>7620</xdr:rowOff>
        </xdr:to>
        <xdr:sp macro="" textlink="">
          <xdr:nvSpPr>
            <xdr:cNvPr id="51201" name="Object 1" hidden="1">
              <a:extLst>
                <a:ext uri="{63B3BB69-23CF-44E3-9099-C40C66FF867C}">
                  <a14:compatExt spid="_x0000_s51201"/>
                </a:ext>
                <a:ext uri="{FF2B5EF4-FFF2-40B4-BE49-F238E27FC236}">
                  <a16:creationId xmlns:a16="http://schemas.microsoft.com/office/drawing/2014/main" id="{00000000-0008-0000-0800-000001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57151</xdr:colOff>
      <xdr:row>62</xdr:row>
      <xdr:rowOff>11301</xdr:rowOff>
    </xdr:from>
    <xdr:to>
      <xdr:col>1</xdr:col>
      <xdr:colOff>4000501</xdr:colOff>
      <xdr:row>65</xdr:row>
      <xdr:rowOff>152401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133351" y="13432026"/>
          <a:ext cx="3943350" cy="71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BDI =     (</a:t>
          </a:r>
          <a:r>
            <a:rPr lang="pt-BR" sz="1100" u="sng"/>
            <a:t>1+AC/100)x(1+DF/100)x(1+R/100)x(1+l/100</a:t>
          </a:r>
          <a:r>
            <a:rPr lang="pt-BR" sz="1100"/>
            <a:t>)  </a:t>
          </a:r>
          <a:r>
            <a:rPr lang="pt-BR" sz="1100" baseline="0"/>
            <a:t> -1        x100</a:t>
          </a:r>
        </a:p>
        <a:p>
          <a:r>
            <a:rPr lang="pt-BR" sz="1100" baseline="0"/>
            <a:t>                                                1-      </a:t>
          </a:r>
          <a:r>
            <a:rPr lang="pt-BR" sz="1100" u="sng" baseline="0"/>
            <a:t>    l   .           </a:t>
          </a:r>
        </a:p>
        <a:p>
          <a:r>
            <a:rPr lang="pt-BR" sz="1100" baseline="0"/>
            <a:t>                                                           100</a:t>
          </a:r>
          <a:endParaRPr lang="pt-BR" sz="1100"/>
        </a:p>
      </xdr:txBody>
    </xdr:sp>
    <xdr:clientData/>
  </xdr:twoCellAnchor>
  <xdr:twoCellAnchor>
    <xdr:from>
      <xdr:col>1</xdr:col>
      <xdr:colOff>581025</xdr:colOff>
      <xdr:row>62</xdr:row>
      <xdr:rowOff>19050</xdr:rowOff>
    </xdr:from>
    <xdr:to>
      <xdr:col>1</xdr:col>
      <xdr:colOff>3190875</xdr:colOff>
      <xdr:row>65</xdr:row>
      <xdr:rowOff>95250</xdr:rowOff>
    </xdr:to>
    <xdr:sp macro="" textlink="">
      <xdr:nvSpPr>
        <xdr:cNvPr id="3" name="Colchete duplo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657225" y="13439775"/>
          <a:ext cx="2609850" cy="647700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457200</xdr:colOff>
      <xdr:row>62</xdr:row>
      <xdr:rowOff>0</xdr:rowOff>
    </xdr:from>
    <xdr:to>
      <xdr:col>1</xdr:col>
      <xdr:colOff>3415393</xdr:colOff>
      <xdr:row>65</xdr:row>
      <xdr:rowOff>142874</xdr:rowOff>
    </xdr:to>
    <xdr:sp macro="" textlink="">
      <xdr:nvSpPr>
        <xdr:cNvPr id="4" name="Chave dupla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533400" y="13420725"/>
          <a:ext cx="2958193" cy="714374"/>
        </a:xfrm>
        <a:prstGeom prst="brace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1876425</xdr:colOff>
      <xdr:row>63</xdr:row>
      <xdr:rowOff>95250</xdr:rowOff>
    </xdr:from>
    <xdr:to>
      <xdr:col>1</xdr:col>
      <xdr:colOff>2333625</xdr:colOff>
      <xdr:row>65</xdr:row>
      <xdr:rowOff>57149</xdr:rowOff>
    </xdr:to>
    <xdr:sp macro="" textlink="">
      <xdr:nvSpPr>
        <xdr:cNvPr id="5" name="Colchete duplo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1952625" y="13706475"/>
          <a:ext cx="457200" cy="342899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1571624</xdr:colOff>
      <xdr:row>63</xdr:row>
      <xdr:rowOff>57150</xdr:rowOff>
    </xdr:from>
    <xdr:to>
      <xdr:col>1</xdr:col>
      <xdr:colOff>2419349</xdr:colOff>
      <xdr:row>65</xdr:row>
      <xdr:rowOff>142875</xdr:rowOff>
    </xdr:to>
    <xdr:sp macro="" textlink="">
      <xdr:nvSpPr>
        <xdr:cNvPr id="6" name="Colchete duplo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/>
      </xdr:nvSpPr>
      <xdr:spPr>
        <a:xfrm>
          <a:off x="1647824" y="13668375"/>
          <a:ext cx="847725" cy="466725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34</xdr:row>
          <xdr:rowOff>0</xdr:rowOff>
        </xdr:from>
        <xdr:to>
          <xdr:col>1</xdr:col>
          <xdr:colOff>4671060</xdr:colOff>
          <xdr:row>38</xdr:row>
          <xdr:rowOff>7620</xdr:rowOff>
        </xdr:to>
        <xdr:sp macro="" textlink="">
          <xdr:nvSpPr>
            <xdr:cNvPr id="49153" name="Object 1" hidden="1">
              <a:extLst>
                <a:ext uri="{63B3BB69-23CF-44E3-9099-C40C66FF867C}">
                  <a14:compatExt spid="_x0000_s49153"/>
                </a:ext>
                <a:ext uri="{FF2B5EF4-FFF2-40B4-BE49-F238E27FC236}">
                  <a16:creationId xmlns:a16="http://schemas.microsoft.com/office/drawing/2014/main" id="{00000000-0008-0000-0900-000001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57151</xdr:colOff>
      <xdr:row>61</xdr:row>
      <xdr:rowOff>11301</xdr:rowOff>
    </xdr:from>
    <xdr:to>
      <xdr:col>1</xdr:col>
      <xdr:colOff>4000501</xdr:colOff>
      <xdr:row>64</xdr:row>
      <xdr:rowOff>152401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133351" y="14077821"/>
          <a:ext cx="3943350" cy="689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BDI =     (</a:t>
          </a:r>
          <a:r>
            <a:rPr lang="pt-BR" sz="1100" u="sng"/>
            <a:t>1+AC/100)x(1+DF/100)x(1+R/100)x(1+l/100</a:t>
          </a:r>
          <a:r>
            <a:rPr lang="pt-BR" sz="1100"/>
            <a:t>)  </a:t>
          </a:r>
          <a:r>
            <a:rPr lang="pt-BR" sz="1100" baseline="0"/>
            <a:t> -1        x100</a:t>
          </a:r>
        </a:p>
        <a:p>
          <a:r>
            <a:rPr lang="pt-BR" sz="1100" baseline="0"/>
            <a:t>                                                1-      </a:t>
          </a:r>
          <a:r>
            <a:rPr lang="pt-BR" sz="1100" u="sng" baseline="0"/>
            <a:t>    l   .           </a:t>
          </a:r>
        </a:p>
        <a:p>
          <a:r>
            <a:rPr lang="pt-BR" sz="1100" baseline="0"/>
            <a:t>                                                           100</a:t>
          </a:r>
          <a:endParaRPr lang="pt-BR" sz="1100"/>
        </a:p>
      </xdr:txBody>
    </xdr:sp>
    <xdr:clientData/>
  </xdr:twoCellAnchor>
  <xdr:twoCellAnchor>
    <xdr:from>
      <xdr:col>1</xdr:col>
      <xdr:colOff>581025</xdr:colOff>
      <xdr:row>61</xdr:row>
      <xdr:rowOff>19050</xdr:rowOff>
    </xdr:from>
    <xdr:to>
      <xdr:col>1</xdr:col>
      <xdr:colOff>3190875</xdr:colOff>
      <xdr:row>64</xdr:row>
      <xdr:rowOff>95250</xdr:rowOff>
    </xdr:to>
    <xdr:sp macro="" textlink="">
      <xdr:nvSpPr>
        <xdr:cNvPr id="3" name="Colchete duplo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657225" y="14085570"/>
          <a:ext cx="2609850" cy="624840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457200</xdr:colOff>
      <xdr:row>61</xdr:row>
      <xdr:rowOff>0</xdr:rowOff>
    </xdr:from>
    <xdr:to>
      <xdr:col>1</xdr:col>
      <xdr:colOff>3415393</xdr:colOff>
      <xdr:row>64</xdr:row>
      <xdr:rowOff>142874</xdr:rowOff>
    </xdr:to>
    <xdr:sp macro="" textlink="">
      <xdr:nvSpPr>
        <xdr:cNvPr id="4" name="Chave dupla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/>
      </xdr:nvSpPr>
      <xdr:spPr>
        <a:xfrm>
          <a:off x="533400" y="14066520"/>
          <a:ext cx="2958193" cy="691514"/>
        </a:xfrm>
        <a:prstGeom prst="brace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1876425</xdr:colOff>
      <xdr:row>62</xdr:row>
      <xdr:rowOff>95250</xdr:rowOff>
    </xdr:from>
    <xdr:to>
      <xdr:col>1</xdr:col>
      <xdr:colOff>2333625</xdr:colOff>
      <xdr:row>64</xdr:row>
      <xdr:rowOff>57149</xdr:rowOff>
    </xdr:to>
    <xdr:sp macro="" textlink="">
      <xdr:nvSpPr>
        <xdr:cNvPr id="5" name="Colchete duplo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1952625" y="14344650"/>
          <a:ext cx="457200" cy="327659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1571624</xdr:colOff>
      <xdr:row>62</xdr:row>
      <xdr:rowOff>57150</xdr:rowOff>
    </xdr:from>
    <xdr:to>
      <xdr:col>1</xdr:col>
      <xdr:colOff>2419349</xdr:colOff>
      <xdr:row>64</xdr:row>
      <xdr:rowOff>142875</xdr:rowOff>
    </xdr:to>
    <xdr:sp macro="" textlink="">
      <xdr:nvSpPr>
        <xdr:cNvPr id="6" name="Colchete duplo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/>
      </xdr:nvSpPr>
      <xdr:spPr>
        <a:xfrm>
          <a:off x="1647824" y="14306550"/>
          <a:ext cx="847725" cy="451485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975360</xdr:colOff>
          <xdr:row>33</xdr:row>
          <xdr:rowOff>0</xdr:rowOff>
        </xdr:from>
        <xdr:to>
          <xdr:col>2</xdr:col>
          <xdr:colOff>419100</xdr:colOff>
          <xdr:row>37</xdr:row>
          <xdr:rowOff>7620</xdr:rowOff>
        </xdr:to>
        <xdr:sp macro="" textlink="">
          <xdr:nvSpPr>
            <xdr:cNvPr id="63489" name="Object 1" hidden="1">
              <a:extLst>
                <a:ext uri="{63B3BB69-23CF-44E3-9099-C40C66FF867C}">
                  <a14:compatExt spid="_x0000_s63489"/>
                </a:ext>
                <a:ext uri="{FF2B5EF4-FFF2-40B4-BE49-F238E27FC236}">
                  <a16:creationId xmlns:a16="http://schemas.microsoft.com/office/drawing/2014/main" id="{00000000-0008-0000-0A00-000001F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57151</xdr:colOff>
      <xdr:row>61</xdr:row>
      <xdr:rowOff>11301</xdr:rowOff>
    </xdr:from>
    <xdr:to>
      <xdr:col>1</xdr:col>
      <xdr:colOff>4000501</xdr:colOff>
      <xdr:row>64</xdr:row>
      <xdr:rowOff>152401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 txBox="1"/>
      </xdr:nvSpPr>
      <xdr:spPr>
        <a:xfrm>
          <a:off x="133351" y="14077821"/>
          <a:ext cx="3943350" cy="689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BDI =     (</a:t>
          </a:r>
          <a:r>
            <a:rPr lang="pt-BR" sz="1100" u="sng"/>
            <a:t>1+AC/100)x(1+DF/100)x(1+R/100)x(1+l/100</a:t>
          </a:r>
          <a:r>
            <a:rPr lang="pt-BR" sz="1100"/>
            <a:t>)  </a:t>
          </a:r>
          <a:r>
            <a:rPr lang="pt-BR" sz="1100" baseline="0"/>
            <a:t> -1        x100</a:t>
          </a:r>
        </a:p>
        <a:p>
          <a:r>
            <a:rPr lang="pt-BR" sz="1100" baseline="0"/>
            <a:t>                                                1-      </a:t>
          </a:r>
          <a:r>
            <a:rPr lang="pt-BR" sz="1100" u="sng" baseline="0"/>
            <a:t>    l   .           </a:t>
          </a:r>
        </a:p>
        <a:p>
          <a:r>
            <a:rPr lang="pt-BR" sz="1100" baseline="0"/>
            <a:t>                                                           100</a:t>
          </a:r>
          <a:endParaRPr lang="pt-BR" sz="1100"/>
        </a:p>
      </xdr:txBody>
    </xdr:sp>
    <xdr:clientData/>
  </xdr:twoCellAnchor>
  <xdr:twoCellAnchor>
    <xdr:from>
      <xdr:col>1</xdr:col>
      <xdr:colOff>581025</xdr:colOff>
      <xdr:row>61</xdr:row>
      <xdr:rowOff>19050</xdr:rowOff>
    </xdr:from>
    <xdr:to>
      <xdr:col>1</xdr:col>
      <xdr:colOff>3190875</xdr:colOff>
      <xdr:row>64</xdr:row>
      <xdr:rowOff>95250</xdr:rowOff>
    </xdr:to>
    <xdr:sp macro="" textlink="">
      <xdr:nvSpPr>
        <xdr:cNvPr id="3" name="Colchete duplo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657225" y="14085570"/>
          <a:ext cx="2609850" cy="624840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457200</xdr:colOff>
      <xdr:row>61</xdr:row>
      <xdr:rowOff>0</xdr:rowOff>
    </xdr:from>
    <xdr:to>
      <xdr:col>1</xdr:col>
      <xdr:colOff>3415393</xdr:colOff>
      <xdr:row>64</xdr:row>
      <xdr:rowOff>142874</xdr:rowOff>
    </xdr:to>
    <xdr:sp macro="" textlink="">
      <xdr:nvSpPr>
        <xdr:cNvPr id="4" name="Chave dupla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/>
      </xdr:nvSpPr>
      <xdr:spPr>
        <a:xfrm>
          <a:off x="533400" y="14066520"/>
          <a:ext cx="2958193" cy="691514"/>
        </a:xfrm>
        <a:prstGeom prst="brace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1876425</xdr:colOff>
      <xdr:row>62</xdr:row>
      <xdr:rowOff>95250</xdr:rowOff>
    </xdr:from>
    <xdr:to>
      <xdr:col>1</xdr:col>
      <xdr:colOff>2333625</xdr:colOff>
      <xdr:row>64</xdr:row>
      <xdr:rowOff>57149</xdr:rowOff>
    </xdr:to>
    <xdr:sp macro="" textlink="">
      <xdr:nvSpPr>
        <xdr:cNvPr id="5" name="Colchete duplo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/>
      </xdr:nvSpPr>
      <xdr:spPr>
        <a:xfrm>
          <a:off x="1952625" y="14344650"/>
          <a:ext cx="457200" cy="327659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1571624</xdr:colOff>
      <xdr:row>62</xdr:row>
      <xdr:rowOff>57150</xdr:rowOff>
    </xdr:from>
    <xdr:to>
      <xdr:col>1</xdr:col>
      <xdr:colOff>2419349</xdr:colOff>
      <xdr:row>64</xdr:row>
      <xdr:rowOff>142875</xdr:rowOff>
    </xdr:to>
    <xdr:sp macro="" textlink="">
      <xdr:nvSpPr>
        <xdr:cNvPr id="6" name="Colchete duplo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SpPr/>
      </xdr:nvSpPr>
      <xdr:spPr>
        <a:xfrm>
          <a:off x="1647824" y="14306550"/>
          <a:ext cx="847725" cy="451485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975360</xdr:colOff>
          <xdr:row>33</xdr:row>
          <xdr:rowOff>0</xdr:rowOff>
        </xdr:from>
        <xdr:to>
          <xdr:col>2</xdr:col>
          <xdr:colOff>419100</xdr:colOff>
          <xdr:row>37</xdr:row>
          <xdr:rowOff>7620</xdr:rowOff>
        </xdr:to>
        <xdr:sp macro="" textlink="">
          <xdr:nvSpPr>
            <xdr:cNvPr id="64513" name="Object 1" hidden="1">
              <a:extLst>
                <a:ext uri="{63B3BB69-23CF-44E3-9099-C40C66FF867C}">
                  <a14:compatExt spid="_x0000_s64513"/>
                </a:ext>
                <a:ext uri="{FF2B5EF4-FFF2-40B4-BE49-F238E27FC236}">
                  <a16:creationId xmlns:a16="http://schemas.microsoft.com/office/drawing/2014/main" id="{00000000-0008-0000-0F00-000001F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57151</xdr:colOff>
      <xdr:row>62</xdr:row>
      <xdr:rowOff>11301</xdr:rowOff>
    </xdr:from>
    <xdr:to>
      <xdr:col>1</xdr:col>
      <xdr:colOff>4000501</xdr:colOff>
      <xdr:row>65</xdr:row>
      <xdr:rowOff>152401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/>
      </xdr:nvSpPr>
      <xdr:spPr>
        <a:xfrm>
          <a:off x="133351" y="13441551"/>
          <a:ext cx="3943350" cy="71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BDI =     (</a:t>
          </a:r>
          <a:r>
            <a:rPr lang="pt-BR" sz="1100" u="sng"/>
            <a:t>1+AC/100)x(1+DF/100)x(1+R/100)x(1+l/100</a:t>
          </a:r>
          <a:r>
            <a:rPr lang="pt-BR" sz="1100"/>
            <a:t>)  </a:t>
          </a:r>
          <a:r>
            <a:rPr lang="pt-BR" sz="1100" baseline="0"/>
            <a:t> -1        x100</a:t>
          </a:r>
        </a:p>
        <a:p>
          <a:r>
            <a:rPr lang="pt-BR" sz="1100" baseline="0"/>
            <a:t>                                                1-      </a:t>
          </a:r>
          <a:r>
            <a:rPr lang="pt-BR" sz="1100" u="sng" baseline="0"/>
            <a:t>    l   .           </a:t>
          </a:r>
        </a:p>
        <a:p>
          <a:r>
            <a:rPr lang="pt-BR" sz="1100" baseline="0"/>
            <a:t>                                                           100</a:t>
          </a:r>
          <a:endParaRPr lang="pt-BR" sz="1100"/>
        </a:p>
      </xdr:txBody>
    </xdr:sp>
    <xdr:clientData/>
  </xdr:twoCellAnchor>
  <xdr:twoCellAnchor>
    <xdr:from>
      <xdr:col>1</xdr:col>
      <xdr:colOff>581025</xdr:colOff>
      <xdr:row>62</xdr:row>
      <xdr:rowOff>19050</xdr:rowOff>
    </xdr:from>
    <xdr:to>
      <xdr:col>1</xdr:col>
      <xdr:colOff>3190875</xdr:colOff>
      <xdr:row>65</xdr:row>
      <xdr:rowOff>95250</xdr:rowOff>
    </xdr:to>
    <xdr:sp macro="" textlink="">
      <xdr:nvSpPr>
        <xdr:cNvPr id="3" name="Colchete duplo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/>
      </xdr:nvSpPr>
      <xdr:spPr>
        <a:xfrm>
          <a:off x="657225" y="13449300"/>
          <a:ext cx="2609850" cy="647700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457200</xdr:colOff>
      <xdr:row>62</xdr:row>
      <xdr:rowOff>0</xdr:rowOff>
    </xdr:from>
    <xdr:to>
      <xdr:col>1</xdr:col>
      <xdr:colOff>3415393</xdr:colOff>
      <xdr:row>65</xdr:row>
      <xdr:rowOff>142874</xdr:rowOff>
    </xdr:to>
    <xdr:sp macro="" textlink="">
      <xdr:nvSpPr>
        <xdr:cNvPr id="4" name="Chave dupla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/>
      </xdr:nvSpPr>
      <xdr:spPr>
        <a:xfrm>
          <a:off x="533400" y="13430250"/>
          <a:ext cx="2958193" cy="714374"/>
        </a:xfrm>
        <a:prstGeom prst="brace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1876425</xdr:colOff>
      <xdr:row>63</xdr:row>
      <xdr:rowOff>95250</xdr:rowOff>
    </xdr:from>
    <xdr:to>
      <xdr:col>1</xdr:col>
      <xdr:colOff>2333625</xdr:colOff>
      <xdr:row>65</xdr:row>
      <xdr:rowOff>57149</xdr:rowOff>
    </xdr:to>
    <xdr:sp macro="" textlink="">
      <xdr:nvSpPr>
        <xdr:cNvPr id="5" name="Colchete duplo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/>
      </xdr:nvSpPr>
      <xdr:spPr>
        <a:xfrm>
          <a:off x="1952625" y="13716000"/>
          <a:ext cx="457200" cy="342899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1571624</xdr:colOff>
      <xdr:row>63</xdr:row>
      <xdr:rowOff>57150</xdr:rowOff>
    </xdr:from>
    <xdr:to>
      <xdr:col>1</xdr:col>
      <xdr:colOff>2419349</xdr:colOff>
      <xdr:row>65</xdr:row>
      <xdr:rowOff>142875</xdr:rowOff>
    </xdr:to>
    <xdr:sp macro="" textlink="">
      <xdr:nvSpPr>
        <xdr:cNvPr id="6" name="Colchete duplo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1647824" y="13677900"/>
          <a:ext cx="847725" cy="466725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34</xdr:row>
          <xdr:rowOff>0</xdr:rowOff>
        </xdr:from>
        <xdr:to>
          <xdr:col>1</xdr:col>
          <xdr:colOff>4671060</xdr:colOff>
          <xdr:row>38</xdr:row>
          <xdr:rowOff>7620</xdr:rowOff>
        </xdr:to>
        <xdr:sp macro="" textlink="">
          <xdr:nvSpPr>
            <xdr:cNvPr id="48129" name="Object 1" hidden="1">
              <a:extLst>
                <a:ext uri="{63B3BB69-23CF-44E3-9099-C40C66FF867C}">
                  <a14:compatExt spid="_x0000_s48129"/>
                </a:ext>
                <a:ext uri="{FF2B5EF4-FFF2-40B4-BE49-F238E27FC236}">
                  <a16:creationId xmlns:a16="http://schemas.microsoft.com/office/drawing/2014/main" id="{00000000-0008-0000-1000-000001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CORC\Usuarios\Marcus\SAA%20NovoHorizonte%20REV%20O1%20-%202806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FERNANDO\Downloads\Sec.%20Direitos%20Humanos\Ger&#234;ncia%20de%20Projetos\UFRPE\44.003%20-%20Pr&#233;dio%20de%206%20pavimentos\CD%20-%20VERS&#195;O%20FINAL25-09-07\PR&#201;DIO%20DE%206%20PAVIMENTOS\OR&#199;AMENTOS\orca-elet-refinaria%20por%20bloco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sers\FERNANDO\Downloads\Sec.%20Direitos%20Humanos\Ger&#234;ncia%20de%20Projetos\UFRPE\44.003%20-%20Pr&#233;dio%20de%206%20pavimentos\CD%20-%20VERS&#195;O%20FINAL25-09-07\PR&#201;DIO%20DE%206%20PAVIMENTOS\OR&#199;AMENTOS\orca-elet-refinaria%20por%20bloc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ERNANDO/Downloads/Sec.%20Direitos%20Humanos/Ger&#234;ncia%20de%20Projetos/UFRPE/44.003%20-%20Pr&#233;dio%20de%206%20pavimentos/CD%20-%20VERS&#195;O%20FINAL25-09-07/PR&#201;DIO%20DE%206%20PAVIMENTOS/OR&#199;AMENTOS/orca-elet-refinaria%20por%20bloco.xls" TargetMode="External"/></Relationships>
</file>

<file path=xl/externalLinks/_rels/externalLink1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rist\AppData\Roaming\Microsoft\AddIns\VExtensoFree.xla" TargetMode="External"/><Relationship Id="rId1" Type="http://schemas.openxmlformats.org/officeDocument/2006/relationships/externalLinkPath" Target="/Users/erist/AppData/Roaming/Microsoft/AddIns/VExtensoFree.xla" TargetMode="External"/></Relationships>
</file>

<file path=xl/externalLinks/_rels/externalLink12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C:\DEPARTAMENTO%20DE%20ENGENHARIA\JO&#195;O%20ALFREDO\OBRAS_2022\Conclus&#227;o%20da%20Constru&#231;&#227;o%20de%203%20Quadras%20Modelo%2002%20FNDE\Gest&#227;o%20atual\(Lote%2002)%20Escola%20Andr&#233;%20Filho%20-%20Lagoa%20Funda\Medi&#231;&#245;es\3&#170;%20Reprograma&#231;&#227;o\3&#170;Reprograma&#231;&#227;o_Quadra%20Andr&#233;%20Filho_rev01.xlsx" TargetMode="External"/><Relationship Id="rId2" Type="http://schemas.microsoft.com/office/2019/04/relationships/externalLinkLongPath" Target="/DEPARTAMENTO%20DE%20ENGENHARIA/JO&#195;O%20ALFREDO/OBRAS_2022/Conclus&#227;o%20da%20Constru&#231;&#227;o%20de%203%20Quadras%20Modelo%2002%20FNDE/Gest&#227;o%20atual/(Lote%2002)%20Escola%20Andr&#233;%20Filho%20-%20Lagoa%20Funda/Medi&#231;&#245;es/3&#170;%20Reprograma&#231;&#227;o/3&#170;Reprograma&#231;&#227;o_Quadra%20Andr&#233;%20Filho_rev01.xlsx?3A756941" TargetMode="External"/><Relationship Id="rId1" Type="http://schemas.openxmlformats.org/officeDocument/2006/relationships/externalLinkPath" Target="file:///\\3A756941\3&#170;Reprograma&#231;&#227;o_Quadra%20Andr&#233;%20Filho_rev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  <sheetName val="Caracteristicas 1"/>
      <sheetName val="06.05"/>
      <sheetName val="Serviços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teat-mus"/>
      <sheetName val="arte"/>
      <sheetName val="Lanchonete"/>
      <sheetName val="Loja 1"/>
      <sheetName val="Loja 2"/>
      <sheetName val="terraço de ativ."/>
      <sheetName val="se-ilum ext"/>
      <sheetName val="BM 01"/>
      <sheetName val="MEMORIA BM 01"/>
      <sheetName val="GERAL - COM DESONERAÇÃO"/>
      <sheetName val="GERAL - SEM DESONERAÇÃO"/>
      <sheetName val="ORCAMENTO COM DES"/>
      <sheetName val="MEM CÁLC COM DES"/>
      <sheetName val="_RESUMO COMPARATIVO_"/>
      <sheetName val="CRONOGRAMA "/>
      <sheetName val="BDI_PAV_26,01_NOVA_CPRB"/>
      <sheetName val="BDI_PAV_20,00_NOVA_CPRB"/>
      <sheetName val="BM 1"/>
      <sheetName val="MEMÓRIA DO BM1"/>
      <sheetName val="MEMÓRIA DO BM2"/>
      <sheetName val="BM 2"/>
      <sheetName val="MEMÓRIA DO BM3"/>
      <sheetName val="BM 3"/>
      <sheetName val="CRONOGRAMA"/>
      <sheetName val="Planilha1"/>
      <sheetName val="Plan1"/>
    </sheetNames>
    <sheetDataSet>
      <sheetData sheetId="0" refreshError="1">
        <row r="1">
          <cell r="B1" t="str">
            <v>18.01</v>
          </cell>
        </row>
        <row r="2">
          <cell r="B2" t="str">
            <v>18.01.005</v>
          </cell>
          <cell r="C2" t="str">
            <v>Fio de cobre nu, tempera meio-duro, classe 1A S.M. - 10 mm², inclusive assentamento.</v>
          </cell>
          <cell r="D2" t="str">
            <v>m</v>
          </cell>
          <cell r="F2">
            <v>1.84</v>
          </cell>
          <cell r="G2">
            <v>0</v>
          </cell>
        </row>
        <row r="3">
          <cell r="B3" t="str">
            <v>18.01.010</v>
          </cell>
          <cell r="C3" t="str">
            <v>Fio de cobre, tempera meio-duro, classe 1, com cobertura de PVC, tipo WPP, S.M. - 4 mm², inclusive assentamento.</v>
          </cell>
          <cell r="D3" t="str">
            <v>m</v>
          </cell>
          <cell r="F3">
            <v>0.97</v>
          </cell>
          <cell r="G3">
            <v>0</v>
          </cell>
        </row>
        <row r="4">
          <cell r="B4" t="str">
            <v>18.01.015</v>
          </cell>
          <cell r="C4" t="str">
            <v>Desativação da rede elétrica existente.</v>
          </cell>
          <cell r="D4" t="str">
            <v>vb</v>
          </cell>
          <cell r="F4">
            <v>283.14</v>
          </cell>
        </row>
        <row r="5">
          <cell r="B5" t="str">
            <v>18.01.016</v>
          </cell>
          <cell r="C5" t="str">
            <v>Revisão do circuito elétrico que alimenta as luminárias para lâmpadas vapor mercúrio (aproveitamento de 90 % da fiação existente).</v>
          </cell>
          <cell r="D5" t="str">
            <v>vb</v>
          </cell>
          <cell r="F5">
            <v>613.08000000000004</v>
          </cell>
        </row>
        <row r="6">
          <cell r="B6" t="str">
            <v>18.01.020</v>
          </cell>
          <cell r="C6" t="str">
            <v>Fio de cobre, tempera meio-duro, classe 1, com cobertura de PVC, tipo WPP, S.M. - 6 mm², inclusive assentamento.</v>
          </cell>
          <cell r="D6" t="str">
            <v>m</v>
          </cell>
          <cell r="F6">
            <v>1.1599999999999999</v>
          </cell>
          <cell r="G6">
            <v>0</v>
          </cell>
        </row>
        <row r="7">
          <cell r="B7" t="str">
            <v>18.01.025</v>
          </cell>
          <cell r="C7" t="str">
            <v>Fio de cobre, tempera meio-duro, classe 1, com cobertura de PVC, tipo WPP, S.M. - 10 mm², inclusive assentamento.</v>
          </cell>
          <cell r="D7" t="str">
            <v>m</v>
          </cell>
          <cell r="F7">
            <v>1.62</v>
          </cell>
          <cell r="G7">
            <v>0</v>
          </cell>
        </row>
        <row r="8">
          <cell r="B8" t="str">
            <v>18.01.030</v>
          </cell>
          <cell r="C8" t="str">
            <v>Cabo de cobre, tempera meio-duro, encordoamento classe 2, com cobertura de PVC, tipo WPP, S.M. - 10 mm², inclusive assentamento.</v>
          </cell>
          <cell r="D8" t="str">
            <v>m</v>
          </cell>
          <cell r="F8">
            <v>1.64</v>
          </cell>
          <cell r="G8">
            <v>0</v>
          </cell>
        </row>
        <row r="9">
          <cell r="B9" t="str">
            <v>18.01.040</v>
          </cell>
          <cell r="C9" t="str">
            <v>Cabo de cobre, tempera meio-duro, encordoamento classe 2, com cobertura de PVC, tipo WPP, S.M. - 16 mm², inclusive assentamento.</v>
          </cell>
          <cell r="D9" t="str">
            <v>m</v>
          </cell>
          <cell r="F9">
            <v>2.44</v>
          </cell>
          <cell r="G9">
            <v>0</v>
          </cell>
        </row>
        <row r="10">
          <cell r="B10" t="str">
            <v>18.01.050</v>
          </cell>
          <cell r="C10" t="str">
            <v>Cabo de cobre, tempera meio-duro, encordoamento classe 2, com cobertura de PVC, tipo WPP, S.M. - 25 mm², inclusive assentamento.</v>
          </cell>
          <cell r="D10" t="str">
            <v>m</v>
          </cell>
          <cell r="F10">
            <v>3.24</v>
          </cell>
          <cell r="G10">
            <v>0</v>
          </cell>
        </row>
        <row r="11">
          <cell r="B11" t="str">
            <v>18.01.060</v>
          </cell>
          <cell r="C11" t="str">
            <v xml:space="preserve">Fornecimento e instalação de cabo de cobre nutrancado e asete fios, de tempera mole, bitola de 16 mm2. </v>
          </cell>
          <cell r="D11" t="str">
            <v>m</v>
          </cell>
          <cell r="F11">
            <v>3.4</v>
          </cell>
          <cell r="G11">
            <v>0</v>
          </cell>
        </row>
        <row r="13">
          <cell r="B13" t="str">
            <v>18.02</v>
          </cell>
        </row>
        <row r="14">
          <cell r="B14" t="str">
            <v>18.02.005</v>
          </cell>
          <cell r="C14" t="str">
            <v>Colocação de poste de ferro</v>
          </cell>
          <cell r="D14" t="str">
            <v>m</v>
          </cell>
          <cell r="F14">
            <v>6.51</v>
          </cell>
          <cell r="G14">
            <v>0</v>
          </cell>
        </row>
        <row r="15">
          <cell r="B15" t="str">
            <v>18.02.010</v>
          </cell>
          <cell r="C15" t="str">
            <v>Retirada de postes de concreto secção duplo T200 / 8 com engastamento direto no solo de 1,40 m (Poste 184-570, 18570 e mais dois sem identificação)</v>
          </cell>
          <cell r="D15" t="str">
            <v>un</v>
          </cell>
          <cell r="F15">
            <v>51.97</v>
          </cell>
          <cell r="G15">
            <v>0</v>
          </cell>
        </row>
        <row r="16">
          <cell r="B16" t="str">
            <v>18.02.020</v>
          </cell>
          <cell r="C16" t="str">
            <v>Poste de concreto secção duplo T, 100/8, com engastamento direto no solo de 1,40 m, inclusive colocação.</v>
          </cell>
          <cell r="D16" t="str">
            <v>un</v>
          </cell>
          <cell r="F16">
            <v>141.27000000000001</v>
          </cell>
          <cell r="G16">
            <v>0</v>
          </cell>
        </row>
        <row r="17">
          <cell r="B17" t="str">
            <v>18.02.025</v>
          </cell>
          <cell r="C17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7" t="str">
            <v>un</v>
          </cell>
          <cell r="F17">
            <v>239.88</v>
          </cell>
          <cell r="G17">
            <v>0</v>
          </cell>
        </row>
        <row r="18">
          <cell r="B18" t="str">
            <v>18.02.026</v>
          </cell>
          <cell r="C18" t="str">
            <v>Deslocamento de poste.</v>
          </cell>
          <cell r="D18" t="str">
            <v>un</v>
          </cell>
          <cell r="F18">
            <v>67.33</v>
          </cell>
          <cell r="G18">
            <v>0</v>
          </cell>
        </row>
        <row r="19">
          <cell r="B19" t="str">
            <v>18.02.030</v>
          </cell>
          <cell r="C19" t="str">
            <v>Poste de concreto secção duplo T, 200/8, com engastamento direto no solo de 1,40 m, inclusive colocação.</v>
          </cell>
          <cell r="D19" t="str">
            <v>un</v>
          </cell>
          <cell r="F19">
            <v>160.6</v>
          </cell>
          <cell r="G19">
            <v>0</v>
          </cell>
        </row>
        <row r="20">
          <cell r="B20" t="str">
            <v>18.02.040</v>
          </cell>
          <cell r="C20" t="str">
            <v>Poste de concreto secção duplo T, 200/12, com engastamento direto no solo de 1,80 m, inclusive colocação.</v>
          </cell>
          <cell r="D20" t="str">
            <v>un</v>
          </cell>
          <cell r="F20">
            <v>264.32</v>
          </cell>
          <cell r="G20">
            <v>0</v>
          </cell>
        </row>
        <row r="21">
          <cell r="B21" t="str">
            <v>18.02.045</v>
          </cell>
          <cell r="C21" t="str">
            <v>Poste de concreto secção duplo T, 300/8, com engastamento direto no solo de 1,40 m, inclusive colocação.</v>
          </cell>
          <cell r="D21" t="str">
            <v>un</v>
          </cell>
          <cell r="F21">
            <v>193.4</v>
          </cell>
          <cell r="G21">
            <v>0</v>
          </cell>
        </row>
        <row r="22">
          <cell r="B22" t="str">
            <v>18.02.050</v>
          </cell>
          <cell r="C22" t="str">
            <v>Poste de concreto secção duplo T, 300/12, com engastamento direto no solo de 1,80 m, inclusive colocação.</v>
          </cell>
          <cell r="D22" t="str">
            <v>un</v>
          </cell>
          <cell r="F22">
            <v>55.74</v>
          </cell>
          <cell r="G22">
            <v>0</v>
          </cell>
        </row>
        <row r="23">
          <cell r="B23" t="str">
            <v>18.02.051</v>
          </cell>
          <cell r="C23" t="str">
            <v xml:space="preserve">Super poste de concreto armado circular com altura de 20 m. </v>
          </cell>
          <cell r="D23" t="str">
            <v>un</v>
          </cell>
          <cell r="F23">
            <v>2209.3200000000002</v>
          </cell>
          <cell r="G23">
            <v>0</v>
          </cell>
        </row>
        <row r="24">
          <cell r="B24" t="str">
            <v>18.02.060</v>
          </cell>
          <cell r="C24" t="str">
            <v>Poste de concreto c/ seção circular c/ iluminação de 3 pétalas c/ altura de 8 m inclusive colocação, fixação e base de concreto p/ fixação</v>
          </cell>
          <cell r="D24" t="str">
            <v>un</v>
          </cell>
          <cell r="F24">
            <v>888.06</v>
          </cell>
        </row>
        <row r="25">
          <cell r="B25" t="str">
            <v>18.02.070</v>
          </cell>
          <cell r="C25" t="str">
            <v>Poste ornamental.</v>
          </cell>
          <cell r="D25" t="str">
            <v>un</v>
          </cell>
          <cell r="F25">
            <v>210.72</v>
          </cell>
        </row>
        <row r="26">
          <cell r="B26" t="str">
            <v>18.02.071</v>
          </cell>
          <cell r="C26" t="str">
            <v>Poste em concreto vibrado seção circular 9 m - 200 kg</v>
          </cell>
          <cell r="D26" t="str">
            <v>un</v>
          </cell>
          <cell r="F26">
            <v>216</v>
          </cell>
        </row>
        <row r="27">
          <cell r="B27" t="str">
            <v>18.02.080</v>
          </cell>
          <cell r="C27" t="str">
            <v>Fornecimento e instalação de rele fotoelétrico, 1000 w - 220 v.</v>
          </cell>
          <cell r="D27" t="str">
            <v>un</v>
          </cell>
          <cell r="F27">
            <v>18</v>
          </cell>
        </row>
        <row r="29">
          <cell r="B29" t="str">
            <v>18.03</v>
          </cell>
        </row>
        <row r="30">
          <cell r="B30" t="str">
            <v>18.03.010</v>
          </cell>
          <cell r="C30" t="str">
            <v>Estrutura secundária B1 completa, inclusive fixação.</v>
          </cell>
          <cell r="D30" t="str">
            <v>un</v>
          </cell>
          <cell r="F30">
            <v>29.1</v>
          </cell>
          <cell r="G30">
            <v>0</v>
          </cell>
        </row>
        <row r="31">
          <cell r="B31" t="str">
            <v>18.03.015</v>
          </cell>
          <cell r="C31" t="str">
            <v>Estrutura secundária B2 completa, inclusive fixação.</v>
          </cell>
          <cell r="D31" t="str">
            <v>un</v>
          </cell>
          <cell r="F31">
            <v>35.21</v>
          </cell>
          <cell r="G31">
            <v>0</v>
          </cell>
        </row>
        <row r="32">
          <cell r="B32" t="str">
            <v>18.03.020</v>
          </cell>
          <cell r="C32" t="str">
            <v>Estrutura secundária B3 completa, inclusive fixação.</v>
          </cell>
          <cell r="D32" t="str">
            <v>un</v>
          </cell>
          <cell r="F32">
            <v>59.23</v>
          </cell>
          <cell r="G32">
            <v>0</v>
          </cell>
        </row>
        <row r="33">
          <cell r="B33" t="str">
            <v>18.03.030</v>
          </cell>
          <cell r="C33" t="str">
            <v>Estrutura secundária B4 completa, inclusive fixação.</v>
          </cell>
          <cell r="D33" t="str">
            <v>un</v>
          </cell>
          <cell r="F33">
            <v>65.989999999999995</v>
          </cell>
          <cell r="G33">
            <v>0</v>
          </cell>
        </row>
        <row r="34">
          <cell r="B34" t="str">
            <v>18.03.031</v>
          </cell>
          <cell r="C34" t="str">
            <v>Cabo de iluminação 1/0 AWG - NU</v>
          </cell>
          <cell r="D34" t="str">
            <v>m</v>
          </cell>
          <cell r="F34">
            <v>19.54</v>
          </cell>
          <cell r="G34">
            <v>0</v>
          </cell>
        </row>
        <row r="35">
          <cell r="B35" t="str">
            <v>18.03.032</v>
          </cell>
          <cell r="C35" t="str">
            <v>Isoladores tipo castanha</v>
          </cell>
          <cell r="D35" t="str">
            <v>un</v>
          </cell>
          <cell r="F35">
            <v>17.399999999999999</v>
          </cell>
          <cell r="G35">
            <v>0</v>
          </cell>
        </row>
        <row r="36">
          <cell r="B36" t="str">
            <v>18.03.033</v>
          </cell>
          <cell r="C36" t="str">
            <v>Foto célula tipo NA.</v>
          </cell>
          <cell r="D36" t="str">
            <v>un</v>
          </cell>
          <cell r="F36">
            <v>12.77</v>
          </cell>
          <cell r="G36">
            <v>0</v>
          </cell>
        </row>
        <row r="38">
          <cell r="B38" t="str">
            <v>18.04</v>
          </cell>
        </row>
        <row r="39">
          <cell r="B39" t="str">
            <v>18.04.010</v>
          </cell>
          <cell r="C39" t="str">
            <v>Eletroduto de ferro galvanizado de 3/4 pol., inclusive assentamento.</v>
          </cell>
          <cell r="D39" t="str">
            <v>m</v>
          </cell>
          <cell r="F39">
            <v>4.9000000000000004</v>
          </cell>
          <cell r="G39">
            <v>0</v>
          </cell>
        </row>
        <row r="40">
          <cell r="B40" t="str">
            <v>18.04.020</v>
          </cell>
          <cell r="C40" t="str">
            <v>Eletroduto de ferro galvanizado de 1 pol., inclusive assentamento.</v>
          </cell>
          <cell r="D40" t="str">
            <v>m</v>
          </cell>
          <cell r="F40">
            <v>7.43</v>
          </cell>
          <cell r="G40">
            <v>0</v>
          </cell>
        </row>
        <row r="41">
          <cell r="B41" t="str">
            <v>18.04.030</v>
          </cell>
          <cell r="C41" t="str">
            <v>Eletroduto de ferro galvanizado de 1 1/2 pol., inclusive assentamento.</v>
          </cell>
          <cell r="D41" t="str">
            <v>m</v>
          </cell>
          <cell r="F41">
            <v>11.76</v>
          </cell>
          <cell r="G41">
            <v>0</v>
          </cell>
        </row>
        <row r="42">
          <cell r="B42" t="str">
            <v>18.04.040</v>
          </cell>
          <cell r="C42" t="str">
            <v>Eletroduto de ferro galvanizado de 2 pol., inclusive assentamento.</v>
          </cell>
          <cell r="D42" t="str">
            <v>m</v>
          </cell>
          <cell r="F42">
            <v>15.46</v>
          </cell>
          <cell r="G42">
            <v>0</v>
          </cell>
        </row>
        <row r="43">
          <cell r="B43" t="str">
            <v>18.04.050</v>
          </cell>
          <cell r="C43" t="str">
            <v>Eletroduto de ferro galvanizado de 2 1/2 pol., inclusive assentamento.</v>
          </cell>
          <cell r="D43" t="str">
            <v>m</v>
          </cell>
          <cell r="F43">
            <v>23.01</v>
          </cell>
          <cell r="G43">
            <v>0</v>
          </cell>
        </row>
        <row r="44">
          <cell r="B44" t="str">
            <v>18.04.060</v>
          </cell>
          <cell r="C44" t="str">
            <v>Eletroduto de ferro galvanizado de 4 pol., inclusive assentamento.</v>
          </cell>
          <cell r="D44" t="str">
            <v>m</v>
          </cell>
          <cell r="F44">
            <v>37.299999999999997</v>
          </cell>
          <cell r="G44">
            <v>0</v>
          </cell>
        </row>
        <row r="45">
          <cell r="B45" t="str">
            <v>18.04.061</v>
          </cell>
          <cell r="C45" t="str">
            <v>Eletroduto de PVC rígido de 11/2" com luva de rosca interna, inclusive assentamento</v>
          </cell>
          <cell r="D45" t="str">
            <v>un</v>
          </cell>
          <cell r="F45">
            <v>6.33</v>
          </cell>
        </row>
        <row r="47">
          <cell r="B47" t="str">
            <v>18.05</v>
          </cell>
        </row>
        <row r="48">
          <cell r="B48" t="str">
            <v>18.05.010</v>
          </cell>
          <cell r="C48" t="str">
            <v>Curva de ferro galvanizado de 3/4 pol., inclusive assentamento.</v>
          </cell>
          <cell r="D48" t="str">
            <v>un</v>
          </cell>
          <cell r="F48">
            <v>3.1</v>
          </cell>
          <cell r="G48">
            <v>0</v>
          </cell>
        </row>
        <row r="49">
          <cell r="B49" t="str">
            <v>18.05.020</v>
          </cell>
          <cell r="C49" t="str">
            <v>Curva de ferro galvanizado de 1 pol., inclusive assentamento.</v>
          </cell>
          <cell r="D49" t="str">
            <v>un</v>
          </cell>
          <cell r="F49">
            <v>4.53</v>
          </cell>
          <cell r="G49">
            <v>0</v>
          </cell>
        </row>
        <row r="50">
          <cell r="B50" t="str">
            <v>18.05.030</v>
          </cell>
          <cell r="C50" t="str">
            <v>Curva de ferro galvanizado de 1 1/2 pol., inclusive assentamento.</v>
          </cell>
          <cell r="D50" t="str">
            <v>un</v>
          </cell>
          <cell r="F50">
            <v>10.41</v>
          </cell>
          <cell r="G50">
            <v>0</v>
          </cell>
        </row>
        <row r="51">
          <cell r="B51" t="str">
            <v>18.05.040</v>
          </cell>
          <cell r="C51" t="str">
            <v>Curva de ferro galvanizado de 2 pol., inclusive assentamento.</v>
          </cell>
          <cell r="D51" t="str">
            <v>un</v>
          </cell>
          <cell r="F51">
            <v>16.78</v>
          </cell>
          <cell r="G51">
            <v>0</v>
          </cell>
        </row>
        <row r="52">
          <cell r="B52" t="str">
            <v>18.05.050</v>
          </cell>
          <cell r="C52" t="str">
            <v>Curva de ferro galvanizado de 2 1/2 pol., inclusive assentamento.</v>
          </cell>
          <cell r="D52" t="str">
            <v>un</v>
          </cell>
          <cell r="F52">
            <v>36.65</v>
          </cell>
          <cell r="G52">
            <v>0</v>
          </cell>
        </row>
        <row r="53">
          <cell r="B53" t="str">
            <v>18.05.060</v>
          </cell>
          <cell r="C53" t="str">
            <v>Curva de ferro galvanizado de 4 pol., inclusive assentamento.</v>
          </cell>
          <cell r="D53" t="str">
            <v>un</v>
          </cell>
          <cell r="F53">
            <v>76.64</v>
          </cell>
          <cell r="G53">
            <v>0</v>
          </cell>
        </row>
        <row r="54">
          <cell r="B54" t="str">
            <v>18.05.065</v>
          </cell>
          <cell r="C54" t="str">
            <v>Fornecimento e assentamento de haste de aterramento 5/8" x 2,40 m coppereweld</v>
          </cell>
          <cell r="D54" t="str">
            <v>un</v>
          </cell>
          <cell r="F54">
            <v>22.22</v>
          </cell>
        </row>
        <row r="56">
          <cell r="B56" t="str">
            <v>18.06</v>
          </cell>
        </row>
        <row r="57">
          <cell r="B57" t="str">
            <v>18.06.010</v>
          </cell>
          <cell r="C57" t="str">
            <v>Luva de ferro galvanizado de 3/4 pol., inclusive assentamento.</v>
          </cell>
          <cell r="D57" t="str">
            <v>un</v>
          </cell>
          <cell r="F57">
            <v>1.1299999999999999</v>
          </cell>
          <cell r="G57">
            <v>0</v>
          </cell>
        </row>
        <row r="58">
          <cell r="B58" t="str">
            <v>18.06.020</v>
          </cell>
          <cell r="C58" t="str">
            <v>Luva de ferro galvanizado de 1 pol., inclusive assentamento.</v>
          </cell>
          <cell r="D58" t="str">
            <v>un</v>
          </cell>
          <cell r="F58">
            <v>1.68</v>
          </cell>
          <cell r="G58">
            <v>0</v>
          </cell>
        </row>
        <row r="59">
          <cell r="B59" t="str">
            <v>18.06.030</v>
          </cell>
          <cell r="C59" t="str">
            <v>Luva de ferro galvanizado de 1 1/2 pol., inclusive assentamento.</v>
          </cell>
          <cell r="D59" t="str">
            <v>un</v>
          </cell>
          <cell r="F59">
            <v>2.91</v>
          </cell>
          <cell r="G59">
            <v>0</v>
          </cell>
        </row>
        <row r="60">
          <cell r="B60" t="str">
            <v>18.06.040</v>
          </cell>
          <cell r="C60" t="str">
            <v>Luva de ferro galvanizado de 2 pol., inclusive assentamento.</v>
          </cell>
          <cell r="D60" t="str">
            <v>un</v>
          </cell>
          <cell r="F60">
            <v>4.05</v>
          </cell>
          <cell r="G60">
            <v>0</v>
          </cell>
        </row>
        <row r="61">
          <cell r="B61" t="str">
            <v>18.06.050</v>
          </cell>
          <cell r="C61" t="str">
            <v>Luva de ferro galvanizado de 2 1/2 pol., inclusive assentamento.</v>
          </cell>
          <cell r="D61" t="str">
            <v>un</v>
          </cell>
          <cell r="F61">
            <v>7.16</v>
          </cell>
          <cell r="G61">
            <v>0</v>
          </cell>
        </row>
        <row r="62">
          <cell r="B62" t="str">
            <v>18.06.060</v>
          </cell>
          <cell r="C62" t="str">
            <v>Luva de ferro galvanizado de 4 pol., inclusive assentamento.</v>
          </cell>
          <cell r="D62" t="str">
            <v>un</v>
          </cell>
          <cell r="F62">
            <v>13.42</v>
          </cell>
          <cell r="G62">
            <v>0</v>
          </cell>
        </row>
        <row r="63">
          <cell r="B63" t="str">
            <v>18.06.061</v>
          </cell>
          <cell r="C63" t="str">
            <v>Luva de PVC rígido diâmetro de 2".</v>
          </cell>
          <cell r="D63" t="str">
            <v>un</v>
          </cell>
          <cell r="F63">
            <v>1.93</v>
          </cell>
          <cell r="G63">
            <v>0</v>
          </cell>
        </row>
        <row r="64">
          <cell r="B64" t="str">
            <v>18.06.062</v>
          </cell>
          <cell r="C64" t="str">
            <v>Luva de emenda para cabo 10 mm</v>
          </cell>
          <cell r="D64" t="str">
            <v>un</v>
          </cell>
          <cell r="F64">
            <v>0.35</v>
          </cell>
        </row>
        <row r="66">
          <cell r="B66" t="str">
            <v>18.07</v>
          </cell>
        </row>
        <row r="67">
          <cell r="B67" t="str">
            <v>18.07.010</v>
          </cell>
          <cell r="C67" t="str">
            <v>Jogo de bucha e arruela de alumínio de 1/2 pol., inclusive fixação.</v>
          </cell>
          <cell r="D67" t="str">
            <v>cj</v>
          </cell>
          <cell r="F67">
            <v>0.27</v>
          </cell>
          <cell r="G67">
            <v>0</v>
          </cell>
        </row>
        <row r="68">
          <cell r="B68" t="str">
            <v>18.07.020</v>
          </cell>
          <cell r="C68" t="str">
            <v>Jogo de bucha e arruela de alumínio de 3/4 pol., inclusive fixação.</v>
          </cell>
          <cell r="D68" t="str">
            <v>cj</v>
          </cell>
          <cell r="F68">
            <v>0.28999999999999998</v>
          </cell>
          <cell r="G68">
            <v>0</v>
          </cell>
        </row>
        <row r="69">
          <cell r="B69" t="str">
            <v>18.07.030</v>
          </cell>
          <cell r="C69" t="str">
            <v>Jogo de bucha e arruela de alumínio de 1 pol., inclusive fixação.</v>
          </cell>
          <cell r="D69" t="str">
            <v>cj</v>
          </cell>
          <cell r="F69">
            <v>0.45</v>
          </cell>
          <cell r="G69">
            <v>0</v>
          </cell>
        </row>
        <row r="70">
          <cell r="B70" t="str">
            <v>18.07.040</v>
          </cell>
          <cell r="C70" t="str">
            <v>Jogo de bucha e arruela de alumínio de 1 1/2 pol., inclusive fixação.</v>
          </cell>
          <cell r="D70" t="str">
            <v>cj</v>
          </cell>
          <cell r="F70">
            <v>0.85</v>
          </cell>
          <cell r="G70">
            <v>0</v>
          </cell>
        </row>
        <row r="71">
          <cell r="B71" t="str">
            <v>18.07.050</v>
          </cell>
          <cell r="C71" t="str">
            <v>Jogo de bucha e arruela de alumínio de 2 pol., inclusive fixação.</v>
          </cell>
          <cell r="D71" t="str">
            <v>cj</v>
          </cell>
          <cell r="F71">
            <v>1.64</v>
          </cell>
          <cell r="G71">
            <v>0</v>
          </cell>
        </row>
        <row r="72">
          <cell r="B72" t="str">
            <v>18.07.060</v>
          </cell>
          <cell r="C72" t="str">
            <v>Jogo de bucha e arruela de alumínio de 2 1/2 pol., inclusive fixação.</v>
          </cell>
          <cell r="D72" t="str">
            <v>cj</v>
          </cell>
          <cell r="F72">
            <v>2.39</v>
          </cell>
          <cell r="G72">
            <v>0</v>
          </cell>
        </row>
        <row r="73">
          <cell r="B73" t="str">
            <v>18.07.070</v>
          </cell>
          <cell r="C73" t="str">
            <v>Jogo de bucha e arruela de alumínio de 3 pol., inclusive fixação.</v>
          </cell>
          <cell r="D73" t="str">
            <v>cj</v>
          </cell>
          <cell r="F73">
            <v>3.79</v>
          </cell>
          <cell r="G73">
            <v>0</v>
          </cell>
        </row>
        <row r="74">
          <cell r="B74" t="str">
            <v>18.07.072</v>
          </cell>
          <cell r="C74" t="str">
            <v>Ganchos de 5/16".</v>
          </cell>
          <cell r="D74" t="str">
            <v>un</v>
          </cell>
          <cell r="F74">
            <v>0.8</v>
          </cell>
          <cell r="G74">
            <v>0</v>
          </cell>
        </row>
        <row r="75">
          <cell r="B75" t="str">
            <v>18.07.080</v>
          </cell>
          <cell r="C75" t="str">
            <v>Jogo de bucha e arruela de alumínio de 4 pol., inclusive fixação.</v>
          </cell>
          <cell r="D75" t="str">
            <v>cj</v>
          </cell>
          <cell r="F75">
            <v>5.31</v>
          </cell>
          <cell r="G75">
            <v>0</v>
          </cell>
        </row>
        <row r="77">
          <cell r="B77" t="str">
            <v>18.08</v>
          </cell>
        </row>
        <row r="78">
          <cell r="B78" t="str">
            <v>18.08.010</v>
          </cell>
          <cell r="C78" t="str">
            <v>Caixa para medição monofásica uso interno, inclusive colocação (padrão CELPE).</v>
          </cell>
          <cell r="D78" t="str">
            <v>un</v>
          </cell>
          <cell r="F78">
            <v>38.5</v>
          </cell>
          <cell r="G78">
            <v>0</v>
          </cell>
        </row>
        <row r="79">
          <cell r="B79" t="str">
            <v>18.08.020</v>
          </cell>
          <cell r="C79" t="str">
            <v>Caixa para medição monofásica uso externo, inclusive colocação (padrão CELPE).</v>
          </cell>
          <cell r="D79" t="str">
            <v>un</v>
          </cell>
          <cell r="F79">
            <v>48.6</v>
          </cell>
          <cell r="G79">
            <v>0</v>
          </cell>
        </row>
        <row r="81">
          <cell r="B81" t="str">
            <v>18.09</v>
          </cell>
        </row>
        <row r="82">
          <cell r="B82" t="str">
            <v>18.09.010</v>
          </cell>
          <cell r="C82" t="str">
            <v>Caixa para medição trifásica uso interno, modelo D, inclusive colocação (padrão CELPE).</v>
          </cell>
          <cell r="D82" t="str">
            <v>un</v>
          </cell>
          <cell r="F82">
            <v>82.93</v>
          </cell>
          <cell r="G82">
            <v>0</v>
          </cell>
        </row>
        <row r="83">
          <cell r="B83" t="str">
            <v>18.09.020</v>
          </cell>
          <cell r="C83" t="str">
            <v>Caixa para medição trifásica uso externo, modelo D, inclusive colocação (padrão CELPE).</v>
          </cell>
          <cell r="D83" t="str">
            <v>un</v>
          </cell>
          <cell r="F83">
            <v>104.26</v>
          </cell>
          <cell r="G83">
            <v>0</v>
          </cell>
        </row>
        <row r="85">
          <cell r="B85" t="str">
            <v>18.10</v>
          </cell>
        </row>
        <row r="86">
          <cell r="B86" t="str">
            <v>18.10.020</v>
          </cell>
          <cell r="C86" t="str">
            <v>Chave de faca de 2 polos, 30 A, 250 V, com base de ardósia, com 02 fusíveis tipo cartucho e parafusos, inclusive instalação em quadro de medição.</v>
          </cell>
          <cell r="D86" t="str">
            <v>un</v>
          </cell>
          <cell r="F86">
            <v>11.1</v>
          </cell>
          <cell r="G86">
            <v>0</v>
          </cell>
        </row>
        <row r="87">
          <cell r="B87" t="str">
            <v>18.10.030</v>
          </cell>
          <cell r="C87" t="str">
            <v>Chave de faca de 2 polos, 60 A, 250 V, com base de ardósia, com 02 fusíveis tipo cartucho e parafusos, inclusive instalação em quadro de medição.</v>
          </cell>
          <cell r="D87" t="str">
            <v>un</v>
          </cell>
          <cell r="F87">
            <v>16.3</v>
          </cell>
          <cell r="G87">
            <v>0</v>
          </cell>
        </row>
        <row r="88">
          <cell r="B88" t="str">
            <v>18.10.040</v>
          </cell>
          <cell r="C88" t="str">
            <v>Chave de faca de 3 polos, 60 A, 600 V, com base de ardósia, com 03 fusíveis tipo cartucho e parafusos, inclusive instalação em quadro de medição.</v>
          </cell>
          <cell r="D88" t="str">
            <v>un</v>
          </cell>
          <cell r="F88">
            <v>31.96</v>
          </cell>
          <cell r="G88">
            <v>0</v>
          </cell>
        </row>
        <row r="89">
          <cell r="B89" t="str">
            <v>18.10.050</v>
          </cell>
          <cell r="C89" t="str">
            <v>Chave de faca de 3 polos, 100 A, 600 V, com base de ardósia, com 03 fusíveis tipo cartucho e parafusos, inclusive instalação em quadro de medição.</v>
          </cell>
          <cell r="D89" t="str">
            <v>un</v>
          </cell>
          <cell r="F89">
            <v>57.62</v>
          </cell>
          <cell r="G89">
            <v>0</v>
          </cell>
        </row>
        <row r="90">
          <cell r="B90" t="str">
            <v>18.10.060</v>
          </cell>
          <cell r="C90" t="str">
            <v>Chave seccionadora com fusível, 125A, tipo 3NP4090 SIEMENS ou similar, tripolar com 03 fusíveis NH tamanho 00 e parafusos, inclusive instalação em quadro de medição.</v>
          </cell>
          <cell r="D90" t="str">
            <v>un</v>
          </cell>
          <cell r="F90">
            <v>85.08</v>
          </cell>
          <cell r="G90">
            <v>0</v>
          </cell>
        </row>
        <row r="91">
          <cell r="B91" t="str">
            <v>18.10.070</v>
          </cell>
          <cell r="C91" t="str">
            <v>Chave seccionadora com fusível, 250A, tipo 3NP2200 SIEMENS ou similar, tripolar com 03 fusíveis NH tamanho 01 e parafusos, inclusive instalação em quadro de medição.</v>
          </cell>
          <cell r="D91" t="str">
            <v>un</v>
          </cell>
          <cell r="F91">
            <v>141.25</v>
          </cell>
          <cell r="G91">
            <v>0</v>
          </cell>
        </row>
        <row r="93">
          <cell r="B93" t="str">
            <v>18.11</v>
          </cell>
        </row>
        <row r="94">
          <cell r="B94" t="str">
            <v>18.11.030</v>
          </cell>
          <cell r="C94" t="str">
            <v>Base para fusível tipo NH de 6 A a 125A, tamanho 00, SIEMENS ou similar, com parafusos, inclusive instalação em quadro.</v>
          </cell>
          <cell r="D94" t="str">
            <v>un</v>
          </cell>
          <cell r="F94">
            <v>9.09</v>
          </cell>
          <cell r="G94">
            <v>0</v>
          </cell>
        </row>
        <row r="95">
          <cell r="B95" t="str">
            <v>18.11.040</v>
          </cell>
          <cell r="C95" t="str">
            <v>Base para fusível tipo NH de 36 A a 250A, tamanho 1, SIEMENS ou similar, com parafusos, inclusive instalação em quadro.</v>
          </cell>
          <cell r="D95" t="str">
            <v>un</v>
          </cell>
          <cell r="F95">
            <v>17.96</v>
          </cell>
          <cell r="G95">
            <v>0</v>
          </cell>
        </row>
        <row r="97">
          <cell r="B97" t="str">
            <v>18.12</v>
          </cell>
        </row>
        <row r="98">
          <cell r="B98" t="str">
            <v>18.12.070</v>
          </cell>
          <cell r="C98" t="str">
            <v>Fusível tipo NH de 20A, tamanho 00, SIEMENS ou similar, inclusive instalação em quadro.</v>
          </cell>
          <cell r="D98" t="str">
            <v>un</v>
          </cell>
          <cell r="F98">
            <v>5.67</v>
          </cell>
          <cell r="G98">
            <v>0</v>
          </cell>
        </row>
        <row r="99">
          <cell r="B99" t="str">
            <v>18.12.080</v>
          </cell>
          <cell r="C99" t="str">
            <v>Fusível tipo NH de 25A,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18.12.090</v>
          </cell>
          <cell r="C100" t="str">
            <v>Fusível tipo NH de 36A,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18.12.100</v>
          </cell>
          <cell r="C101" t="str">
            <v>Fusível tipo NH de 50A,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18.12.110</v>
          </cell>
          <cell r="C102" t="str">
            <v>Fusível tipo NH de 63A,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18.12.120</v>
          </cell>
          <cell r="C103" t="str">
            <v>Fusível tipo NH de 80A,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18.12.130</v>
          </cell>
          <cell r="C104" t="str">
            <v>Fusível tipo NH de 100A,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18.12.140</v>
          </cell>
          <cell r="C105" t="str">
            <v>Fusível tipo NH de 125A,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18.12.150</v>
          </cell>
          <cell r="C106" t="str">
            <v>Fusível tipo NH de 160A, tamanho 01, SIEMENS ou similar, inclusive instalação em quadro.</v>
          </cell>
          <cell r="D106" t="str">
            <v>un</v>
          </cell>
          <cell r="F106">
            <v>12.26</v>
          </cell>
          <cell r="G106">
            <v>0</v>
          </cell>
        </row>
        <row r="107">
          <cell r="B107" t="str">
            <v>18.12.160</v>
          </cell>
          <cell r="C107" t="str">
            <v>Fusível tipo NH de 200A,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18.12.170</v>
          </cell>
          <cell r="C108" t="str">
            <v>Fusível tipo NH de 250A, tamanho 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10">
          <cell r="B110" t="str">
            <v>18.13</v>
          </cell>
        </row>
        <row r="111">
          <cell r="B111" t="str">
            <v>18.13.005</v>
          </cell>
          <cell r="C111" t="str">
            <v>Eletroduto flexível preto de 1", assentado em valas com profundidade de 0,60 m, inclusive escavação e reaterro.</v>
          </cell>
          <cell r="D111" t="str">
            <v>m</v>
          </cell>
          <cell r="F111">
            <v>3.1</v>
          </cell>
          <cell r="G111">
            <v>0</v>
          </cell>
        </row>
        <row r="112">
          <cell r="B112" t="str">
            <v>18.13.010</v>
          </cell>
          <cell r="C112" t="str">
            <v>Eletroduto de PVC rígido rosqueável de 1/2 pol., com luva de rosca interna, inclusive assentamento em lajes.</v>
          </cell>
          <cell r="D112" t="str">
            <v>m</v>
          </cell>
          <cell r="F112">
            <v>1.46</v>
          </cell>
          <cell r="G112">
            <v>0</v>
          </cell>
        </row>
        <row r="113">
          <cell r="B113" t="str">
            <v>18.13.020</v>
          </cell>
          <cell r="C113" t="str">
            <v>Eletroduto de PVC rígido rosqueável de 3/4 pol., com luva de rosca interna, inclusive assentamento em lajes.</v>
          </cell>
          <cell r="D113" t="str">
            <v>m</v>
          </cell>
          <cell r="F113">
            <v>1.51</v>
          </cell>
          <cell r="G113">
            <v>0</v>
          </cell>
        </row>
        <row r="114">
          <cell r="B114" t="str">
            <v>18.13.030</v>
          </cell>
          <cell r="C114" t="str">
            <v>Eletroduto de PVC rígido rosqueável de 1 pol., com luva de rosca interna, inclusive assentamento em lajes.</v>
          </cell>
          <cell r="D114" t="str">
            <v>m</v>
          </cell>
          <cell r="F114">
            <v>2.54</v>
          </cell>
          <cell r="G114">
            <v>0</v>
          </cell>
        </row>
        <row r="115">
          <cell r="B115" t="str">
            <v>18.13.040</v>
          </cell>
          <cell r="C115" t="str">
            <v>Eletroduto de PVC rígido rosqueável de 1/2 pol., com luva de rosca interna, inclusive assentamento com rasgo em alvenaria.</v>
          </cell>
          <cell r="D115" t="str">
            <v>m</v>
          </cell>
          <cell r="F115">
            <v>2.23</v>
          </cell>
          <cell r="G115">
            <v>0</v>
          </cell>
        </row>
        <row r="116">
          <cell r="B116" t="str">
            <v>18.13.050</v>
          </cell>
          <cell r="C116" t="str">
            <v>Eletroduto de PVC rígido rosqueável de 3/4 pol., com luva de rosca interna, inclusive assentamento com rasgo em alvenaria.</v>
          </cell>
          <cell r="D116" t="str">
            <v>m</v>
          </cell>
          <cell r="F116">
            <v>2.71</v>
          </cell>
          <cell r="G116">
            <v>0</v>
          </cell>
        </row>
        <row r="117">
          <cell r="B117" t="str">
            <v>18.13.060</v>
          </cell>
          <cell r="C117" t="str">
            <v>Eletroduto de PVC rígido rosqueável de 1 pol., com luva de rosca interna, inclusive assentamento com rasgo em alvenaria.</v>
          </cell>
          <cell r="D117" t="str">
            <v>m</v>
          </cell>
          <cell r="F117">
            <v>3.3</v>
          </cell>
          <cell r="G117">
            <v>0</v>
          </cell>
        </row>
        <row r="118">
          <cell r="B118" t="str">
            <v>18.12.070</v>
          </cell>
          <cell r="C118" t="str">
            <v>Eletroduto de PVC rígido rosqueável de 1 1/4 pol., com luva de rosca interna, inclusive assentamento com rasgo em alvenaria.</v>
          </cell>
          <cell r="D118" t="str">
            <v>m</v>
          </cell>
          <cell r="F118">
            <v>4.3099999999999996</v>
          </cell>
          <cell r="G118">
            <v>0</v>
          </cell>
        </row>
        <row r="119">
          <cell r="B119" t="str">
            <v>18.13.080</v>
          </cell>
          <cell r="C119" t="str">
            <v>Eletroduto de PVC rígido rosqueável de 1 1/2 pol., com luva de rosca interna, inclusive assentamento com rasgo em alvenaria.</v>
          </cell>
          <cell r="D119" t="str">
            <v>m</v>
          </cell>
          <cell r="F119">
            <v>5.65</v>
          </cell>
          <cell r="G119">
            <v>0</v>
          </cell>
        </row>
        <row r="120">
          <cell r="B120" t="str">
            <v>18.13.085</v>
          </cell>
          <cell r="C120" t="str">
            <v>Fornecimento e colocação de eletroduto de ferro galvanizado de 3 ".</v>
          </cell>
          <cell r="D120" t="str">
            <v>m</v>
          </cell>
          <cell r="F120">
            <v>29.91</v>
          </cell>
        </row>
        <row r="121">
          <cell r="B121" t="str">
            <v>18.13.086</v>
          </cell>
          <cell r="C121" t="str">
            <v>Fornecimento e instalação de quadro de distribuição para telefone.</v>
          </cell>
          <cell r="D121" t="str">
            <v>un</v>
          </cell>
          <cell r="F121">
            <v>96.07</v>
          </cell>
        </row>
        <row r="122">
          <cell r="B122" t="str">
            <v>18.13.090</v>
          </cell>
          <cell r="C122" t="str">
            <v>Eletroduto de PVC rígido rosqueável de 2 pol., com luva de rosca interna, inclusive assentamento com rasgo em alvenaria.</v>
          </cell>
          <cell r="D122" t="str">
            <v>m</v>
          </cell>
          <cell r="F122">
            <v>7.33</v>
          </cell>
          <cell r="G122">
            <v>0</v>
          </cell>
        </row>
        <row r="123">
          <cell r="B123" t="str">
            <v>18.13.100</v>
          </cell>
          <cell r="C123" t="str">
            <v>Eletroduto de PVC rígido rosqueável de 3 pol., com luva de rosca interna, inclusive assentamento com rasgo em alvenaria.</v>
          </cell>
          <cell r="D123" t="str">
            <v>m</v>
          </cell>
          <cell r="F123">
            <v>13.81</v>
          </cell>
          <cell r="G123">
            <v>0</v>
          </cell>
        </row>
        <row r="124">
          <cell r="B124" t="str">
            <v>18.13.110</v>
          </cell>
          <cell r="C124" t="str">
            <v>Eletroduto de PVC rígido rosqueável de 1/2 pol., com luva de rosca interna assentado em valas com profundidade de 0,60 m, inclusive escavação e reaterro.</v>
          </cell>
          <cell r="D124" t="str">
            <v>m</v>
          </cell>
          <cell r="F124">
            <v>3.33</v>
          </cell>
          <cell r="G124">
            <v>0</v>
          </cell>
        </row>
        <row r="125">
          <cell r="B125" t="str">
            <v>18.13.120</v>
          </cell>
          <cell r="C125" t="str">
            <v>Eletroduto de PVC rígido rosqueável de 3/4 pol., com luva de rosca interna assentado em valas com profundidade de 0,60 m, inclusive escavação e reaterro.</v>
          </cell>
          <cell r="D125" t="str">
            <v>m</v>
          </cell>
          <cell r="F125">
            <v>4.01</v>
          </cell>
          <cell r="G125">
            <v>0</v>
          </cell>
        </row>
        <row r="126">
          <cell r="B126" t="str">
            <v>18.13.130</v>
          </cell>
          <cell r="C126" t="str">
            <v>Eletroduto de PVC rígido rosqueável de 1 pol., com luva de rosca interna assentado em valas com profundidade de 0,60 m, inclusive escavação e reaterro.</v>
          </cell>
          <cell r="D126" t="str">
            <v>m</v>
          </cell>
          <cell r="F126">
            <v>5.39</v>
          </cell>
          <cell r="G126">
            <v>0</v>
          </cell>
        </row>
        <row r="127">
          <cell r="B127" t="str">
            <v>18.13.140</v>
          </cell>
          <cell r="C127" t="str">
            <v>Eletroduto de PVC rígido rosqueável de 1 1/2 pol., com luva de rosca interna assentado em valas com profundidade de 0,60 m, inclusive escavação e reaterro.</v>
          </cell>
          <cell r="D127" t="str">
            <v>m</v>
          </cell>
          <cell r="F127">
            <v>6.99</v>
          </cell>
          <cell r="G127">
            <v>0</v>
          </cell>
        </row>
        <row r="128">
          <cell r="B128" t="str">
            <v>18.13.150</v>
          </cell>
          <cell r="C128" t="str">
            <v>Eletroduto de PVC rígido rosqueável de 2 pol., com luva de rosca interna assentado em valas com profundidade de 0,60 m, inclusive escavação e reaterro.</v>
          </cell>
          <cell r="D128" t="str">
            <v>m</v>
          </cell>
          <cell r="F128">
            <v>8.6199999999999992</v>
          </cell>
          <cell r="G128">
            <v>0</v>
          </cell>
        </row>
        <row r="129">
          <cell r="B129" t="str">
            <v>18.13.160</v>
          </cell>
          <cell r="C129" t="str">
            <v>Eletroduto de PVC rígido rosqueável de 3 pol., com luva de rosca interna assentado em valas com profundidade de 0,60 m, inclusive escavação e reaterro.</v>
          </cell>
          <cell r="D129" t="str">
            <v>m</v>
          </cell>
          <cell r="F129">
            <v>15.23</v>
          </cell>
          <cell r="G129">
            <v>0</v>
          </cell>
        </row>
        <row r="130">
          <cell r="B130" t="str">
            <v>18.13.170</v>
          </cell>
          <cell r="C130" t="str">
            <v>Eletroduto de PVC rígido rosqueável de 4 pol., com luva de rosca interna assentado em valas com profundidade de 0,60 m, inclusive escavação e reaterro.</v>
          </cell>
          <cell r="D130" t="str">
            <v>m</v>
          </cell>
          <cell r="F130">
            <v>22.81</v>
          </cell>
          <cell r="G130">
            <v>0</v>
          </cell>
        </row>
        <row r="132">
          <cell r="B132" t="str">
            <v>18.14</v>
          </cell>
        </row>
        <row r="133">
          <cell r="B133" t="str">
            <v>18.14.010</v>
          </cell>
          <cell r="C133" t="str">
            <v xml:space="preserve">Curva de PVC rígido rosqueável de 3/4 pol., com luva de rosca interna, inclusive assentado. </v>
          </cell>
          <cell r="D133" t="str">
            <v>un</v>
          </cell>
          <cell r="F133">
            <v>1.84</v>
          </cell>
          <cell r="G133">
            <v>0</v>
          </cell>
        </row>
        <row r="134">
          <cell r="B134" t="str">
            <v>18.14.020</v>
          </cell>
          <cell r="C134" t="str">
            <v xml:space="preserve">Curva de PVC rígido rosqueável de 1 pol., com luva de rosca interna, inclusive assentado. </v>
          </cell>
          <cell r="D134" t="str">
            <v>un</v>
          </cell>
          <cell r="F134">
            <v>2.6</v>
          </cell>
          <cell r="G134">
            <v>0</v>
          </cell>
        </row>
        <row r="135">
          <cell r="B135" t="str">
            <v>18.14.030</v>
          </cell>
          <cell r="C135" t="str">
            <v xml:space="preserve">Curva de PVC rígido rosqueável de 1 1/4 pol., com luva de rosca interna, inclusive assentado. </v>
          </cell>
          <cell r="D135" t="str">
            <v>un</v>
          </cell>
          <cell r="F135">
            <v>4.0999999999999996</v>
          </cell>
          <cell r="G135">
            <v>0</v>
          </cell>
        </row>
        <row r="136">
          <cell r="B136" t="str">
            <v>18.14.040</v>
          </cell>
          <cell r="C136" t="str">
            <v xml:space="preserve">Curva de PVC rígido rosqueável de 1 1/2 pol., com luva de rosca interna, inclusive assentado. </v>
          </cell>
          <cell r="D136" t="str">
            <v>un</v>
          </cell>
          <cell r="F136">
            <v>5.0999999999999996</v>
          </cell>
          <cell r="G136">
            <v>0</v>
          </cell>
        </row>
        <row r="137">
          <cell r="B137" t="str">
            <v>18.14.050</v>
          </cell>
          <cell r="C137" t="str">
            <v xml:space="preserve">Curva de PVC rígido rosqueável de 2 pol., com luva de rosca interna, inclusive assentado. </v>
          </cell>
          <cell r="D137" t="str">
            <v>un</v>
          </cell>
          <cell r="F137">
            <v>7.96</v>
          </cell>
          <cell r="G137">
            <v>0</v>
          </cell>
        </row>
        <row r="138">
          <cell r="B138" t="str">
            <v>18.14.060</v>
          </cell>
          <cell r="C138" t="str">
            <v xml:space="preserve">Curva de PVC rígido rosqueável de 3 pol., com luva de rosca interna, inclusive assentado. </v>
          </cell>
          <cell r="D138" t="str">
            <v>un</v>
          </cell>
          <cell r="F138">
            <v>23.46</v>
          </cell>
          <cell r="G138">
            <v>0</v>
          </cell>
        </row>
        <row r="139">
          <cell r="B139" t="str">
            <v>18.14.070</v>
          </cell>
          <cell r="C139" t="str">
            <v xml:space="preserve">Curva de PVC rígido rosqueável de 4 pol., com luva de rosca interna, inclusive assentado. </v>
          </cell>
          <cell r="D139" t="str">
            <v>un</v>
          </cell>
          <cell r="F139">
            <v>37.86</v>
          </cell>
          <cell r="G139">
            <v>0</v>
          </cell>
        </row>
        <row r="141">
          <cell r="B141" t="str">
            <v>18.15</v>
          </cell>
        </row>
        <row r="142">
          <cell r="B142" t="str">
            <v>18.15.010</v>
          </cell>
          <cell r="C142" t="str">
            <v>Caixa 4 x 2 pol. Tigreflex ou similar,  inclusive assentamento.</v>
          </cell>
          <cell r="D142" t="str">
            <v>un</v>
          </cell>
          <cell r="F142">
            <v>1.45</v>
          </cell>
          <cell r="G142">
            <v>0</v>
          </cell>
        </row>
        <row r="143">
          <cell r="B143" t="str">
            <v>18.15.020</v>
          </cell>
          <cell r="C143" t="str">
            <v>Caixa 4 x 4 pol. Tigreflex ou similar,  inclusive assentamento.</v>
          </cell>
          <cell r="D143" t="str">
            <v>un</v>
          </cell>
          <cell r="F143">
            <v>1.75</v>
          </cell>
          <cell r="G143">
            <v>0</v>
          </cell>
        </row>
        <row r="144">
          <cell r="B144" t="str">
            <v>18.15.030</v>
          </cell>
          <cell r="C144" t="str">
            <v>Caixa octogonal de 4" Tigreflex ou similar, com fundo móvel, inclusive assentaemnto em laje.</v>
          </cell>
          <cell r="D144" t="str">
            <v>un</v>
          </cell>
          <cell r="F144">
            <v>1.9</v>
          </cell>
          <cell r="G144">
            <v>0</v>
          </cell>
        </row>
        <row r="145">
          <cell r="B145" t="str">
            <v>18.15.035</v>
          </cell>
          <cell r="C145" t="str">
            <v>Fornecimento e colocação de caixa pré-moldada para ar-condicionado de 15.000 BTU's</v>
          </cell>
          <cell r="D145" t="str">
            <v>un</v>
          </cell>
          <cell r="F145">
            <v>73.38</v>
          </cell>
        </row>
        <row r="147">
          <cell r="B147" t="str">
            <v>18.16</v>
          </cell>
        </row>
        <row r="148">
          <cell r="B148" t="str">
            <v>18.16.010</v>
          </cell>
          <cell r="C148" t="str">
            <v>Tomada de embutir (2P+T) com placa para caixa de 4 x 2 pol., 20 A, 250 V, Pial (linha silentoque) ou similar, inclusive instalação.</v>
          </cell>
          <cell r="D148" t="str">
            <v>un</v>
          </cell>
          <cell r="F148">
            <v>7.08</v>
          </cell>
          <cell r="G148">
            <v>0</v>
          </cell>
        </row>
        <row r="149">
          <cell r="B149" t="str">
            <v>18.16.020</v>
          </cell>
          <cell r="C149" t="str">
            <v>Tomada de embutir para telefone quatro polos, Padrão Telebrás, com placa, para caixa de 4 x 2 pol., Pial (linha silentoque) ou similar, inclusive instalação.</v>
          </cell>
          <cell r="D149" t="str">
            <v>un</v>
          </cell>
          <cell r="F149">
            <v>6.55</v>
          </cell>
          <cell r="G149">
            <v>0</v>
          </cell>
        </row>
        <row r="151">
          <cell r="B151" t="str">
            <v>18.17</v>
          </cell>
        </row>
        <row r="152">
          <cell r="B152" t="str">
            <v>18.17.010</v>
          </cell>
          <cell r="C152" t="str">
            <v>Conjunto ARSTOP ou similar de embutir, em caixa 4 x 4 pol., com placa, tomada Tripolar para pino chato e disjuntor termomagnético de 25 A, 250 V, inclusive instalação.</v>
          </cell>
          <cell r="D152" t="str">
            <v>un</v>
          </cell>
          <cell r="F152">
            <v>20.72</v>
          </cell>
          <cell r="G152">
            <v>0</v>
          </cell>
        </row>
        <row r="154">
          <cell r="B154" t="str">
            <v>18.18</v>
          </cell>
        </row>
        <row r="155">
          <cell r="B155" t="str">
            <v>18.18.010</v>
          </cell>
          <cell r="C155" t="str">
            <v>Interruptor de embutir de uma secção para caixa de 4 x 2 pol., com placa, 10 A, 250 V, Pial (linha silentoque) ou similar, inclusive instalação.</v>
          </cell>
          <cell r="D155" t="str">
            <v>un</v>
          </cell>
          <cell r="F155">
            <v>3.9</v>
          </cell>
          <cell r="G155">
            <v>0</v>
          </cell>
        </row>
        <row r="156">
          <cell r="B156" t="str">
            <v>18.18.020</v>
          </cell>
          <cell r="C156" t="str">
            <v>Interruptor de embutir de duas secções para caixa de 4 x 2 pol., com placa, 10 A, 250 V, Pial (linha silentoque) ou similar, inclusive instalação.</v>
          </cell>
          <cell r="D156" t="str">
            <v>un</v>
          </cell>
          <cell r="F156">
            <v>6.76</v>
          </cell>
          <cell r="G156">
            <v>0</v>
          </cell>
        </row>
        <row r="157">
          <cell r="B157" t="str">
            <v>18.18.030</v>
          </cell>
          <cell r="C157" t="str">
            <v>Interruptor de embutir de três secções para caixa de 4 x 2 pol., com placa, 10 A, 250 V, Pial (linha silentoque) ou similar, inclusive instalação.</v>
          </cell>
          <cell r="D157" t="str">
            <v>un</v>
          </cell>
          <cell r="F157">
            <v>8.8800000000000008</v>
          </cell>
          <cell r="G157">
            <v>0</v>
          </cell>
        </row>
        <row r="158">
          <cell r="B158" t="str">
            <v>18.18.040</v>
          </cell>
          <cell r="C158" t="str">
            <v>Interruptor de embutir de uma secção conjugada com tomada, para caixa de 4 x 2 pol., com placa, 10 A, 250 V, Pial (linha silentoque) ou similar, inclusive instalação.</v>
          </cell>
          <cell r="D158" t="str">
            <v>un</v>
          </cell>
          <cell r="F158">
            <v>6.71</v>
          </cell>
          <cell r="G158">
            <v>0</v>
          </cell>
        </row>
        <row r="159">
          <cell r="B159" t="str">
            <v>18.18.050</v>
          </cell>
          <cell r="C159" t="str">
            <v>Interruptor de embutir de duas secções conjugada com tomada, para caixa de 4 x 2 pol., com placa, 10 A, 250 V, Pial (linha silentoque) ou similar, inclusive instalação.</v>
          </cell>
          <cell r="D159" t="str">
            <v>un</v>
          </cell>
          <cell r="F159">
            <v>8.93</v>
          </cell>
          <cell r="G159">
            <v>0</v>
          </cell>
        </row>
        <row r="160">
          <cell r="B160" t="str">
            <v>18.18.060</v>
          </cell>
          <cell r="C160" t="str">
            <v>Interruptor de embutir Three-Way (vai e vem), para caixa de 4 x 2 pol., com placa, 10 A, 250 V, Pial (linha silentoque) ou similar, inclusive instalação.</v>
          </cell>
          <cell r="D160" t="str">
            <v>un</v>
          </cell>
          <cell r="F160">
            <v>5.19</v>
          </cell>
          <cell r="G160">
            <v>0</v>
          </cell>
        </row>
        <row r="162">
          <cell r="B162" t="str">
            <v>18.19</v>
          </cell>
        </row>
        <row r="163">
          <cell r="B163" t="str">
            <v>18.19.010</v>
          </cell>
          <cell r="C163" t="str">
            <v>Fio de cobre, têmpera mole, classe 1, isolamento de PVC - 70 C, tipo BWF, 750 V, Foreplast ou similar, S.M. - 1,5 mm², inclusive instalação em eletroduto.</v>
          </cell>
          <cell r="D163" t="str">
            <v>m</v>
          </cell>
          <cell r="F163">
            <v>0.59</v>
          </cell>
          <cell r="G163">
            <v>0</v>
          </cell>
        </row>
        <row r="164">
          <cell r="B164" t="str">
            <v>18.19.020</v>
          </cell>
          <cell r="C164" t="str">
            <v>Fio de cobre, têmpera mole, classe 1, isolamento de PVC - 70 C, tipo BWF, 750 V, Foreplast ou similar, S.M. - 2,5 mm², inclusive instalação em eletroduto.</v>
          </cell>
          <cell r="D164" t="str">
            <v>m</v>
          </cell>
          <cell r="F164">
            <v>0.85</v>
          </cell>
          <cell r="G164">
            <v>0</v>
          </cell>
        </row>
        <row r="165">
          <cell r="B165" t="str">
            <v>18.19.025</v>
          </cell>
          <cell r="C165" t="str">
            <v>Cabro de cobre, têmpera mole, encordoamento classe 2, isolamento de PVC - 70 C, tipo BWF, 750 V, Foreplast ou similar, S.M. - 2,5 mm², inclusive instalação em eletroduto.</v>
          </cell>
          <cell r="D165" t="str">
            <v>m</v>
          </cell>
          <cell r="F165">
            <v>0.9</v>
          </cell>
          <cell r="G165">
            <v>0</v>
          </cell>
        </row>
        <row r="166">
          <cell r="B166" t="str">
            <v>18.19.030</v>
          </cell>
          <cell r="C166" t="str">
            <v>Cabo de cobre, têmpera mole, encordoamento classe 2, isolamento de PVC - 70 C, tipo BWF, 750 V, Foreplast ou similar, S.M. - 4,0 mm², inclusive instalação em eletroduto.</v>
          </cell>
          <cell r="D166" t="str">
            <v>m</v>
          </cell>
          <cell r="F166">
            <v>0.94</v>
          </cell>
          <cell r="G166">
            <v>0</v>
          </cell>
        </row>
        <row r="167">
          <cell r="B167" t="str">
            <v>18.19.040</v>
          </cell>
          <cell r="C167" t="str">
            <v>Cabo de cobre, têmpera mole, encordoamento classe 2, isolamento de PVC - 70 C, tipo BWF, 750 V, Foreplast ou similar, S.M. - 6,0 mm², inclusive instalação em eletroduto.</v>
          </cell>
          <cell r="D167" t="str">
            <v>m</v>
          </cell>
          <cell r="F167">
            <v>1.1299999999999999</v>
          </cell>
          <cell r="G167">
            <v>0</v>
          </cell>
        </row>
        <row r="168">
          <cell r="B168" t="str">
            <v>18.19.041</v>
          </cell>
          <cell r="C168" t="str">
            <v>Cabo de cobre, têmpera mole, encordoamento classe 2, isolamento de PVC - 70 C, tipo BWF, 750 V, Foreplast ou similar, S.M. - 10,0 mm², inclusive instalação em eletroduto.</v>
          </cell>
          <cell r="D168" t="str">
            <v>m</v>
          </cell>
          <cell r="F168">
            <v>1.6</v>
          </cell>
          <cell r="G168">
            <v>0</v>
          </cell>
        </row>
        <row r="169">
          <cell r="B169" t="str">
            <v>18.19.042</v>
          </cell>
          <cell r="C169" t="str">
            <v>Cabo de cobre, têmpera mole, encordoamento classe 2, isolamento de PVC - 70 C, tipo BWF, 750 V, Foreplast ou similar, S.M. - 16,0 mm², inclusive instalação em eletroduto.</v>
          </cell>
          <cell r="D169" t="str">
            <v>m</v>
          </cell>
          <cell r="F169">
            <v>2.11</v>
          </cell>
          <cell r="G169">
            <v>0</v>
          </cell>
        </row>
        <row r="170">
          <cell r="B170" t="str">
            <v>18.19.043</v>
          </cell>
          <cell r="C170" t="str">
            <v>Cabo de cobre, têmpera mole, encordoamento classe 2, isolamento de PVC - 70 C, tipo BWF, 750 V, Foreplast ou similar, S.M. - 25,0 mm², inclusive instalação em eletroduto.</v>
          </cell>
          <cell r="D170" t="str">
            <v>m</v>
          </cell>
          <cell r="F170">
            <v>2.93</v>
          </cell>
          <cell r="G170">
            <v>0</v>
          </cell>
        </row>
        <row r="171">
          <cell r="B171" t="str">
            <v>18.19.046</v>
          </cell>
          <cell r="C171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1" t="str">
            <v>m</v>
          </cell>
          <cell r="F171">
            <v>0.69</v>
          </cell>
          <cell r="G171">
            <v>0</v>
          </cell>
        </row>
        <row r="172">
          <cell r="B172" t="str">
            <v>18.19.047</v>
          </cell>
          <cell r="C172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2" t="str">
            <v>m</v>
          </cell>
          <cell r="F172">
            <v>0.83</v>
          </cell>
          <cell r="G172">
            <v>0</v>
          </cell>
        </row>
        <row r="173">
          <cell r="B173" t="str">
            <v>18.19.048</v>
          </cell>
          <cell r="C173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3" t="str">
            <v>m</v>
          </cell>
          <cell r="F173">
            <v>1.29</v>
          </cell>
          <cell r="G173">
            <v>0</v>
          </cell>
        </row>
        <row r="174">
          <cell r="B174" t="str">
            <v>18.19.049</v>
          </cell>
          <cell r="C174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4" t="str">
            <v>m</v>
          </cell>
          <cell r="F174">
            <v>1.56</v>
          </cell>
          <cell r="G174">
            <v>0</v>
          </cell>
        </row>
        <row r="175">
          <cell r="B175" t="str">
            <v>18.19.050</v>
          </cell>
          <cell r="C175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5" t="str">
            <v>m</v>
          </cell>
          <cell r="F175">
            <v>2.06</v>
          </cell>
          <cell r="G175">
            <v>0</v>
          </cell>
        </row>
        <row r="176">
          <cell r="B176" t="str">
            <v>18.19.060</v>
          </cell>
          <cell r="C176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6" t="str">
            <v>m</v>
          </cell>
          <cell r="F176">
            <v>2.9</v>
          </cell>
          <cell r="G176">
            <v>0</v>
          </cell>
        </row>
        <row r="177">
          <cell r="B177" t="str">
            <v>18.19.065</v>
          </cell>
          <cell r="C177" t="str">
            <v>Dec., de piso cimentado.</v>
          </cell>
          <cell r="F177">
            <v>9.1</v>
          </cell>
          <cell r="G177">
            <v>0</v>
          </cell>
        </row>
        <row r="178">
          <cell r="B178" t="str">
            <v>18.19.070</v>
          </cell>
          <cell r="C178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8" t="str">
            <v>m</v>
          </cell>
          <cell r="F178">
            <v>3.85</v>
          </cell>
          <cell r="G178">
            <v>0</v>
          </cell>
        </row>
        <row r="179">
          <cell r="B179" t="str">
            <v>18.19.080</v>
          </cell>
          <cell r="C179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79" t="str">
            <v>m</v>
          </cell>
          <cell r="F179">
            <v>4.91</v>
          </cell>
          <cell r="G179">
            <v>0</v>
          </cell>
        </row>
        <row r="180">
          <cell r="B180" t="str">
            <v>18.19.085</v>
          </cell>
          <cell r="C180" t="str">
            <v>Cabo de Cobre  com isolamento termoplástico para ligação dos postes, com 4,0 mm² - 28 A, inclusive instalação em eletroduto.</v>
          </cell>
          <cell r="D180" t="str">
            <v>m</v>
          </cell>
          <cell r="F180">
            <v>0.8</v>
          </cell>
          <cell r="G180">
            <v>0</v>
          </cell>
        </row>
        <row r="182">
          <cell r="B182" t="str">
            <v>18.20</v>
          </cell>
        </row>
        <row r="183">
          <cell r="B183" t="str">
            <v>18.20.010</v>
          </cell>
          <cell r="C183" t="str">
            <v>Disjuntor monopolar termomagnético até 30 A, 220 V, Eletromar ou similar, inclusive instalação em quadro de distribuição.</v>
          </cell>
          <cell r="D183" t="str">
            <v>un</v>
          </cell>
          <cell r="F183">
            <v>6.01</v>
          </cell>
          <cell r="G183">
            <v>0</v>
          </cell>
        </row>
        <row r="184">
          <cell r="B184" t="str">
            <v>18.20.020</v>
          </cell>
          <cell r="C184" t="str">
            <v>Disjuntor monopolar termomagnético até 35 a 50A, 220 V, Eletromar ou similar, inclusive instalação em quadro de distribuição.</v>
          </cell>
          <cell r="D184" t="str">
            <v>un</v>
          </cell>
          <cell r="F184">
            <v>8.06</v>
          </cell>
          <cell r="G184">
            <v>0</v>
          </cell>
        </row>
        <row r="185">
          <cell r="B185" t="str">
            <v>18.20.030</v>
          </cell>
          <cell r="C185" t="str">
            <v>Disjuntor tripolar termomagnético até 50 A 380, 220 V, Eletromar ou similar, inclusive instalação em quadro de distribuição.</v>
          </cell>
          <cell r="D185" t="str">
            <v>un</v>
          </cell>
          <cell r="F185">
            <v>30.85</v>
          </cell>
          <cell r="G185">
            <v>0</v>
          </cell>
        </row>
        <row r="186">
          <cell r="B186" t="str">
            <v>18.20.040</v>
          </cell>
          <cell r="C186" t="str">
            <v>Disjuntor tripolar termomagnético até 60 a 100 A, 380 V, Eletromar ou similar, inclusive instalação em quadro de distribuição.</v>
          </cell>
          <cell r="D186" t="str">
            <v>un</v>
          </cell>
          <cell r="F186">
            <v>45.39</v>
          </cell>
          <cell r="G186">
            <v>0</v>
          </cell>
        </row>
        <row r="187">
          <cell r="B187" t="str">
            <v>18.20.050</v>
          </cell>
          <cell r="C187" t="str">
            <v>Disjuntor tripolar termomagnético até 120 a 150 A, 380 V, Eletromar ou similar, inclusive instalação em quadro de distribuição.</v>
          </cell>
          <cell r="D187" t="str">
            <v>un</v>
          </cell>
          <cell r="F187">
            <v>115.39</v>
          </cell>
          <cell r="G187">
            <v>0</v>
          </cell>
        </row>
        <row r="188">
          <cell r="B188" t="str">
            <v>18.20.055</v>
          </cell>
          <cell r="C188" t="str">
            <v>Fornecimento e colocação de disjuntor 15 A.</v>
          </cell>
          <cell r="D188" t="str">
            <v>un</v>
          </cell>
          <cell r="F188">
            <v>7.67</v>
          </cell>
        </row>
        <row r="189">
          <cell r="B189" t="str">
            <v>18.20.056</v>
          </cell>
          <cell r="C189" t="str">
            <v>Fornecimento e colocação de disjuntor 50 A.</v>
          </cell>
          <cell r="D189" t="str">
            <v>un</v>
          </cell>
          <cell r="F189">
            <v>10.27</v>
          </cell>
        </row>
        <row r="190">
          <cell r="B190" t="str">
            <v>18.20.057</v>
          </cell>
          <cell r="C190" t="str">
            <v>Fornecimento e colocação de disjuntor tripolar 150 A (quadro de medição).</v>
          </cell>
          <cell r="D190" t="str">
            <v>un</v>
          </cell>
          <cell r="F190">
            <v>149.04</v>
          </cell>
        </row>
        <row r="192">
          <cell r="B192" t="str">
            <v>18.21</v>
          </cell>
        </row>
        <row r="193">
          <cell r="B193" t="str">
            <v>18.21.010</v>
          </cell>
          <cell r="C193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3" t="str">
            <v>un</v>
          </cell>
          <cell r="F193">
            <v>49.2</v>
          </cell>
          <cell r="G193">
            <v>0</v>
          </cell>
        </row>
        <row r="194">
          <cell r="B194" t="str">
            <v>18.21.020</v>
          </cell>
          <cell r="C194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4" t="str">
            <v>un</v>
          </cell>
          <cell r="F194">
            <v>52.3</v>
          </cell>
          <cell r="G194">
            <v>0</v>
          </cell>
        </row>
        <row r="196">
          <cell r="B196" t="str">
            <v>18.21.150</v>
          </cell>
          <cell r="C196" t="str">
            <v xml:space="preserve">Quadro de distribuição metálico de embutir, com barramento, chave geral e placa neutro ref. QDETN-12, Cemar ou similar, para até 12 circuitos momopolares, com porta, inclusive instalação. </v>
          </cell>
          <cell r="D196" t="str">
            <v>un</v>
          </cell>
          <cell r="F196">
            <v>50.64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18.21.170</v>
          </cell>
          <cell r="C199" t="str">
            <v xml:space="preserve">Quadro de distribuição metálico de embutir, com barramento, chave geral e placa neutro ref. QDETN-32 Cemar ou similar, para 32 , circuitos momopolares, com porta e trinco, inclusive instalação. </v>
          </cell>
          <cell r="D199" t="str">
            <v>un</v>
          </cell>
          <cell r="F199">
            <v>104.28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16.18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16.78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19.13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24.78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44.17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sinalização instalado no posto de enfermagem.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19.91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32 W, ref. TMS-500 Philips ou similar, inclusive reator alto fator de potência lâmpadas, demais acessórios e instalação.</v>
          </cell>
          <cell r="D240" t="str">
            <v>cj</v>
          </cell>
          <cell r="F240">
            <v>51.13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21.26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11.54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202.97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19.190000000000001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140.63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198.6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">
          <cell r="B1"/>
        </row>
      </sheetData>
      <sheetData sheetId="24"/>
      <sheetData sheetId="25"/>
      <sheetData sheetId="2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teat-mus"/>
      <sheetName val="arte"/>
      <sheetName val="Lanchonete"/>
      <sheetName val="Loja 1"/>
      <sheetName val="Loja 2"/>
      <sheetName val="terraço de ativ."/>
      <sheetName val="se-ilum ext"/>
    </sheetNames>
    <sheetDataSet>
      <sheetData sheetId="0" refreshError="1">
        <row r="1">
          <cell r="B1" t="str">
            <v>18.01</v>
          </cell>
        </row>
        <row r="2">
          <cell r="B2" t="str">
            <v>18.01.005</v>
          </cell>
          <cell r="C2" t="str">
            <v>Fio de cobre nu, tempera meio-duro, classe 1A S.M. - 10 mm², inclusive assentamento.</v>
          </cell>
          <cell r="D2" t="str">
            <v>m</v>
          </cell>
          <cell r="F2">
            <v>1.84</v>
          </cell>
          <cell r="G2">
            <v>0</v>
          </cell>
        </row>
        <row r="3">
          <cell r="B3" t="str">
            <v>18.01.010</v>
          </cell>
          <cell r="C3" t="str">
            <v>Fio de cobre, tempera meio-duro, classe 1, com cobertura de PVC, tipo WPP, S.M. - 4 mm², inclusive assentamento.</v>
          </cell>
          <cell r="D3" t="str">
            <v>m</v>
          </cell>
          <cell r="F3">
            <v>0.97</v>
          </cell>
          <cell r="G3">
            <v>0</v>
          </cell>
        </row>
        <row r="4">
          <cell r="B4" t="str">
            <v>18.01.015</v>
          </cell>
          <cell r="C4" t="str">
            <v>Desativação da rede elétrica existente.</v>
          </cell>
          <cell r="D4" t="str">
            <v>vb</v>
          </cell>
          <cell r="F4">
            <v>283.14</v>
          </cell>
        </row>
        <row r="5">
          <cell r="B5" t="str">
            <v>18.01.016</v>
          </cell>
          <cell r="C5" t="str">
            <v>Revisão do circuito elétrico que alimenta as luminárias para lâmpadas vapor mercúrio (aproveitamento de 90 % da fiação existente).</v>
          </cell>
          <cell r="D5" t="str">
            <v>vb</v>
          </cell>
          <cell r="F5">
            <v>613.08000000000004</v>
          </cell>
        </row>
        <row r="6">
          <cell r="B6" t="str">
            <v>18.01.020</v>
          </cell>
          <cell r="C6" t="str">
            <v>Fio de cobre, tempera meio-duro, classe 1, com cobertura de PVC, tipo WPP, S.M. - 6 mm², inclusive assentamento.</v>
          </cell>
          <cell r="D6" t="str">
            <v>m</v>
          </cell>
          <cell r="F6">
            <v>1.1599999999999999</v>
          </cell>
          <cell r="G6">
            <v>0</v>
          </cell>
        </row>
        <row r="7">
          <cell r="B7" t="str">
            <v>18.01.025</v>
          </cell>
          <cell r="C7" t="str">
            <v>Fio de cobre, tempera meio-duro, classe 1, com cobertura de PVC, tipo WPP, S.M. - 10 mm², inclusive assentamento.</v>
          </cell>
          <cell r="D7" t="str">
            <v>m</v>
          </cell>
          <cell r="F7">
            <v>1.62</v>
          </cell>
          <cell r="G7">
            <v>0</v>
          </cell>
        </row>
        <row r="8">
          <cell r="B8" t="str">
            <v>18.01.030</v>
          </cell>
          <cell r="C8" t="str">
            <v>Cabo de cobre, tempera meio-duro, encordoamento classe 2, com cobertura de PVC, tipo WPP, S.M. - 10 mm², inclusive assentamento.</v>
          </cell>
          <cell r="D8" t="str">
            <v>m</v>
          </cell>
          <cell r="F8">
            <v>1.64</v>
          </cell>
          <cell r="G8">
            <v>0</v>
          </cell>
        </row>
        <row r="9">
          <cell r="B9" t="str">
            <v>18.01.040</v>
          </cell>
          <cell r="C9" t="str">
            <v>Cabo de cobre, tempera meio-duro, encordoamento classe 2, com cobertura de PVC, tipo WPP, S.M. - 16 mm², inclusive assentamento.</v>
          </cell>
          <cell r="D9" t="str">
            <v>m</v>
          </cell>
          <cell r="F9">
            <v>2.44</v>
          </cell>
          <cell r="G9">
            <v>0</v>
          </cell>
        </row>
        <row r="10">
          <cell r="B10" t="str">
            <v>18.01.050</v>
          </cell>
          <cell r="C10" t="str">
            <v>Cabo de cobre, tempera meio-duro, encordoamento classe 2, com cobertura de PVC, tipo WPP, S.M. - 25 mm², inclusive assentamento.</v>
          </cell>
          <cell r="D10" t="str">
            <v>m</v>
          </cell>
          <cell r="F10">
            <v>3.24</v>
          </cell>
          <cell r="G10">
            <v>0</v>
          </cell>
        </row>
        <row r="11">
          <cell r="B11" t="str">
            <v>18.01.060</v>
          </cell>
          <cell r="C11" t="str">
            <v xml:space="preserve">Fornecimento e instalação de cabo de cobre nutrancado e asete fios, de tempera mole, bitola de 16 mm2. </v>
          </cell>
          <cell r="D11" t="str">
            <v>m</v>
          </cell>
          <cell r="F11">
            <v>3.4</v>
          </cell>
          <cell r="G11">
            <v>0</v>
          </cell>
        </row>
        <row r="13">
          <cell r="B13" t="str">
            <v>18.02</v>
          </cell>
        </row>
        <row r="14">
          <cell r="B14" t="str">
            <v>18.02.005</v>
          </cell>
          <cell r="C14" t="str">
            <v>Colocação de poste de ferro</v>
          </cell>
          <cell r="D14" t="str">
            <v>m</v>
          </cell>
          <cell r="F14">
            <v>6.51</v>
          </cell>
          <cell r="G14">
            <v>0</v>
          </cell>
        </row>
        <row r="15">
          <cell r="B15" t="str">
            <v>18.02.010</v>
          </cell>
          <cell r="C15" t="str">
            <v>Retirada de postes de concreto secção duplo T200 / 8 com engastamento direto no solo de 1,40 m (Poste 184-570, 18570 e mais dois sem identificação)</v>
          </cell>
          <cell r="D15" t="str">
            <v>un</v>
          </cell>
          <cell r="F15">
            <v>51.97</v>
          </cell>
          <cell r="G15">
            <v>0</v>
          </cell>
        </row>
        <row r="16">
          <cell r="B16" t="str">
            <v>18.02.020</v>
          </cell>
          <cell r="C16" t="str">
            <v>Poste de concreto secção duplo T, 100/8, com engastamento direto no solo de 1,40 m, inclusive colocação.</v>
          </cell>
          <cell r="D16" t="str">
            <v>un</v>
          </cell>
          <cell r="F16">
            <v>141.27000000000001</v>
          </cell>
          <cell r="G16">
            <v>0</v>
          </cell>
        </row>
        <row r="17">
          <cell r="B17" t="str">
            <v>18.02.025</v>
          </cell>
          <cell r="C17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7" t="str">
            <v>un</v>
          </cell>
          <cell r="F17">
            <v>239.88</v>
          </cell>
          <cell r="G17">
            <v>0</v>
          </cell>
        </row>
        <row r="18">
          <cell r="B18" t="str">
            <v>18.02.026</v>
          </cell>
          <cell r="C18" t="str">
            <v>Deslocamento de poste.</v>
          </cell>
          <cell r="D18" t="str">
            <v>un</v>
          </cell>
          <cell r="F18">
            <v>67.33</v>
          </cell>
          <cell r="G18">
            <v>0</v>
          </cell>
        </row>
        <row r="19">
          <cell r="B19" t="str">
            <v>18.02.030</v>
          </cell>
          <cell r="C19" t="str">
            <v>Poste de concreto secção duplo T, 200/8, com engastamento direto no solo de 1,40 m, inclusive colocação.</v>
          </cell>
          <cell r="D19" t="str">
            <v>un</v>
          </cell>
          <cell r="F19">
            <v>160.6</v>
          </cell>
          <cell r="G19">
            <v>0</v>
          </cell>
        </row>
        <row r="20">
          <cell r="B20" t="str">
            <v>18.02.040</v>
          </cell>
          <cell r="C20" t="str">
            <v>Poste de concreto secção duplo T, 200/12, com engastamento direto no solo de 1,80 m, inclusive colocação.</v>
          </cell>
          <cell r="D20" t="str">
            <v>un</v>
          </cell>
          <cell r="F20">
            <v>264.32</v>
          </cell>
          <cell r="G20">
            <v>0</v>
          </cell>
        </row>
        <row r="21">
          <cell r="B21" t="str">
            <v>18.02.045</v>
          </cell>
          <cell r="C21" t="str">
            <v>Poste de concreto secção duplo T, 300/8, com engastamento direto no solo de 1,40 m, inclusive colocação.</v>
          </cell>
          <cell r="D21" t="str">
            <v>un</v>
          </cell>
          <cell r="F21">
            <v>193.4</v>
          </cell>
          <cell r="G21">
            <v>0</v>
          </cell>
        </row>
        <row r="22">
          <cell r="B22" t="str">
            <v>18.02.050</v>
          </cell>
          <cell r="C22" t="str">
            <v>Poste de concreto secção duplo T, 300/12, com engastamento direto no solo de 1,80 m, inclusive colocação.</v>
          </cell>
          <cell r="D22" t="str">
            <v>un</v>
          </cell>
          <cell r="F22">
            <v>55.74</v>
          </cell>
          <cell r="G22">
            <v>0</v>
          </cell>
        </row>
        <row r="23">
          <cell r="B23" t="str">
            <v>18.02.051</v>
          </cell>
          <cell r="C23" t="str">
            <v xml:space="preserve">Super poste de concreto armado circular com altura de 20 m. </v>
          </cell>
          <cell r="D23" t="str">
            <v>un</v>
          </cell>
          <cell r="F23">
            <v>2209.3200000000002</v>
          </cell>
          <cell r="G23">
            <v>0</v>
          </cell>
        </row>
        <row r="24">
          <cell r="B24" t="str">
            <v>18.02.060</v>
          </cell>
          <cell r="C24" t="str">
            <v>Poste de concreto c/ seção circular c/ iluminação de 3 pétalas c/ altura de 8 m inclusive colocação, fixação e base de concreto p/ fixação</v>
          </cell>
          <cell r="D24" t="str">
            <v>un</v>
          </cell>
          <cell r="F24">
            <v>888.06</v>
          </cell>
        </row>
        <row r="25">
          <cell r="B25" t="str">
            <v>18.02.070</v>
          </cell>
          <cell r="C25" t="str">
            <v>Poste ornamental.</v>
          </cell>
          <cell r="D25" t="str">
            <v>un</v>
          </cell>
          <cell r="F25">
            <v>210.72</v>
          </cell>
        </row>
        <row r="26">
          <cell r="B26" t="str">
            <v>18.02.071</v>
          </cell>
          <cell r="C26" t="str">
            <v>Poste em concreto vibrado seção circular 9 m - 200 kg</v>
          </cell>
          <cell r="D26" t="str">
            <v>un</v>
          </cell>
          <cell r="F26">
            <v>216</v>
          </cell>
        </row>
        <row r="27">
          <cell r="B27" t="str">
            <v>18.02.080</v>
          </cell>
          <cell r="C27" t="str">
            <v>Fornecimento e instalação de rele fotoelétrico, 1000 w - 220 v.</v>
          </cell>
          <cell r="D27" t="str">
            <v>un</v>
          </cell>
          <cell r="F27">
            <v>18</v>
          </cell>
        </row>
        <row r="29">
          <cell r="B29" t="str">
            <v>18.03</v>
          </cell>
        </row>
        <row r="30">
          <cell r="B30" t="str">
            <v>18.03.010</v>
          </cell>
          <cell r="C30" t="str">
            <v>Estrutura secundária B1 completa, inclusive fixação.</v>
          </cell>
          <cell r="D30" t="str">
            <v>un</v>
          </cell>
          <cell r="F30">
            <v>29.1</v>
          </cell>
          <cell r="G30">
            <v>0</v>
          </cell>
        </row>
        <row r="31">
          <cell r="B31" t="str">
            <v>18.03.015</v>
          </cell>
          <cell r="C31" t="str">
            <v>Estrutura secundária B2 completa, inclusive fixação.</v>
          </cell>
          <cell r="D31" t="str">
            <v>un</v>
          </cell>
          <cell r="F31">
            <v>35.21</v>
          </cell>
          <cell r="G31">
            <v>0</v>
          </cell>
        </row>
        <row r="32">
          <cell r="B32" t="str">
            <v>18.03.020</v>
          </cell>
          <cell r="C32" t="str">
            <v>Estrutura secundária B3 completa, inclusive fixação.</v>
          </cell>
          <cell r="D32" t="str">
            <v>un</v>
          </cell>
          <cell r="F32">
            <v>59.23</v>
          </cell>
          <cell r="G32">
            <v>0</v>
          </cell>
        </row>
        <row r="33">
          <cell r="B33" t="str">
            <v>18.03.030</v>
          </cell>
          <cell r="C33" t="str">
            <v>Estrutura secundária B4 completa, inclusive fixação.</v>
          </cell>
          <cell r="D33" t="str">
            <v>un</v>
          </cell>
          <cell r="F33">
            <v>65.989999999999995</v>
          </cell>
          <cell r="G33">
            <v>0</v>
          </cell>
        </row>
        <row r="34">
          <cell r="B34" t="str">
            <v>18.03.031</v>
          </cell>
          <cell r="C34" t="str">
            <v>Cabo de iluminação 1/0 AWG - NU</v>
          </cell>
          <cell r="D34" t="str">
            <v>m</v>
          </cell>
          <cell r="F34">
            <v>19.54</v>
          </cell>
          <cell r="G34">
            <v>0</v>
          </cell>
        </row>
        <row r="35">
          <cell r="B35" t="str">
            <v>18.03.032</v>
          </cell>
          <cell r="C35" t="str">
            <v>Isoladores tipo castanha</v>
          </cell>
          <cell r="D35" t="str">
            <v>un</v>
          </cell>
          <cell r="F35">
            <v>17.399999999999999</v>
          </cell>
          <cell r="G35">
            <v>0</v>
          </cell>
        </row>
        <row r="36">
          <cell r="B36" t="str">
            <v>18.03.033</v>
          </cell>
          <cell r="C36" t="str">
            <v>Foto célula tipo NA.</v>
          </cell>
          <cell r="D36" t="str">
            <v>un</v>
          </cell>
          <cell r="F36">
            <v>12.77</v>
          </cell>
          <cell r="G36">
            <v>0</v>
          </cell>
        </row>
        <row r="38">
          <cell r="B38" t="str">
            <v>18.04</v>
          </cell>
        </row>
        <row r="39">
          <cell r="B39" t="str">
            <v>18.04.010</v>
          </cell>
          <cell r="C39" t="str">
            <v>Eletroduto de ferro galvanizado de 3/4 pol., inclusive assentamento.</v>
          </cell>
          <cell r="D39" t="str">
            <v>m</v>
          </cell>
          <cell r="F39">
            <v>4.9000000000000004</v>
          </cell>
          <cell r="G39">
            <v>0</v>
          </cell>
        </row>
        <row r="40">
          <cell r="B40" t="str">
            <v>18.04.020</v>
          </cell>
          <cell r="C40" t="str">
            <v>Eletroduto de ferro galvanizado de 1 pol., inclusive assentamento.</v>
          </cell>
          <cell r="D40" t="str">
            <v>m</v>
          </cell>
          <cell r="F40">
            <v>7.43</v>
          </cell>
          <cell r="G40">
            <v>0</v>
          </cell>
        </row>
        <row r="41">
          <cell r="B41" t="str">
            <v>18.04.030</v>
          </cell>
          <cell r="C41" t="str">
            <v>Eletroduto de ferro galvanizado de 1 1/2 pol., inclusive assentamento.</v>
          </cell>
          <cell r="D41" t="str">
            <v>m</v>
          </cell>
          <cell r="F41">
            <v>11.76</v>
          </cell>
          <cell r="G41">
            <v>0</v>
          </cell>
        </row>
        <row r="42">
          <cell r="B42" t="str">
            <v>18.04.040</v>
          </cell>
          <cell r="C42" t="str">
            <v>Eletroduto de ferro galvanizado de 2 pol., inclusive assentamento.</v>
          </cell>
          <cell r="D42" t="str">
            <v>m</v>
          </cell>
          <cell r="F42">
            <v>15.46</v>
          </cell>
          <cell r="G42">
            <v>0</v>
          </cell>
        </row>
        <row r="43">
          <cell r="B43" t="str">
            <v>18.04.050</v>
          </cell>
          <cell r="C43" t="str">
            <v>Eletroduto de ferro galvanizado de 2 1/2 pol., inclusive assentamento.</v>
          </cell>
          <cell r="D43" t="str">
            <v>m</v>
          </cell>
          <cell r="F43">
            <v>23.01</v>
          </cell>
          <cell r="G43">
            <v>0</v>
          </cell>
        </row>
        <row r="44">
          <cell r="B44" t="str">
            <v>18.04.060</v>
          </cell>
          <cell r="C44" t="str">
            <v>Eletroduto de ferro galvanizado de 4 pol., inclusive assentamento.</v>
          </cell>
          <cell r="D44" t="str">
            <v>m</v>
          </cell>
          <cell r="F44">
            <v>37.299999999999997</v>
          </cell>
          <cell r="G44">
            <v>0</v>
          </cell>
        </row>
        <row r="45">
          <cell r="B45" t="str">
            <v>18.04.061</v>
          </cell>
          <cell r="C45" t="str">
            <v>Eletroduto de PVC rígido de 11/2" com luva de rosca interna, inclusive assentamento</v>
          </cell>
          <cell r="D45" t="str">
            <v>un</v>
          </cell>
          <cell r="F45">
            <v>6.33</v>
          </cell>
        </row>
        <row r="47">
          <cell r="B47" t="str">
            <v>18.05</v>
          </cell>
        </row>
        <row r="48">
          <cell r="B48" t="str">
            <v>18.05.010</v>
          </cell>
          <cell r="C48" t="str">
            <v>Curva de ferro galvanizado de 3/4 pol., inclusive assentamento.</v>
          </cell>
          <cell r="D48" t="str">
            <v>un</v>
          </cell>
          <cell r="F48">
            <v>3.1</v>
          </cell>
          <cell r="G48">
            <v>0</v>
          </cell>
        </row>
        <row r="49">
          <cell r="B49" t="str">
            <v>18.05.020</v>
          </cell>
          <cell r="C49" t="str">
            <v>Curva de ferro galvanizado de 1 pol., inclusive assentamento.</v>
          </cell>
          <cell r="D49" t="str">
            <v>un</v>
          </cell>
          <cell r="F49">
            <v>4.53</v>
          </cell>
          <cell r="G49">
            <v>0</v>
          </cell>
        </row>
        <row r="50">
          <cell r="B50" t="str">
            <v>18.05.030</v>
          </cell>
          <cell r="C50" t="str">
            <v>Curva de ferro galvanizado de 1 1/2 pol., inclusive assentamento.</v>
          </cell>
          <cell r="D50" t="str">
            <v>un</v>
          </cell>
          <cell r="F50">
            <v>10.41</v>
          </cell>
          <cell r="G50">
            <v>0</v>
          </cell>
        </row>
        <row r="51">
          <cell r="B51" t="str">
            <v>18.05.040</v>
          </cell>
          <cell r="C51" t="str">
            <v>Curva de ferro galvanizado de 2 pol., inclusive assentamento.</v>
          </cell>
          <cell r="D51" t="str">
            <v>un</v>
          </cell>
          <cell r="F51">
            <v>16.78</v>
          </cell>
          <cell r="G51">
            <v>0</v>
          </cell>
        </row>
        <row r="52">
          <cell r="B52" t="str">
            <v>18.05.050</v>
          </cell>
          <cell r="C52" t="str">
            <v>Curva de ferro galvanizado de 2 1/2 pol., inclusive assentamento.</v>
          </cell>
          <cell r="D52" t="str">
            <v>un</v>
          </cell>
          <cell r="F52">
            <v>36.65</v>
          </cell>
          <cell r="G52">
            <v>0</v>
          </cell>
        </row>
        <row r="53">
          <cell r="B53" t="str">
            <v>18.05.060</v>
          </cell>
          <cell r="C53" t="str">
            <v>Curva de ferro galvanizado de 4 pol., inclusive assentamento.</v>
          </cell>
          <cell r="D53" t="str">
            <v>un</v>
          </cell>
          <cell r="F53">
            <v>76.64</v>
          </cell>
          <cell r="G53">
            <v>0</v>
          </cell>
        </row>
        <row r="54">
          <cell r="B54" t="str">
            <v>18.05.065</v>
          </cell>
          <cell r="C54" t="str">
            <v>Fornecimento e assentamento de haste de aterramento 5/8" x 2,40 m coppereweld</v>
          </cell>
          <cell r="D54" t="str">
            <v>un</v>
          </cell>
          <cell r="F54">
            <v>22.22</v>
          </cell>
        </row>
        <row r="56">
          <cell r="B56" t="str">
            <v>18.06</v>
          </cell>
        </row>
        <row r="57">
          <cell r="B57" t="str">
            <v>18.06.010</v>
          </cell>
          <cell r="C57" t="str">
            <v>Luva de ferro galvanizado de 3/4 pol., inclusive assentamento.</v>
          </cell>
          <cell r="D57" t="str">
            <v>un</v>
          </cell>
          <cell r="F57">
            <v>1.1299999999999999</v>
          </cell>
          <cell r="G57">
            <v>0</v>
          </cell>
        </row>
        <row r="58">
          <cell r="B58" t="str">
            <v>18.06.020</v>
          </cell>
          <cell r="C58" t="str">
            <v>Luva de ferro galvanizado de 1 pol., inclusive assentamento.</v>
          </cell>
          <cell r="D58" t="str">
            <v>un</v>
          </cell>
          <cell r="F58">
            <v>1.68</v>
          </cell>
          <cell r="G58">
            <v>0</v>
          </cell>
        </row>
        <row r="59">
          <cell r="B59" t="str">
            <v>18.06.030</v>
          </cell>
          <cell r="C59" t="str">
            <v>Luva de ferro galvanizado de 1 1/2 pol., inclusive assentamento.</v>
          </cell>
          <cell r="D59" t="str">
            <v>un</v>
          </cell>
          <cell r="F59">
            <v>2.91</v>
          </cell>
          <cell r="G59">
            <v>0</v>
          </cell>
        </row>
        <row r="60">
          <cell r="B60" t="str">
            <v>18.06.040</v>
          </cell>
          <cell r="C60" t="str">
            <v>Luva de ferro galvanizado de 2 pol., inclusive assentamento.</v>
          </cell>
          <cell r="D60" t="str">
            <v>un</v>
          </cell>
          <cell r="F60">
            <v>4.05</v>
          </cell>
          <cell r="G60">
            <v>0</v>
          </cell>
        </row>
        <row r="61">
          <cell r="B61" t="str">
            <v>18.06.050</v>
          </cell>
          <cell r="C61" t="str">
            <v>Luva de ferro galvanizado de 2 1/2 pol., inclusive assentamento.</v>
          </cell>
          <cell r="D61" t="str">
            <v>un</v>
          </cell>
          <cell r="F61">
            <v>7.16</v>
          </cell>
          <cell r="G61">
            <v>0</v>
          </cell>
        </row>
        <row r="62">
          <cell r="B62" t="str">
            <v>18.06.060</v>
          </cell>
          <cell r="C62" t="str">
            <v>Luva de ferro galvanizado de 4 pol., inclusive assentamento.</v>
          </cell>
          <cell r="D62" t="str">
            <v>un</v>
          </cell>
          <cell r="F62">
            <v>13.42</v>
          </cell>
          <cell r="G62">
            <v>0</v>
          </cell>
        </row>
        <row r="63">
          <cell r="B63" t="str">
            <v>18.06.061</v>
          </cell>
          <cell r="C63" t="str">
            <v>Luva de PVC rígido diâmetro de 2".</v>
          </cell>
          <cell r="D63" t="str">
            <v>un</v>
          </cell>
          <cell r="F63">
            <v>1.93</v>
          </cell>
          <cell r="G63">
            <v>0</v>
          </cell>
        </row>
        <row r="64">
          <cell r="B64" t="str">
            <v>18.06.062</v>
          </cell>
          <cell r="C64" t="str">
            <v>Luva de emenda para cabo 10 mm</v>
          </cell>
          <cell r="D64" t="str">
            <v>un</v>
          </cell>
          <cell r="F64">
            <v>0.35</v>
          </cell>
        </row>
        <row r="66">
          <cell r="B66" t="str">
            <v>18.07</v>
          </cell>
        </row>
        <row r="67">
          <cell r="B67" t="str">
            <v>18.07.010</v>
          </cell>
          <cell r="C67" t="str">
            <v>Jogo de bucha e arruela de alumínio de 1/2 pol., inclusive fixação.</v>
          </cell>
          <cell r="D67" t="str">
            <v>cj</v>
          </cell>
          <cell r="F67">
            <v>0.27</v>
          </cell>
          <cell r="G67">
            <v>0</v>
          </cell>
        </row>
        <row r="68">
          <cell r="B68" t="str">
            <v>18.07.020</v>
          </cell>
          <cell r="C68" t="str">
            <v>Jogo de bucha e arruela de alumínio de 3/4 pol., inclusive fixação.</v>
          </cell>
          <cell r="D68" t="str">
            <v>cj</v>
          </cell>
          <cell r="F68">
            <v>0.28999999999999998</v>
          </cell>
          <cell r="G68">
            <v>0</v>
          </cell>
        </row>
        <row r="69">
          <cell r="B69" t="str">
            <v>18.07.030</v>
          </cell>
          <cell r="C69" t="str">
            <v>Jogo de bucha e arruela de alumínio de 1 pol., inclusive fixação.</v>
          </cell>
          <cell r="D69" t="str">
            <v>cj</v>
          </cell>
          <cell r="F69">
            <v>0.45</v>
          </cell>
          <cell r="G69">
            <v>0</v>
          </cell>
        </row>
        <row r="70">
          <cell r="B70" t="str">
            <v>18.07.040</v>
          </cell>
          <cell r="C70" t="str">
            <v>Jogo de bucha e arruela de alumínio de 1 1/2 pol., inclusive fixação.</v>
          </cell>
          <cell r="D70" t="str">
            <v>cj</v>
          </cell>
          <cell r="F70">
            <v>0.85</v>
          </cell>
          <cell r="G70">
            <v>0</v>
          </cell>
        </row>
        <row r="71">
          <cell r="B71" t="str">
            <v>18.07.050</v>
          </cell>
          <cell r="C71" t="str">
            <v>Jogo de bucha e arruela de alumínio de 2 pol., inclusive fixação.</v>
          </cell>
          <cell r="D71" t="str">
            <v>cj</v>
          </cell>
          <cell r="F71">
            <v>1.64</v>
          </cell>
          <cell r="G71">
            <v>0</v>
          </cell>
        </row>
        <row r="72">
          <cell r="B72" t="str">
            <v>18.07.060</v>
          </cell>
          <cell r="C72" t="str">
            <v>Jogo de bucha e arruela de alumínio de 2 1/2 pol., inclusive fixação.</v>
          </cell>
          <cell r="D72" t="str">
            <v>cj</v>
          </cell>
          <cell r="F72">
            <v>2.39</v>
          </cell>
          <cell r="G72">
            <v>0</v>
          </cell>
        </row>
        <row r="73">
          <cell r="B73" t="str">
            <v>18.07.070</v>
          </cell>
          <cell r="C73" t="str">
            <v>Jogo de bucha e arruela de alumínio de 3 pol., inclusive fixação.</v>
          </cell>
          <cell r="D73" t="str">
            <v>cj</v>
          </cell>
          <cell r="F73">
            <v>3.79</v>
          </cell>
          <cell r="G73">
            <v>0</v>
          </cell>
        </row>
        <row r="74">
          <cell r="B74" t="str">
            <v>18.07.072</v>
          </cell>
          <cell r="C74" t="str">
            <v>Ganchos de 5/16".</v>
          </cell>
          <cell r="D74" t="str">
            <v>un</v>
          </cell>
          <cell r="F74">
            <v>0.8</v>
          </cell>
          <cell r="G74">
            <v>0</v>
          </cell>
        </row>
        <row r="75">
          <cell r="B75" t="str">
            <v>18.07.080</v>
          </cell>
          <cell r="C75" t="str">
            <v>Jogo de bucha e arruela de alumínio de 4 pol., inclusive fixação.</v>
          </cell>
          <cell r="D75" t="str">
            <v>cj</v>
          </cell>
          <cell r="F75">
            <v>5.31</v>
          </cell>
          <cell r="G75">
            <v>0</v>
          </cell>
        </row>
        <row r="77">
          <cell r="B77" t="str">
            <v>18.08</v>
          </cell>
        </row>
        <row r="78">
          <cell r="B78" t="str">
            <v>18.08.010</v>
          </cell>
          <cell r="C78" t="str">
            <v>Caixa para medição monofásica uso interno, inclusive colocação (padrão CELPE).</v>
          </cell>
          <cell r="D78" t="str">
            <v>un</v>
          </cell>
          <cell r="F78">
            <v>38.5</v>
          </cell>
          <cell r="G78">
            <v>0</v>
          </cell>
        </row>
        <row r="79">
          <cell r="B79" t="str">
            <v>18.08.020</v>
          </cell>
          <cell r="C79" t="str">
            <v>Caixa para medição monofásica uso externo, inclusive colocação (padrão CELPE).</v>
          </cell>
          <cell r="D79" t="str">
            <v>un</v>
          </cell>
          <cell r="F79">
            <v>48.6</v>
          </cell>
          <cell r="G79">
            <v>0</v>
          </cell>
        </row>
        <row r="81">
          <cell r="B81" t="str">
            <v>18.09</v>
          </cell>
        </row>
        <row r="82">
          <cell r="B82" t="str">
            <v>18.09.010</v>
          </cell>
          <cell r="C82" t="str">
            <v>Caixa para medição trifásica uso interno, modelo D, inclusive colocação (padrão CELPE).</v>
          </cell>
          <cell r="D82" t="str">
            <v>un</v>
          </cell>
          <cell r="F82">
            <v>82.93</v>
          </cell>
          <cell r="G82">
            <v>0</v>
          </cell>
        </row>
        <row r="83">
          <cell r="B83" t="str">
            <v>18.09.020</v>
          </cell>
          <cell r="C83" t="str">
            <v>Caixa para medição trifásica uso externo, modelo D, inclusive colocação (padrão CELPE).</v>
          </cell>
          <cell r="D83" t="str">
            <v>un</v>
          </cell>
          <cell r="F83">
            <v>104.26</v>
          </cell>
          <cell r="G83">
            <v>0</v>
          </cell>
        </row>
        <row r="85">
          <cell r="B85" t="str">
            <v>18.10</v>
          </cell>
        </row>
        <row r="86">
          <cell r="B86" t="str">
            <v>18.10.020</v>
          </cell>
          <cell r="C86" t="str">
            <v>Chave de faca de 2 polos, 30 A, 250 V, com base de ardósia, com 02 fusíveis tipo cartucho e parafusos, inclusive instalação em quadro de medição.</v>
          </cell>
          <cell r="D86" t="str">
            <v>un</v>
          </cell>
          <cell r="F86">
            <v>11.1</v>
          </cell>
          <cell r="G86">
            <v>0</v>
          </cell>
        </row>
        <row r="87">
          <cell r="B87" t="str">
            <v>18.10.030</v>
          </cell>
          <cell r="C87" t="str">
            <v>Chave de faca de 2 polos, 60 A, 250 V, com base de ardósia, com 02 fusíveis tipo cartucho e parafusos, inclusive instalação em quadro de medição.</v>
          </cell>
          <cell r="D87" t="str">
            <v>un</v>
          </cell>
          <cell r="F87">
            <v>16.3</v>
          </cell>
          <cell r="G87">
            <v>0</v>
          </cell>
        </row>
        <row r="88">
          <cell r="B88" t="str">
            <v>18.10.040</v>
          </cell>
          <cell r="C88" t="str">
            <v>Chave de faca de 3 polos, 60 A, 600 V, com base de ardósia, com 03 fusíveis tipo cartucho e parafusos, inclusive instalação em quadro de medição.</v>
          </cell>
          <cell r="D88" t="str">
            <v>un</v>
          </cell>
          <cell r="F88">
            <v>31.96</v>
          </cell>
          <cell r="G88">
            <v>0</v>
          </cell>
        </row>
        <row r="89">
          <cell r="B89" t="str">
            <v>18.10.050</v>
          </cell>
          <cell r="C89" t="str">
            <v>Chave de faca de 3 polos, 100 A, 600 V, com base de ardósia, com 03 fusíveis tipo cartucho e parafusos, inclusive instalação em quadro de medição.</v>
          </cell>
          <cell r="D89" t="str">
            <v>un</v>
          </cell>
          <cell r="F89">
            <v>57.62</v>
          </cell>
          <cell r="G89">
            <v>0</v>
          </cell>
        </row>
        <row r="90">
          <cell r="B90" t="str">
            <v>18.10.060</v>
          </cell>
          <cell r="C90" t="str">
            <v>Chave seccionadora com fusível, 125A, tipo 3NP4090 SIEMENS ou similar, tripolar com 03 fusíveis NH tamanho 00 e parafusos, inclusive instalação em quadro de medição.</v>
          </cell>
          <cell r="D90" t="str">
            <v>un</v>
          </cell>
          <cell r="F90">
            <v>85.08</v>
          </cell>
          <cell r="G90">
            <v>0</v>
          </cell>
        </row>
        <row r="91">
          <cell r="B91" t="str">
            <v>18.10.070</v>
          </cell>
          <cell r="C91" t="str">
            <v>Chave seccionadora com fusível, 250A, tipo 3NP2200 SIEMENS ou similar, tripolar com 03 fusíveis NH tamanho 01 e parafusos, inclusive instalação em quadro de medição.</v>
          </cell>
          <cell r="D91" t="str">
            <v>un</v>
          </cell>
          <cell r="F91">
            <v>141.25</v>
          </cell>
          <cell r="G91">
            <v>0</v>
          </cell>
        </row>
        <row r="93">
          <cell r="B93" t="str">
            <v>18.11</v>
          </cell>
        </row>
        <row r="94">
          <cell r="B94" t="str">
            <v>18.11.030</v>
          </cell>
          <cell r="C94" t="str">
            <v>Base para fusível tipo NH de 6 A a 125A, tamanho 00, SIEMENS ou similar, com parafusos, inclusive instalação em quadro.</v>
          </cell>
          <cell r="D94" t="str">
            <v>un</v>
          </cell>
          <cell r="F94">
            <v>9.09</v>
          </cell>
          <cell r="G94">
            <v>0</v>
          </cell>
        </row>
        <row r="95">
          <cell r="B95" t="str">
            <v>18.11.040</v>
          </cell>
          <cell r="C95" t="str">
            <v>Base para fusível tipo NH de 36 A a 250A, tamanho 1, SIEMENS ou similar, com parafusos, inclusive instalação em quadro.</v>
          </cell>
          <cell r="D95" t="str">
            <v>un</v>
          </cell>
          <cell r="F95">
            <v>17.96</v>
          </cell>
          <cell r="G95">
            <v>0</v>
          </cell>
        </row>
        <row r="97">
          <cell r="B97" t="str">
            <v>18.12</v>
          </cell>
        </row>
        <row r="98">
          <cell r="B98" t="str">
            <v>18.12.070</v>
          </cell>
          <cell r="C98" t="str">
            <v>Fusível tipo NH de 20A, tamanho 00, SIEMENS ou similar, inclusive instalação em quadro.</v>
          </cell>
          <cell r="D98" t="str">
            <v>un</v>
          </cell>
          <cell r="F98">
            <v>5.67</v>
          </cell>
          <cell r="G98">
            <v>0</v>
          </cell>
        </row>
        <row r="99">
          <cell r="B99" t="str">
            <v>18.12.080</v>
          </cell>
          <cell r="C99" t="str">
            <v>Fusível tipo NH de 25A,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18.12.090</v>
          </cell>
          <cell r="C100" t="str">
            <v>Fusível tipo NH de 36A,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18.12.100</v>
          </cell>
          <cell r="C101" t="str">
            <v>Fusível tipo NH de 50A,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18.12.110</v>
          </cell>
          <cell r="C102" t="str">
            <v>Fusível tipo NH de 63A,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18.12.120</v>
          </cell>
          <cell r="C103" t="str">
            <v>Fusível tipo NH de 80A,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18.12.130</v>
          </cell>
          <cell r="C104" t="str">
            <v>Fusível tipo NH de 100A,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18.12.140</v>
          </cell>
          <cell r="C105" t="str">
            <v>Fusível tipo NH de 125A,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18.12.150</v>
          </cell>
          <cell r="C106" t="str">
            <v>Fusível tipo NH de 160A, tamanho 01, SIEMENS ou similar, inclusive instalação em quadro.</v>
          </cell>
          <cell r="D106" t="str">
            <v>un</v>
          </cell>
          <cell r="F106">
            <v>12.26</v>
          </cell>
          <cell r="G106">
            <v>0</v>
          </cell>
        </row>
        <row r="107">
          <cell r="B107" t="str">
            <v>18.12.160</v>
          </cell>
          <cell r="C107" t="str">
            <v>Fusível tipo NH de 200A,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18.12.170</v>
          </cell>
          <cell r="C108" t="str">
            <v>Fusível tipo NH de 250A, tamanho 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10">
          <cell r="B110" t="str">
            <v>18.13</v>
          </cell>
        </row>
        <row r="111">
          <cell r="B111" t="str">
            <v>18.13.005</v>
          </cell>
          <cell r="C111" t="str">
            <v>Eletroduto flexível preto de 1", assentado em valas com profundidade de 0,60 m, inclusive escavação e reaterro.</v>
          </cell>
          <cell r="D111" t="str">
            <v>m</v>
          </cell>
          <cell r="F111">
            <v>3.1</v>
          </cell>
          <cell r="G111">
            <v>0</v>
          </cell>
        </row>
        <row r="112">
          <cell r="B112" t="str">
            <v>18.13.010</v>
          </cell>
          <cell r="C112" t="str">
            <v>Eletroduto de PVC rígido rosqueável de 1/2 pol., com luva de rosca interna, inclusive assentamento em lajes.</v>
          </cell>
          <cell r="D112" t="str">
            <v>m</v>
          </cell>
          <cell r="F112">
            <v>1.46</v>
          </cell>
          <cell r="G112">
            <v>0</v>
          </cell>
        </row>
        <row r="113">
          <cell r="B113" t="str">
            <v>18.13.020</v>
          </cell>
          <cell r="C113" t="str">
            <v>Eletroduto de PVC rígido rosqueável de 3/4 pol., com luva de rosca interna, inclusive assentamento em lajes.</v>
          </cell>
          <cell r="D113" t="str">
            <v>m</v>
          </cell>
          <cell r="F113">
            <v>1.51</v>
          </cell>
          <cell r="G113">
            <v>0</v>
          </cell>
        </row>
        <row r="114">
          <cell r="B114" t="str">
            <v>18.13.030</v>
          </cell>
          <cell r="C114" t="str">
            <v>Eletroduto de PVC rígido rosqueável de 1 pol., com luva de rosca interna, inclusive assentamento em lajes.</v>
          </cell>
          <cell r="D114" t="str">
            <v>m</v>
          </cell>
          <cell r="F114">
            <v>2.54</v>
          </cell>
          <cell r="G114">
            <v>0</v>
          </cell>
        </row>
        <row r="115">
          <cell r="B115" t="str">
            <v>18.13.040</v>
          </cell>
          <cell r="C115" t="str">
            <v>Eletroduto de PVC rígido rosqueável de 1/2 pol., com luva de rosca interna, inclusive assentamento com rasgo em alvenaria.</v>
          </cell>
          <cell r="D115" t="str">
            <v>m</v>
          </cell>
          <cell r="F115">
            <v>2.23</v>
          </cell>
          <cell r="G115">
            <v>0</v>
          </cell>
        </row>
        <row r="116">
          <cell r="B116" t="str">
            <v>18.13.050</v>
          </cell>
          <cell r="C116" t="str">
            <v>Eletroduto de PVC rígido rosqueável de 3/4 pol., com luva de rosca interna, inclusive assentamento com rasgo em alvenaria.</v>
          </cell>
          <cell r="D116" t="str">
            <v>m</v>
          </cell>
          <cell r="F116">
            <v>2.71</v>
          </cell>
          <cell r="G116">
            <v>0</v>
          </cell>
        </row>
        <row r="117">
          <cell r="B117" t="str">
            <v>18.13.060</v>
          </cell>
          <cell r="C117" t="str">
            <v>Eletroduto de PVC rígido rosqueável de 1 pol., com luva de rosca interna, inclusive assentamento com rasgo em alvenaria.</v>
          </cell>
          <cell r="D117" t="str">
            <v>m</v>
          </cell>
          <cell r="F117">
            <v>3.3</v>
          </cell>
          <cell r="G117">
            <v>0</v>
          </cell>
        </row>
        <row r="118">
          <cell r="B118" t="str">
            <v>18.12.070</v>
          </cell>
          <cell r="C118" t="str">
            <v>Eletroduto de PVC rígido rosqueável de 1 1/4 pol., com luva de rosca interna, inclusive assentamento com rasgo em alvenaria.</v>
          </cell>
          <cell r="D118" t="str">
            <v>m</v>
          </cell>
          <cell r="F118">
            <v>4.3099999999999996</v>
          </cell>
          <cell r="G118">
            <v>0</v>
          </cell>
        </row>
        <row r="119">
          <cell r="B119" t="str">
            <v>18.13.080</v>
          </cell>
          <cell r="C119" t="str">
            <v>Eletroduto de PVC rígido rosqueável de 1 1/2 pol., com luva de rosca interna, inclusive assentamento com rasgo em alvenaria.</v>
          </cell>
          <cell r="D119" t="str">
            <v>m</v>
          </cell>
          <cell r="F119">
            <v>5.65</v>
          </cell>
          <cell r="G119">
            <v>0</v>
          </cell>
        </row>
        <row r="120">
          <cell r="B120" t="str">
            <v>18.13.085</v>
          </cell>
          <cell r="C120" t="str">
            <v>Fornecimento e colocação de eletroduto de ferro galvanizado de 3 ".</v>
          </cell>
          <cell r="D120" t="str">
            <v>m</v>
          </cell>
          <cell r="F120">
            <v>29.91</v>
          </cell>
        </row>
        <row r="121">
          <cell r="B121" t="str">
            <v>18.13.086</v>
          </cell>
          <cell r="C121" t="str">
            <v>Fornecimento e instalação de quadro de distribuição para telefone.</v>
          </cell>
          <cell r="D121" t="str">
            <v>un</v>
          </cell>
          <cell r="F121">
            <v>96.07</v>
          </cell>
        </row>
        <row r="122">
          <cell r="B122" t="str">
            <v>18.13.090</v>
          </cell>
          <cell r="C122" t="str">
            <v>Eletroduto de PVC rígido rosqueável de 2 pol., com luva de rosca interna, inclusive assentamento com rasgo em alvenaria.</v>
          </cell>
          <cell r="D122" t="str">
            <v>m</v>
          </cell>
          <cell r="F122">
            <v>7.33</v>
          </cell>
          <cell r="G122">
            <v>0</v>
          </cell>
        </row>
        <row r="123">
          <cell r="B123" t="str">
            <v>18.13.100</v>
          </cell>
          <cell r="C123" t="str">
            <v>Eletroduto de PVC rígido rosqueável de 3 pol., com luva de rosca interna, inclusive assentamento com rasgo em alvenaria.</v>
          </cell>
          <cell r="D123" t="str">
            <v>m</v>
          </cell>
          <cell r="F123">
            <v>13.81</v>
          </cell>
          <cell r="G123">
            <v>0</v>
          </cell>
        </row>
        <row r="124">
          <cell r="B124" t="str">
            <v>18.13.110</v>
          </cell>
          <cell r="C124" t="str">
            <v>Eletroduto de PVC rígido rosqueável de 1/2 pol., com luva de rosca interna assentado em valas com profundidade de 0,60 m, inclusive escavação e reaterro.</v>
          </cell>
          <cell r="D124" t="str">
            <v>m</v>
          </cell>
          <cell r="F124">
            <v>3.33</v>
          </cell>
          <cell r="G124">
            <v>0</v>
          </cell>
        </row>
        <row r="125">
          <cell r="B125" t="str">
            <v>18.13.120</v>
          </cell>
          <cell r="C125" t="str">
            <v>Eletroduto de PVC rígido rosqueável de 3/4 pol., com luva de rosca interna assentado em valas com profundidade de 0,60 m, inclusive escavação e reaterro.</v>
          </cell>
          <cell r="D125" t="str">
            <v>m</v>
          </cell>
          <cell r="F125">
            <v>4.01</v>
          </cell>
          <cell r="G125">
            <v>0</v>
          </cell>
        </row>
        <row r="126">
          <cell r="B126" t="str">
            <v>18.13.130</v>
          </cell>
          <cell r="C126" t="str">
            <v>Eletroduto de PVC rígido rosqueável de 1 pol., com luva de rosca interna assentado em valas com profundidade de 0,60 m, inclusive escavação e reaterro.</v>
          </cell>
          <cell r="D126" t="str">
            <v>m</v>
          </cell>
          <cell r="F126">
            <v>5.39</v>
          </cell>
          <cell r="G126">
            <v>0</v>
          </cell>
        </row>
        <row r="127">
          <cell r="B127" t="str">
            <v>18.13.140</v>
          </cell>
          <cell r="C127" t="str">
            <v>Eletroduto de PVC rígido rosqueável de 1 1/2 pol., com luva de rosca interna assentado em valas com profundidade de 0,60 m, inclusive escavação e reaterro.</v>
          </cell>
          <cell r="D127" t="str">
            <v>m</v>
          </cell>
          <cell r="F127">
            <v>6.99</v>
          </cell>
          <cell r="G127">
            <v>0</v>
          </cell>
        </row>
        <row r="128">
          <cell r="B128" t="str">
            <v>18.13.150</v>
          </cell>
          <cell r="C128" t="str">
            <v>Eletroduto de PVC rígido rosqueável de 2 pol., com luva de rosca interna assentado em valas com profundidade de 0,60 m, inclusive escavação e reaterro.</v>
          </cell>
          <cell r="D128" t="str">
            <v>m</v>
          </cell>
          <cell r="F128">
            <v>8.6199999999999992</v>
          </cell>
          <cell r="G128">
            <v>0</v>
          </cell>
        </row>
        <row r="129">
          <cell r="B129" t="str">
            <v>18.13.160</v>
          </cell>
          <cell r="C129" t="str">
            <v>Eletroduto de PVC rígido rosqueável de 3 pol., com luva de rosca interna assentado em valas com profundidade de 0,60 m, inclusive escavação e reaterro.</v>
          </cell>
          <cell r="D129" t="str">
            <v>m</v>
          </cell>
          <cell r="F129">
            <v>15.23</v>
          </cell>
          <cell r="G129">
            <v>0</v>
          </cell>
        </row>
        <row r="130">
          <cell r="B130" t="str">
            <v>18.13.170</v>
          </cell>
          <cell r="C130" t="str">
            <v>Eletroduto de PVC rígido rosqueável de 4 pol., com luva de rosca interna assentado em valas com profundidade de 0,60 m, inclusive escavação e reaterro.</v>
          </cell>
          <cell r="D130" t="str">
            <v>m</v>
          </cell>
          <cell r="F130">
            <v>22.81</v>
          </cell>
          <cell r="G130">
            <v>0</v>
          </cell>
        </row>
        <row r="132">
          <cell r="B132" t="str">
            <v>18.14</v>
          </cell>
        </row>
        <row r="133">
          <cell r="B133" t="str">
            <v>18.14.010</v>
          </cell>
          <cell r="C133" t="str">
            <v xml:space="preserve">Curva de PVC rígido rosqueável de 3/4 pol., com luva de rosca interna, inclusive assentado. </v>
          </cell>
          <cell r="D133" t="str">
            <v>un</v>
          </cell>
          <cell r="F133">
            <v>1.84</v>
          </cell>
          <cell r="G133">
            <v>0</v>
          </cell>
        </row>
        <row r="134">
          <cell r="B134" t="str">
            <v>18.14.020</v>
          </cell>
          <cell r="C134" t="str">
            <v xml:space="preserve">Curva de PVC rígido rosqueável de 1 pol., com luva de rosca interna, inclusive assentado. </v>
          </cell>
          <cell r="D134" t="str">
            <v>un</v>
          </cell>
          <cell r="F134">
            <v>2.6</v>
          </cell>
          <cell r="G134">
            <v>0</v>
          </cell>
        </row>
        <row r="135">
          <cell r="B135" t="str">
            <v>18.14.030</v>
          </cell>
          <cell r="C135" t="str">
            <v xml:space="preserve">Curva de PVC rígido rosqueável de 1 1/4 pol., com luva de rosca interna, inclusive assentado. </v>
          </cell>
          <cell r="D135" t="str">
            <v>un</v>
          </cell>
          <cell r="F135">
            <v>4.0999999999999996</v>
          </cell>
          <cell r="G135">
            <v>0</v>
          </cell>
        </row>
        <row r="136">
          <cell r="B136" t="str">
            <v>18.14.040</v>
          </cell>
          <cell r="C136" t="str">
            <v xml:space="preserve">Curva de PVC rígido rosqueável de 1 1/2 pol., com luva de rosca interna, inclusive assentado. </v>
          </cell>
          <cell r="D136" t="str">
            <v>un</v>
          </cell>
          <cell r="F136">
            <v>5.0999999999999996</v>
          </cell>
          <cell r="G136">
            <v>0</v>
          </cell>
        </row>
        <row r="137">
          <cell r="B137" t="str">
            <v>18.14.050</v>
          </cell>
          <cell r="C137" t="str">
            <v xml:space="preserve">Curva de PVC rígido rosqueável de 2 pol., com luva de rosca interna, inclusive assentado. </v>
          </cell>
          <cell r="D137" t="str">
            <v>un</v>
          </cell>
          <cell r="F137">
            <v>7.96</v>
          </cell>
          <cell r="G137">
            <v>0</v>
          </cell>
        </row>
        <row r="138">
          <cell r="B138" t="str">
            <v>18.14.060</v>
          </cell>
          <cell r="C138" t="str">
            <v xml:space="preserve">Curva de PVC rígido rosqueável de 3 pol., com luva de rosca interna, inclusive assentado. </v>
          </cell>
          <cell r="D138" t="str">
            <v>un</v>
          </cell>
          <cell r="F138">
            <v>23.46</v>
          </cell>
          <cell r="G138">
            <v>0</v>
          </cell>
        </row>
        <row r="139">
          <cell r="B139" t="str">
            <v>18.14.070</v>
          </cell>
          <cell r="C139" t="str">
            <v xml:space="preserve">Curva de PVC rígido rosqueável de 4 pol., com luva de rosca interna, inclusive assentado. </v>
          </cell>
          <cell r="D139" t="str">
            <v>un</v>
          </cell>
          <cell r="F139">
            <v>37.86</v>
          </cell>
          <cell r="G139">
            <v>0</v>
          </cell>
        </row>
        <row r="141">
          <cell r="B141" t="str">
            <v>18.15</v>
          </cell>
        </row>
        <row r="142">
          <cell r="B142" t="str">
            <v>18.15.010</v>
          </cell>
          <cell r="C142" t="str">
            <v>Caixa 4 x 2 pol. Tigreflex ou similar,  inclusive assentamento.</v>
          </cell>
          <cell r="D142" t="str">
            <v>un</v>
          </cell>
          <cell r="F142">
            <v>1.45</v>
          </cell>
          <cell r="G142">
            <v>0</v>
          </cell>
        </row>
        <row r="143">
          <cell r="B143" t="str">
            <v>18.15.020</v>
          </cell>
          <cell r="C143" t="str">
            <v>Caixa 4 x 4 pol. Tigreflex ou similar,  inclusive assentamento.</v>
          </cell>
          <cell r="D143" t="str">
            <v>un</v>
          </cell>
          <cell r="F143">
            <v>1.75</v>
          </cell>
          <cell r="G143">
            <v>0</v>
          </cell>
        </row>
        <row r="144">
          <cell r="B144" t="str">
            <v>18.15.030</v>
          </cell>
          <cell r="C144" t="str">
            <v>Caixa octogonal de 4" Tigreflex ou similar, com fundo móvel, inclusive assentaemnto em laje.</v>
          </cell>
          <cell r="D144" t="str">
            <v>un</v>
          </cell>
          <cell r="F144">
            <v>1.9</v>
          </cell>
          <cell r="G144">
            <v>0</v>
          </cell>
        </row>
        <row r="145">
          <cell r="B145" t="str">
            <v>18.15.035</v>
          </cell>
          <cell r="C145" t="str">
            <v>Fornecimento e colocação de caixa pré-moldada para ar-condicionado de 15.000 BTU's</v>
          </cell>
          <cell r="D145" t="str">
            <v>un</v>
          </cell>
          <cell r="F145">
            <v>73.38</v>
          </cell>
        </row>
        <row r="147">
          <cell r="B147" t="str">
            <v>18.16</v>
          </cell>
        </row>
        <row r="148">
          <cell r="B148" t="str">
            <v>18.16.010</v>
          </cell>
          <cell r="C148" t="str">
            <v>Tomada de embutir (2P+T) com placa para caixa de 4 x 2 pol., 20 A, 250 V, Pial (linha silentoque) ou similar, inclusive instalação.</v>
          </cell>
          <cell r="D148" t="str">
            <v>un</v>
          </cell>
          <cell r="F148">
            <v>7.08</v>
          </cell>
          <cell r="G148">
            <v>0</v>
          </cell>
        </row>
        <row r="149">
          <cell r="B149" t="str">
            <v>18.16.020</v>
          </cell>
          <cell r="C149" t="str">
            <v>Tomada de embutir para telefone quatro polos, Padrão Telebrás, com placa, para caixa de 4 x 2 pol., Pial (linha silentoque) ou similar, inclusive instalação.</v>
          </cell>
          <cell r="D149" t="str">
            <v>un</v>
          </cell>
          <cell r="F149">
            <v>6.55</v>
          </cell>
          <cell r="G149">
            <v>0</v>
          </cell>
        </row>
        <row r="151">
          <cell r="B151" t="str">
            <v>18.17</v>
          </cell>
        </row>
        <row r="152">
          <cell r="B152" t="str">
            <v>18.17.010</v>
          </cell>
          <cell r="C152" t="str">
            <v>Conjunto ARSTOP ou similar de embutir, em caixa 4 x 4 pol., com placa, tomada Tripolar para pino chato e disjuntor termomagnético de 25 A, 250 V, inclusive instalação.</v>
          </cell>
          <cell r="D152" t="str">
            <v>un</v>
          </cell>
          <cell r="F152">
            <v>20.72</v>
          </cell>
          <cell r="G152">
            <v>0</v>
          </cell>
        </row>
        <row r="154">
          <cell r="B154" t="str">
            <v>18.18</v>
          </cell>
        </row>
        <row r="155">
          <cell r="B155" t="str">
            <v>18.18.010</v>
          </cell>
          <cell r="C155" t="str">
            <v>Interruptor de embutir de uma secção para caixa de 4 x 2 pol., com placa, 10 A, 250 V, Pial (linha silentoque) ou similar, inclusive instalação.</v>
          </cell>
          <cell r="D155" t="str">
            <v>un</v>
          </cell>
          <cell r="F155">
            <v>3.9</v>
          </cell>
          <cell r="G155">
            <v>0</v>
          </cell>
        </row>
        <row r="156">
          <cell r="B156" t="str">
            <v>18.18.020</v>
          </cell>
          <cell r="C156" t="str">
            <v>Interruptor de embutir de duas secções para caixa de 4 x 2 pol., com placa, 10 A, 250 V, Pial (linha silentoque) ou similar, inclusive instalação.</v>
          </cell>
          <cell r="D156" t="str">
            <v>un</v>
          </cell>
          <cell r="F156">
            <v>6.76</v>
          </cell>
          <cell r="G156">
            <v>0</v>
          </cell>
        </row>
        <row r="157">
          <cell r="B157" t="str">
            <v>18.18.030</v>
          </cell>
          <cell r="C157" t="str">
            <v>Interruptor de embutir de três secções para caixa de 4 x 2 pol., com placa, 10 A, 250 V, Pial (linha silentoque) ou similar, inclusive instalação.</v>
          </cell>
          <cell r="D157" t="str">
            <v>un</v>
          </cell>
          <cell r="F157">
            <v>8.8800000000000008</v>
          </cell>
          <cell r="G157">
            <v>0</v>
          </cell>
        </row>
        <row r="158">
          <cell r="B158" t="str">
            <v>18.18.040</v>
          </cell>
          <cell r="C158" t="str">
            <v>Interruptor de embutir de uma secção conjugada com tomada, para caixa de 4 x 2 pol., com placa, 10 A, 250 V, Pial (linha silentoque) ou similar, inclusive instalação.</v>
          </cell>
          <cell r="D158" t="str">
            <v>un</v>
          </cell>
          <cell r="F158">
            <v>6.71</v>
          </cell>
          <cell r="G158">
            <v>0</v>
          </cell>
        </row>
        <row r="159">
          <cell r="B159" t="str">
            <v>18.18.050</v>
          </cell>
          <cell r="C159" t="str">
            <v>Interruptor de embutir de duas secções conjugada com tomada, para caixa de 4 x 2 pol., com placa, 10 A, 250 V, Pial (linha silentoque) ou similar, inclusive instalação.</v>
          </cell>
          <cell r="D159" t="str">
            <v>un</v>
          </cell>
          <cell r="F159">
            <v>8.93</v>
          </cell>
          <cell r="G159">
            <v>0</v>
          </cell>
        </row>
        <row r="160">
          <cell r="B160" t="str">
            <v>18.18.060</v>
          </cell>
          <cell r="C160" t="str">
            <v>Interruptor de embutir Three-Way (vai e vem), para caixa de 4 x 2 pol., com placa, 10 A, 250 V, Pial (linha silentoque) ou similar, inclusive instalação.</v>
          </cell>
          <cell r="D160" t="str">
            <v>un</v>
          </cell>
          <cell r="F160">
            <v>5.19</v>
          </cell>
          <cell r="G160">
            <v>0</v>
          </cell>
        </row>
        <row r="162">
          <cell r="B162" t="str">
            <v>18.19</v>
          </cell>
        </row>
        <row r="163">
          <cell r="B163" t="str">
            <v>18.19.010</v>
          </cell>
          <cell r="C163" t="str">
            <v>Fio de cobre, têmpera mole, classe 1, isolamento de PVC - 70 C, tipo BWF, 750 V, Foreplast ou similar, S.M. - 1,5 mm², inclusive instalação em eletroduto.</v>
          </cell>
          <cell r="D163" t="str">
            <v>m</v>
          </cell>
          <cell r="F163">
            <v>0.59</v>
          </cell>
          <cell r="G163">
            <v>0</v>
          </cell>
        </row>
        <row r="164">
          <cell r="B164" t="str">
            <v>18.19.020</v>
          </cell>
          <cell r="C164" t="str">
            <v>Fio de cobre, têmpera mole, classe 1, isolamento de PVC - 70 C, tipo BWF, 750 V, Foreplast ou similar, S.M. - 2,5 mm², inclusive instalação em eletroduto.</v>
          </cell>
          <cell r="D164" t="str">
            <v>m</v>
          </cell>
          <cell r="F164">
            <v>0.85</v>
          </cell>
          <cell r="G164">
            <v>0</v>
          </cell>
        </row>
        <row r="165">
          <cell r="B165" t="str">
            <v>18.19.025</v>
          </cell>
          <cell r="C165" t="str">
            <v>Cabro de cobre, têmpera mole, encordoamento classe 2, isolamento de PVC - 70 C, tipo BWF, 750 V, Foreplast ou similar, S.M. - 2,5 mm², inclusive instalação em eletroduto.</v>
          </cell>
          <cell r="D165" t="str">
            <v>m</v>
          </cell>
          <cell r="F165">
            <v>0.9</v>
          </cell>
          <cell r="G165">
            <v>0</v>
          </cell>
        </row>
        <row r="166">
          <cell r="B166" t="str">
            <v>18.19.030</v>
          </cell>
          <cell r="C166" t="str">
            <v>Cabo de cobre, têmpera mole, encordoamento classe 2, isolamento de PVC - 70 C, tipo BWF, 750 V, Foreplast ou similar, S.M. - 4,0 mm², inclusive instalação em eletroduto.</v>
          </cell>
          <cell r="D166" t="str">
            <v>m</v>
          </cell>
          <cell r="F166">
            <v>0.94</v>
          </cell>
          <cell r="G166">
            <v>0</v>
          </cell>
        </row>
        <row r="167">
          <cell r="B167" t="str">
            <v>18.19.040</v>
          </cell>
          <cell r="C167" t="str">
            <v>Cabo de cobre, têmpera mole, encordoamento classe 2, isolamento de PVC - 70 C, tipo BWF, 750 V, Foreplast ou similar, S.M. - 6,0 mm², inclusive instalação em eletroduto.</v>
          </cell>
          <cell r="D167" t="str">
            <v>m</v>
          </cell>
          <cell r="F167">
            <v>1.1299999999999999</v>
          </cell>
          <cell r="G167">
            <v>0</v>
          </cell>
        </row>
        <row r="168">
          <cell r="B168" t="str">
            <v>18.19.041</v>
          </cell>
          <cell r="C168" t="str">
            <v>Cabo de cobre, têmpera mole, encordoamento classe 2, isolamento de PVC - 70 C, tipo BWF, 750 V, Foreplast ou similar, S.M. - 10,0 mm², inclusive instalação em eletroduto.</v>
          </cell>
          <cell r="D168" t="str">
            <v>m</v>
          </cell>
          <cell r="F168">
            <v>1.6</v>
          </cell>
          <cell r="G168">
            <v>0</v>
          </cell>
        </row>
        <row r="169">
          <cell r="B169" t="str">
            <v>18.19.042</v>
          </cell>
          <cell r="C169" t="str">
            <v>Cabo de cobre, têmpera mole, encordoamento classe 2, isolamento de PVC - 70 C, tipo BWF, 750 V, Foreplast ou similar, S.M. - 16,0 mm², inclusive instalação em eletroduto.</v>
          </cell>
          <cell r="D169" t="str">
            <v>m</v>
          </cell>
          <cell r="F169">
            <v>2.11</v>
          </cell>
          <cell r="G169">
            <v>0</v>
          </cell>
        </row>
        <row r="170">
          <cell r="B170" t="str">
            <v>18.19.043</v>
          </cell>
          <cell r="C170" t="str">
            <v>Cabo de cobre, têmpera mole, encordoamento classe 2, isolamento de PVC - 70 C, tipo BWF, 750 V, Foreplast ou similar, S.M. - 25,0 mm², inclusive instalação em eletroduto.</v>
          </cell>
          <cell r="D170" t="str">
            <v>m</v>
          </cell>
          <cell r="F170">
            <v>2.93</v>
          </cell>
          <cell r="G170">
            <v>0</v>
          </cell>
        </row>
        <row r="171">
          <cell r="B171" t="str">
            <v>18.19.046</v>
          </cell>
          <cell r="C171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1" t="str">
            <v>m</v>
          </cell>
          <cell r="F171">
            <v>0.69</v>
          </cell>
          <cell r="G171">
            <v>0</v>
          </cell>
        </row>
        <row r="172">
          <cell r="B172" t="str">
            <v>18.19.047</v>
          </cell>
          <cell r="C172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2" t="str">
            <v>m</v>
          </cell>
          <cell r="F172">
            <v>0.83</v>
          </cell>
          <cell r="G172">
            <v>0</v>
          </cell>
        </row>
        <row r="173">
          <cell r="B173" t="str">
            <v>18.19.048</v>
          </cell>
          <cell r="C173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3" t="str">
            <v>m</v>
          </cell>
          <cell r="F173">
            <v>1.29</v>
          </cell>
          <cell r="G173">
            <v>0</v>
          </cell>
        </row>
        <row r="174">
          <cell r="B174" t="str">
            <v>18.19.049</v>
          </cell>
          <cell r="C174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4" t="str">
            <v>m</v>
          </cell>
          <cell r="F174">
            <v>1.56</v>
          </cell>
          <cell r="G174">
            <v>0</v>
          </cell>
        </row>
        <row r="175">
          <cell r="B175" t="str">
            <v>18.19.050</v>
          </cell>
          <cell r="C175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5" t="str">
            <v>m</v>
          </cell>
          <cell r="F175">
            <v>2.06</v>
          </cell>
          <cell r="G175">
            <v>0</v>
          </cell>
        </row>
        <row r="176">
          <cell r="B176" t="str">
            <v>18.19.060</v>
          </cell>
          <cell r="C176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6" t="str">
            <v>m</v>
          </cell>
          <cell r="F176">
            <v>2.9</v>
          </cell>
          <cell r="G176">
            <v>0</v>
          </cell>
        </row>
        <row r="177">
          <cell r="B177" t="str">
            <v>18.19.065</v>
          </cell>
          <cell r="C177" t="str">
            <v>Dec., de piso cimentado.</v>
          </cell>
          <cell r="F177">
            <v>9.1</v>
          </cell>
          <cell r="G177">
            <v>0</v>
          </cell>
        </row>
        <row r="178">
          <cell r="B178" t="str">
            <v>18.19.070</v>
          </cell>
          <cell r="C178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8" t="str">
            <v>m</v>
          </cell>
          <cell r="F178">
            <v>3.85</v>
          </cell>
          <cell r="G178">
            <v>0</v>
          </cell>
        </row>
        <row r="179">
          <cell r="B179" t="str">
            <v>18.19.080</v>
          </cell>
          <cell r="C179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79" t="str">
            <v>m</v>
          </cell>
          <cell r="F179">
            <v>4.91</v>
          </cell>
          <cell r="G179">
            <v>0</v>
          </cell>
        </row>
        <row r="180">
          <cell r="B180" t="str">
            <v>18.19.085</v>
          </cell>
          <cell r="C180" t="str">
            <v>Cabo de Cobre  com isolamento termoplástico para ligação dos postes, com 4,0 mm² - 28 A, inclusive instalação em eletroduto.</v>
          </cell>
          <cell r="D180" t="str">
            <v>m</v>
          </cell>
          <cell r="F180">
            <v>0.8</v>
          </cell>
          <cell r="G180">
            <v>0</v>
          </cell>
        </row>
        <row r="182">
          <cell r="B182" t="str">
            <v>18.20</v>
          </cell>
        </row>
        <row r="183">
          <cell r="B183" t="str">
            <v>18.20.010</v>
          </cell>
          <cell r="C183" t="str">
            <v>Disjuntor monopolar termomagnético até 30 A, 220 V, Eletromar ou similar, inclusive instalação em quadro de distribuição.</v>
          </cell>
          <cell r="D183" t="str">
            <v>un</v>
          </cell>
          <cell r="F183">
            <v>6.01</v>
          </cell>
          <cell r="G183">
            <v>0</v>
          </cell>
        </row>
        <row r="184">
          <cell r="B184" t="str">
            <v>18.20.020</v>
          </cell>
          <cell r="C184" t="str">
            <v>Disjuntor monopolar termomagnético até 35 a 50A, 220 V, Eletromar ou similar, inclusive instalação em quadro de distribuição.</v>
          </cell>
          <cell r="D184" t="str">
            <v>un</v>
          </cell>
          <cell r="F184">
            <v>8.06</v>
          </cell>
          <cell r="G184">
            <v>0</v>
          </cell>
        </row>
        <row r="185">
          <cell r="B185" t="str">
            <v>18.20.030</v>
          </cell>
          <cell r="C185" t="str">
            <v>Disjuntor tripolar termomagnético até 50 A 380, 220 V, Eletromar ou similar, inclusive instalação em quadro de distribuição.</v>
          </cell>
          <cell r="D185" t="str">
            <v>un</v>
          </cell>
          <cell r="F185">
            <v>30.85</v>
          </cell>
          <cell r="G185">
            <v>0</v>
          </cell>
        </row>
        <row r="186">
          <cell r="B186" t="str">
            <v>18.20.040</v>
          </cell>
          <cell r="C186" t="str">
            <v>Disjuntor tripolar termomagnético até 60 a 100 A, 380 V, Eletromar ou similar, inclusive instalação em quadro de distribuição.</v>
          </cell>
          <cell r="D186" t="str">
            <v>un</v>
          </cell>
          <cell r="F186">
            <v>45.39</v>
          </cell>
          <cell r="G186">
            <v>0</v>
          </cell>
        </row>
        <row r="187">
          <cell r="B187" t="str">
            <v>18.20.050</v>
          </cell>
          <cell r="C187" t="str">
            <v>Disjuntor tripolar termomagnético até 120 a 150 A, 380 V, Eletromar ou similar, inclusive instalação em quadro de distribuição.</v>
          </cell>
          <cell r="D187" t="str">
            <v>un</v>
          </cell>
          <cell r="F187">
            <v>115.39</v>
          </cell>
          <cell r="G187">
            <v>0</v>
          </cell>
        </row>
        <row r="188">
          <cell r="B188" t="str">
            <v>18.20.055</v>
          </cell>
          <cell r="C188" t="str">
            <v>Fornecimento e colocação de disjuntor 15 A.</v>
          </cell>
          <cell r="D188" t="str">
            <v>un</v>
          </cell>
          <cell r="F188">
            <v>7.67</v>
          </cell>
        </row>
        <row r="189">
          <cell r="B189" t="str">
            <v>18.20.056</v>
          </cell>
          <cell r="C189" t="str">
            <v>Fornecimento e colocação de disjuntor 50 A.</v>
          </cell>
          <cell r="D189" t="str">
            <v>un</v>
          </cell>
          <cell r="F189">
            <v>10.27</v>
          </cell>
        </row>
        <row r="190">
          <cell r="B190" t="str">
            <v>18.20.057</v>
          </cell>
          <cell r="C190" t="str">
            <v>Fornecimento e colocação de disjuntor tripolar 150 A (quadro de medição).</v>
          </cell>
          <cell r="D190" t="str">
            <v>un</v>
          </cell>
          <cell r="F190">
            <v>149.04</v>
          </cell>
        </row>
        <row r="192">
          <cell r="B192" t="str">
            <v>18.21</v>
          </cell>
        </row>
        <row r="193">
          <cell r="B193" t="str">
            <v>18.21.010</v>
          </cell>
          <cell r="C193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3" t="str">
            <v>un</v>
          </cell>
          <cell r="F193">
            <v>49.2</v>
          </cell>
          <cell r="G193">
            <v>0</v>
          </cell>
        </row>
        <row r="194">
          <cell r="B194" t="str">
            <v>18.21.020</v>
          </cell>
          <cell r="C194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4" t="str">
            <v>un</v>
          </cell>
          <cell r="F194">
            <v>52.3</v>
          </cell>
          <cell r="G194">
            <v>0</v>
          </cell>
        </row>
        <row r="196">
          <cell r="B196" t="str">
            <v>18.21.150</v>
          </cell>
          <cell r="C196" t="str">
            <v xml:space="preserve">Quadro de distribuição metálico de embutir, com barramento, chave geral e placa neutro ref. QDETN-12, Cemar ou similar, para até 12 circuitos momopolares, com porta, inclusive instalação. </v>
          </cell>
          <cell r="D196" t="str">
            <v>un</v>
          </cell>
          <cell r="F196">
            <v>50.64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18.21.170</v>
          </cell>
          <cell r="C199" t="str">
            <v xml:space="preserve">Quadro de distribuição metálico de embutir, com barramento, chave geral e placa neutro ref. QDETN-32 Cemar ou similar, para 32 , circuitos momopolares, com porta e trinco, inclusive instalação. </v>
          </cell>
          <cell r="D199" t="str">
            <v>un</v>
          </cell>
          <cell r="F199">
            <v>104.28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16.18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16.78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19.13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24.78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44.17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sinalização instalado no posto de enfermagem.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19.91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32 W, ref. TMS-500 Philips ou similar, inclusive reator alto fator de potência lâmpadas, demais acessórios e instalação.</v>
          </cell>
          <cell r="D240" t="str">
            <v>cj</v>
          </cell>
          <cell r="F240">
            <v>51.13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21.26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11.54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202.97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19.190000000000001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140.63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198.6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teat-mus"/>
      <sheetName val="arte"/>
      <sheetName val="Lanchonete"/>
      <sheetName val="Loja 1"/>
      <sheetName val="Loja 2"/>
      <sheetName val="terraço de ativ."/>
      <sheetName val="se-ilum ext"/>
      <sheetName val="BM 01"/>
      <sheetName val="MEMORIA BM 01"/>
      <sheetName val="GERAL - COM DESONERAÇÃO"/>
      <sheetName val="GERAL - SEM DESONERAÇÃO"/>
      <sheetName val="ORCAMENTO COM DES"/>
      <sheetName val="MEM CÁLC COM DES"/>
      <sheetName val="_RESUMO COMPARATIVO_"/>
      <sheetName val="CRONOGRAMA "/>
      <sheetName val="BDI_PAV_26,01_NOVA_CPRB"/>
      <sheetName val="BDI_PAV_20,00_NOVA_CPRB"/>
      <sheetName val="BM 1"/>
      <sheetName val="MEMÓRIA DO BM1"/>
      <sheetName val="MEMÓRIA DO BM2"/>
      <sheetName val="BM 2"/>
      <sheetName val="MEMÓRIA DO BM3"/>
      <sheetName val="BM 3"/>
      <sheetName val="CRONOGRAMA"/>
      <sheetName val="Planilha1"/>
      <sheetName val="Plan1"/>
    </sheetNames>
    <sheetDataSet>
      <sheetData sheetId="0" refreshError="1">
        <row r="1">
          <cell r="B1" t="str">
            <v>18.01</v>
          </cell>
        </row>
        <row r="2">
          <cell r="B2" t="str">
            <v>18.01.005</v>
          </cell>
          <cell r="C2" t="str">
            <v>Fio de cobre nu, tempera meio-duro, classe 1A S.M. - 10 mm², inclusive assentamento.</v>
          </cell>
          <cell r="D2" t="str">
            <v>m</v>
          </cell>
          <cell r="F2">
            <v>1.84</v>
          </cell>
          <cell r="G2">
            <v>0</v>
          </cell>
        </row>
        <row r="3">
          <cell r="B3" t="str">
            <v>18.01.010</v>
          </cell>
          <cell r="C3" t="str">
            <v>Fio de cobre, tempera meio-duro, classe 1, com cobertura de PVC, tipo WPP, S.M. - 4 mm², inclusive assentamento.</v>
          </cell>
          <cell r="D3" t="str">
            <v>m</v>
          </cell>
          <cell r="F3">
            <v>0.97</v>
          </cell>
          <cell r="G3">
            <v>0</v>
          </cell>
        </row>
        <row r="4">
          <cell r="B4" t="str">
            <v>18.01.015</v>
          </cell>
          <cell r="C4" t="str">
            <v>Desativação da rede elétrica existente.</v>
          </cell>
          <cell r="D4" t="str">
            <v>vb</v>
          </cell>
          <cell r="F4">
            <v>283.14</v>
          </cell>
        </row>
        <row r="5">
          <cell r="B5" t="str">
            <v>18.01.016</v>
          </cell>
          <cell r="C5" t="str">
            <v>Revisão do circuito elétrico que alimenta as luminárias para lâmpadas vapor mercúrio (aproveitamento de 90 % da fiação existente).</v>
          </cell>
          <cell r="D5" t="str">
            <v>vb</v>
          </cell>
          <cell r="F5">
            <v>613.08000000000004</v>
          </cell>
        </row>
        <row r="6">
          <cell r="B6" t="str">
            <v>18.01.020</v>
          </cell>
          <cell r="C6" t="str">
            <v>Fio de cobre, tempera meio-duro, classe 1, com cobertura de PVC, tipo WPP, S.M. - 6 mm², inclusive assentamento.</v>
          </cell>
          <cell r="D6" t="str">
            <v>m</v>
          </cell>
          <cell r="F6">
            <v>1.1599999999999999</v>
          </cell>
          <cell r="G6">
            <v>0</v>
          </cell>
        </row>
        <row r="7">
          <cell r="B7" t="str">
            <v>18.01.025</v>
          </cell>
          <cell r="C7" t="str">
            <v>Fio de cobre, tempera meio-duro, classe 1, com cobertura de PVC, tipo WPP, S.M. - 10 mm², inclusive assentamento.</v>
          </cell>
          <cell r="D7" t="str">
            <v>m</v>
          </cell>
          <cell r="F7">
            <v>1.62</v>
          </cell>
          <cell r="G7">
            <v>0</v>
          </cell>
        </row>
        <row r="8">
          <cell r="B8" t="str">
            <v>18.01.030</v>
          </cell>
          <cell r="C8" t="str">
            <v>Cabo de cobre, tempera meio-duro, encordoamento classe 2, com cobertura de PVC, tipo WPP, S.M. - 10 mm², inclusive assentamento.</v>
          </cell>
          <cell r="D8" t="str">
            <v>m</v>
          </cell>
          <cell r="F8">
            <v>1.64</v>
          </cell>
          <cell r="G8">
            <v>0</v>
          </cell>
        </row>
        <row r="9">
          <cell r="B9" t="str">
            <v>18.01.040</v>
          </cell>
          <cell r="C9" t="str">
            <v>Cabo de cobre, tempera meio-duro, encordoamento classe 2, com cobertura de PVC, tipo WPP, S.M. - 16 mm², inclusive assentamento.</v>
          </cell>
          <cell r="D9" t="str">
            <v>m</v>
          </cell>
          <cell r="F9">
            <v>2.44</v>
          </cell>
          <cell r="G9">
            <v>0</v>
          </cell>
        </row>
        <row r="10">
          <cell r="B10" t="str">
            <v>18.01.050</v>
          </cell>
          <cell r="C10" t="str">
            <v>Cabo de cobre, tempera meio-duro, encordoamento classe 2, com cobertura de PVC, tipo WPP, S.M. - 25 mm², inclusive assentamento.</v>
          </cell>
          <cell r="D10" t="str">
            <v>m</v>
          </cell>
          <cell r="F10">
            <v>3.24</v>
          </cell>
          <cell r="G10">
            <v>0</v>
          </cell>
        </row>
        <row r="11">
          <cell r="B11" t="str">
            <v>18.01.060</v>
          </cell>
          <cell r="C11" t="str">
            <v xml:space="preserve">Fornecimento e instalação de cabo de cobre nutrancado e asete fios, de tempera mole, bitola de 16 mm2. </v>
          </cell>
          <cell r="D11" t="str">
            <v>m</v>
          </cell>
          <cell r="F11">
            <v>3.4</v>
          </cell>
          <cell r="G11">
            <v>0</v>
          </cell>
        </row>
        <row r="13">
          <cell r="B13" t="str">
            <v>18.02</v>
          </cell>
        </row>
        <row r="14">
          <cell r="B14" t="str">
            <v>18.02.005</v>
          </cell>
          <cell r="C14" t="str">
            <v>Colocação de poste de ferro</v>
          </cell>
          <cell r="D14" t="str">
            <v>m</v>
          </cell>
          <cell r="F14">
            <v>6.51</v>
          </cell>
          <cell r="G14">
            <v>0</v>
          </cell>
        </row>
        <row r="15">
          <cell r="B15" t="str">
            <v>18.02.010</v>
          </cell>
          <cell r="C15" t="str">
            <v>Retirada de postes de concreto secção duplo T200 / 8 com engastamento direto no solo de 1,40 m (Poste 184-570, 18570 e mais dois sem identificação)</v>
          </cell>
          <cell r="D15" t="str">
            <v>un</v>
          </cell>
          <cell r="F15">
            <v>51.97</v>
          </cell>
          <cell r="G15">
            <v>0</v>
          </cell>
        </row>
        <row r="16">
          <cell r="B16" t="str">
            <v>18.02.020</v>
          </cell>
          <cell r="C16" t="str">
            <v>Poste de concreto secção duplo T, 100/8, com engastamento direto no solo de 1,40 m, inclusive colocação.</v>
          </cell>
          <cell r="D16" t="str">
            <v>un</v>
          </cell>
          <cell r="F16">
            <v>141.27000000000001</v>
          </cell>
          <cell r="G16">
            <v>0</v>
          </cell>
        </row>
        <row r="17">
          <cell r="B17" t="str">
            <v>18.02.025</v>
          </cell>
          <cell r="C17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7" t="str">
            <v>un</v>
          </cell>
          <cell r="F17">
            <v>239.88</v>
          </cell>
          <cell r="G17">
            <v>0</v>
          </cell>
        </row>
        <row r="18">
          <cell r="B18" t="str">
            <v>18.02.026</v>
          </cell>
          <cell r="C18" t="str">
            <v>Deslocamento de poste.</v>
          </cell>
          <cell r="D18" t="str">
            <v>un</v>
          </cell>
          <cell r="F18">
            <v>67.33</v>
          </cell>
          <cell r="G18">
            <v>0</v>
          </cell>
        </row>
        <row r="19">
          <cell r="B19" t="str">
            <v>18.02.030</v>
          </cell>
          <cell r="C19" t="str">
            <v>Poste de concreto secção duplo T, 200/8, com engastamento direto no solo de 1,40 m, inclusive colocação.</v>
          </cell>
          <cell r="D19" t="str">
            <v>un</v>
          </cell>
          <cell r="F19">
            <v>160.6</v>
          </cell>
          <cell r="G19">
            <v>0</v>
          </cell>
        </row>
        <row r="20">
          <cell r="B20" t="str">
            <v>18.02.040</v>
          </cell>
          <cell r="C20" t="str">
            <v>Poste de concreto secção duplo T, 200/12, com engastamento direto no solo de 1,80 m, inclusive colocação.</v>
          </cell>
          <cell r="D20" t="str">
            <v>un</v>
          </cell>
          <cell r="F20">
            <v>264.32</v>
          </cell>
          <cell r="G20">
            <v>0</v>
          </cell>
        </row>
        <row r="21">
          <cell r="B21" t="str">
            <v>18.02.045</v>
          </cell>
          <cell r="C21" t="str">
            <v>Poste de concreto secção duplo T, 300/8, com engastamento direto no solo de 1,40 m, inclusive colocação.</v>
          </cell>
          <cell r="D21" t="str">
            <v>un</v>
          </cell>
          <cell r="F21">
            <v>193.4</v>
          </cell>
          <cell r="G21">
            <v>0</v>
          </cell>
        </row>
        <row r="22">
          <cell r="B22" t="str">
            <v>18.02.050</v>
          </cell>
          <cell r="C22" t="str">
            <v>Poste de concreto secção duplo T, 300/12, com engastamento direto no solo de 1,80 m, inclusive colocação.</v>
          </cell>
          <cell r="D22" t="str">
            <v>un</v>
          </cell>
          <cell r="F22">
            <v>55.74</v>
          </cell>
          <cell r="G22">
            <v>0</v>
          </cell>
        </row>
        <row r="23">
          <cell r="B23" t="str">
            <v>18.02.051</v>
          </cell>
          <cell r="C23" t="str">
            <v xml:space="preserve">Super poste de concreto armado circular com altura de 20 m. </v>
          </cell>
          <cell r="D23" t="str">
            <v>un</v>
          </cell>
          <cell r="F23">
            <v>2209.3200000000002</v>
          </cell>
          <cell r="G23">
            <v>0</v>
          </cell>
        </row>
        <row r="24">
          <cell r="B24" t="str">
            <v>18.02.060</v>
          </cell>
          <cell r="C24" t="str">
            <v>Poste de concreto c/ seção circular c/ iluminação de 3 pétalas c/ altura de 8 m inclusive colocação, fixação e base de concreto p/ fixação</v>
          </cell>
          <cell r="D24" t="str">
            <v>un</v>
          </cell>
          <cell r="F24">
            <v>888.06</v>
          </cell>
        </row>
        <row r="25">
          <cell r="B25" t="str">
            <v>18.02.070</v>
          </cell>
          <cell r="C25" t="str">
            <v>Poste ornamental.</v>
          </cell>
          <cell r="D25" t="str">
            <v>un</v>
          </cell>
          <cell r="F25">
            <v>210.72</v>
          </cell>
        </row>
        <row r="26">
          <cell r="B26" t="str">
            <v>18.02.071</v>
          </cell>
          <cell r="C26" t="str">
            <v>Poste em concreto vibrado seção circular 9 m - 200 kg</v>
          </cell>
          <cell r="D26" t="str">
            <v>un</v>
          </cell>
          <cell r="F26">
            <v>216</v>
          </cell>
        </row>
        <row r="27">
          <cell r="B27" t="str">
            <v>18.02.080</v>
          </cell>
          <cell r="C27" t="str">
            <v>Fornecimento e instalação de rele fotoelétrico, 1000 w - 220 v.</v>
          </cell>
          <cell r="D27" t="str">
            <v>un</v>
          </cell>
          <cell r="F27">
            <v>18</v>
          </cell>
        </row>
        <row r="29">
          <cell r="B29" t="str">
            <v>18.03</v>
          </cell>
        </row>
        <row r="30">
          <cell r="B30" t="str">
            <v>18.03.010</v>
          </cell>
          <cell r="C30" t="str">
            <v>Estrutura secundária B1 completa, inclusive fixação.</v>
          </cell>
          <cell r="D30" t="str">
            <v>un</v>
          </cell>
          <cell r="F30">
            <v>29.1</v>
          </cell>
          <cell r="G30">
            <v>0</v>
          </cell>
        </row>
        <row r="31">
          <cell r="B31" t="str">
            <v>18.03.015</v>
          </cell>
          <cell r="C31" t="str">
            <v>Estrutura secundária B2 completa, inclusive fixação.</v>
          </cell>
          <cell r="D31" t="str">
            <v>un</v>
          </cell>
          <cell r="F31">
            <v>35.21</v>
          </cell>
          <cell r="G31">
            <v>0</v>
          </cell>
        </row>
        <row r="32">
          <cell r="B32" t="str">
            <v>18.03.020</v>
          </cell>
          <cell r="C32" t="str">
            <v>Estrutura secundária B3 completa, inclusive fixação.</v>
          </cell>
          <cell r="D32" t="str">
            <v>un</v>
          </cell>
          <cell r="F32">
            <v>59.23</v>
          </cell>
          <cell r="G32">
            <v>0</v>
          </cell>
        </row>
        <row r="33">
          <cell r="B33" t="str">
            <v>18.03.030</v>
          </cell>
          <cell r="C33" t="str">
            <v>Estrutura secundária B4 completa, inclusive fixação.</v>
          </cell>
          <cell r="D33" t="str">
            <v>un</v>
          </cell>
          <cell r="F33">
            <v>65.989999999999995</v>
          </cell>
          <cell r="G33">
            <v>0</v>
          </cell>
        </row>
        <row r="34">
          <cell r="B34" t="str">
            <v>18.03.031</v>
          </cell>
          <cell r="C34" t="str">
            <v>Cabo de iluminação 1/0 AWG - NU</v>
          </cell>
          <cell r="D34" t="str">
            <v>m</v>
          </cell>
          <cell r="F34">
            <v>19.54</v>
          </cell>
          <cell r="G34">
            <v>0</v>
          </cell>
        </row>
        <row r="35">
          <cell r="B35" t="str">
            <v>18.03.032</v>
          </cell>
          <cell r="C35" t="str">
            <v>Isoladores tipo castanha</v>
          </cell>
          <cell r="D35" t="str">
            <v>un</v>
          </cell>
          <cell r="F35">
            <v>17.399999999999999</v>
          </cell>
          <cell r="G35">
            <v>0</v>
          </cell>
        </row>
        <row r="36">
          <cell r="B36" t="str">
            <v>18.03.033</v>
          </cell>
          <cell r="C36" t="str">
            <v>Foto célula tipo NA.</v>
          </cell>
          <cell r="D36" t="str">
            <v>un</v>
          </cell>
          <cell r="F36">
            <v>12.77</v>
          </cell>
          <cell r="G36">
            <v>0</v>
          </cell>
        </row>
        <row r="38">
          <cell r="B38" t="str">
            <v>18.04</v>
          </cell>
        </row>
        <row r="39">
          <cell r="B39" t="str">
            <v>18.04.010</v>
          </cell>
          <cell r="C39" t="str">
            <v>Eletroduto de ferro galvanizado de 3/4 pol., inclusive assentamento.</v>
          </cell>
          <cell r="D39" t="str">
            <v>m</v>
          </cell>
          <cell r="F39">
            <v>4.9000000000000004</v>
          </cell>
          <cell r="G39">
            <v>0</v>
          </cell>
        </row>
        <row r="40">
          <cell r="B40" t="str">
            <v>18.04.020</v>
          </cell>
          <cell r="C40" t="str">
            <v>Eletroduto de ferro galvanizado de 1 pol., inclusive assentamento.</v>
          </cell>
          <cell r="D40" t="str">
            <v>m</v>
          </cell>
          <cell r="F40">
            <v>7.43</v>
          </cell>
          <cell r="G40">
            <v>0</v>
          </cell>
        </row>
        <row r="41">
          <cell r="B41" t="str">
            <v>18.04.030</v>
          </cell>
          <cell r="C41" t="str">
            <v>Eletroduto de ferro galvanizado de 1 1/2 pol., inclusive assentamento.</v>
          </cell>
          <cell r="D41" t="str">
            <v>m</v>
          </cell>
          <cell r="F41">
            <v>11.76</v>
          </cell>
          <cell r="G41">
            <v>0</v>
          </cell>
        </row>
        <row r="42">
          <cell r="B42" t="str">
            <v>18.04.040</v>
          </cell>
          <cell r="C42" t="str">
            <v>Eletroduto de ferro galvanizado de 2 pol., inclusive assentamento.</v>
          </cell>
          <cell r="D42" t="str">
            <v>m</v>
          </cell>
          <cell r="F42">
            <v>15.46</v>
          </cell>
          <cell r="G42">
            <v>0</v>
          </cell>
        </row>
        <row r="43">
          <cell r="B43" t="str">
            <v>18.04.050</v>
          </cell>
          <cell r="C43" t="str">
            <v>Eletroduto de ferro galvanizado de 2 1/2 pol., inclusive assentamento.</v>
          </cell>
          <cell r="D43" t="str">
            <v>m</v>
          </cell>
          <cell r="F43">
            <v>23.01</v>
          </cell>
          <cell r="G43">
            <v>0</v>
          </cell>
        </row>
        <row r="44">
          <cell r="B44" t="str">
            <v>18.04.060</v>
          </cell>
          <cell r="C44" t="str">
            <v>Eletroduto de ferro galvanizado de 4 pol., inclusive assentamento.</v>
          </cell>
          <cell r="D44" t="str">
            <v>m</v>
          </cell>
          <cell r="F44">
            <v>37.299999999999997</v>
          </cell>
          <cell r="G44">
            <v>0</v>
          </cell>
        </row>
        <row r="45">
          <cell r="B45" t="str">
            <v>18.04.061</v>
          </cell>
          <cell r="C45" t="str">
            <v>Eletroduto de PVC rígido de 11/2" com luva de rosca interna, inclusive assentamento</v>
          </cell>
          <cell r="D45" t="str">
            <v>un</v>
          </cell>
          <cell r="F45">
            <v>6.33</v>
          </cell>
        </row>
        <row r="47">
          <cell r="B47" t="str">
            <v>18.05</v>
          </cell>
        </row>
        <row r="48">
          <cell r="B48" t="str">
            <v>18.05.010</v>
          </cell>
          <cell r="C48" t="str">
            <v>Curva de ferro galvanizado de 3/4 pol., inclusive assentamento.</v>
          </cell>
          <cell r="D48" t="str">
            <v>un</v>
          </cell>
          <cell r="F48">
            <v>3.1</v>
          </cell>
          <cell r="G48">
            <v>0</v>
          </cell>
        </row>
        <row r="49">
          <cell r="B49" t="str">
            <v>18.05.020</v>
          </cell>
          <cell r="C49" t="str">
            <v>Curva de ferro galvanizado de 1 pol., inclusive assentamento.</v>
          </cell>
          <cell r="D49" t="str">
            <v>un</v>
          </cell>
          <cell r="F49">
            <v>4.53</v>
          </cell>
          <cell r="G49">
            <v>0</v>
          </cell>
        </row>
        <row r="50">
          <cell r="B50" t="str">
            <v>18.05.030</v>
          </cell>
          <cell r="C50" t="str">
            <v>Curva de ferro galvanizado de 1 1/2 pol., inclusive assentamento.</v>
          </cell>
          <cell r="D50" t="str">
            <v>un</v>
          </cell>
          <cell r="F50">
            <v>10.41</v>
          </cell>
          <cell r="G50">
            <v>0</v>
          </cell>
        </row>
        <row r="51">
          <cell r="B51" t="str">
            <v>18.05.040</v>
          </cell>
          <cell r="C51" t="str">
            <v>Curva de ferro galvanizado de 2 pol., inclusive assentamento.</v>
          </cell>
          <cell r="D51" t="str">
            <v>un</v>
          </cell>
          <cell r="F51">
            <v>16.78</v>
          </cell>
          <cell r="G51">
            <v>0</v>
          </cell>
        </row>
        <row r="52">
          <cell r="B52" t="str">
            <v>18.05.050</v>
          </cell>
          <cell r="C52" t="str">
            <v>Curva de ferro galvanizado de 2 1/2 pol., inclusive assentamento.</v>
          </cell>
          <cell r="D52" t="str">
            <v>un</v>
          </cell>
          <cell r="F52">
            <v>36.65</v>
          </cell>
          <cell r="G52">
            <v>0</v>
          </cell>
        </row>
        <row r="53">
          <cell r="B53" t="str">
            <v>18.05.060</v>
          </cell>
          <cell r="C53" t="str">
            <v>Curva de ferro galvanizado de 4 pol., inclusive assentamento.</v>
          </cell>
          <cell r="D53" t="str">
            <v>un</v>
          </cell>
          <cell r="F53">
            <v>76.64</v>
          </cell>
          <cell r="G53">
            <v>0</v>
          </cell>
        </row>
        <row r="54">
          <cell r="B54" t="str">
            <v>18.05.065</v>
          </cell>
          <cell r="C54" t="str">
            <v>Fornecimento e assentamento de haste de aterramento 5/8" x 2,40 m coppereweld</v>
          </cell>
          <cell r="D54" t="str">
            <v>un</v>
          </cell>
          <cell r="F54">
            <v>22.22</v>
          </cell>
        </row>
        <row r="56">
          <cell r="B56" t="str">
            <v>18.06</v>
          </cell>
        </row>
        <row r="57">
          <cell r="B57" t="str">
            <v>18.06.010</v>
          </cell>
          <cell r="C57" t="str">
            <v>Luva de ferro galvanizado de 3/4 pol., inclusive assentamento.</v>
          </cell>
          <cell r="D57" t="str">
            <v>un</v>
          </cell>
          <cell r="F57">
            <v>1.1299999999999999</v>
          </cell>
          <cell r="G57">
            <v>0</v>
          </cell>
        </row>
        <row r="58">
          <cell r="B58" t="str">
            <v>18.06.020</v>
          </cell>
          <cell r="C58" t="str">
            <v>Luva de ferro galvanizado de 1 pol., inclusive assentamento.</v>
          </cell>
          <cell r="D58" t="str">
            <v>un</v>
          </cell>
          <cell r="F58">
            <v>1.68</v>
          </cell>
          <cell r="G58">
            <v>0</v>
          </cell>
        </row>
        <row r="59">
          <cell r="B59" t="str">
            <v>18.06.030</v>
          </cell>
          <cell r="C59" t="str">
            <v>Luva de ferro galvanizado de 1 1/2 pol., inclusive assentamento.</v>
          </cell>
          <cell r="D59" t="str">
            <v>un</v>
          </cell>
          <cell r="F59">
            <v>2.91</v>
          </cell>
          <cell r="G59">
            <v>0</v>
          </cell>
        </row>
        <row r="60">
          <cell r="B60" t="str">
            <v>18.06.040</v>
          </cell>
          <cell r="C60" t="str">
            <v>Luva de ferro galvanizado de 2 pol., inclusive assentamento.</v>
          </cell>
          <cell r="D60" t="str">
            <v>un</v>
          </cell>
          <cell r="F60">
            <v>4.05</v>
          </cell>
          <cell r="G60">
            <v>0</v>
          </cell>
        </row>
        <row r="61">
          <cell r="B61" t="str">
            <v>18.06.050</v>
          </cell>
          <cell r="C61" t="str">
            <v>Luva de ferro galvanizado de 2 1/2 pol., inclusive assentamento.</v>
          </cell>
          <cell r="D61" t="str">
            <v>un</v>
          </cell>
          <cell r="F61">
            <v>7.16</v>
          </cell>
          <cell r="G61">
            <v>0</v>
          </cell>
        </row>
        <row r="62">
          <cell r="B62" t="str">
            <v>18.06.060</v>
          </cell>
          <cell r="C62" t="str">
            <v>Luva de ferro galvanizado de 4 pol., inclusive assentamento.</v>
          </cell>
          <cell r="D62" t="str">
            <v>un</v>
          </cell>
          <cell r="F62">
            <v>13.42</v>
          </cell>
          <cell r="G62">
            <v>0</v>
          </cell>
        </row>
        <row r="63">
          <cell r="B63" t="str">
            <v>18.06.061</v>
          </cell>
          <cell r="C63" t="str">
            <v>Luva de PVC rígido diâmetro de 2".</v>
          </cell>
          <cell r="D63" t="str">
            <v>un</v>
          </cell>
          <cell r="F63">
            <v>1.93</v>
          </cell>
          <cell r="G63">
            <v>0</v>
          </cell>
        </row>
        <row r="64">
          <cell r="B64" t="str">
            <v>18.06.062</v>
          </cell>
          <cell r="C64" t="str">
            <v>Luva de emenda para cabo 10 mm</v>
          </cell>
          <cell r="D64" t="str">
            <v>un</v>
          </cell>
          <cell r="F64">
            <v>0.35</v>
          </cell>
        </row>
        <row r="66">
          <cell r="B66" t="str">
            <v>18.07</v>
          </cell>
        </row>
        <row r="67">
          <cell r="B67" t="str">
            <v>18.07.010</v>
          </cell>
          <cell r="C67" t="str">
            <v>Jogo de bucha e arruela de alumínio de 1/2 pol., inclusive fixação.</v>
          </cell>
          <cell r="D67" t="str">
            <v>cj</v>
          </cell>
          <cell r="F67">
            <v>0.27</v>
          </cell>
          <cell r="G67">
            <v>0</v>
          </cell>
        </row>
        <row r="68">
          <cell r="B68" t="str">
            <v>18.07.020</v>
          </cell>
          <cell r="C68" t="str">
            <v>Jogo de bucha e arruela de alumínio de 3/4 pol., inclusive fixação.</v>
          </cell>
          <cell r="D68" t="str">
            <v>cj</v>
          </cell>
          <cell r="F68">
            <v>0.28999999999999998</v>
          </cell>
          <cell r="G68">
            <v>0</v>
          </cell>
        </row>
        <row r="69">
          <cell r="B69" t="str">
            <v>18.07.030</v>
          </cell>
          <cell r="C69" t="str">
            <v>Jogo de bucha e arruela de alumínio de 1 pol., inclusive fixação.</v>
          </cell>
          <cell r="D69" t="str">
            <v>cj</v>
          </cell>
          <cell r="F69">
            <v>0.45</v>
          </cell>
          <cell r="G69">
            <v>0</v>
          </cell>
        </row>
        <row r="70">
          <cell r="B70" t="str">
            <v>18.07.040</v>
          </cell>
          <cell r="C70" t="str">
            <v>Jogo de bucha e arruela de alumínio de 1 1/2 pol., inclusive fixação.</v>
          </cell>
          <cell r="D70" t="str">
            <v>cj</v>
          </cell>
          <cell r="F70">
            <v>0.85</v>
          </cell>
          <cell r="G70">
            <v>0</v>
          </cell>
        </row>
        <row r="71">
          <cell r="B71" t="str">
            <v>18.07.050</v>
          </cell>
          <cell r="C71" t="str">
            <v>Jogo de bucha e arruela de alumínio de 2 pol., inclusive fixação.</v>
          </cell>
          <cell r="D71" t="str">
            <v>cj</v>
          </cell>
          <cell r="F71">
            <v>1.64</v>
          </cell>
          <cell r="G71">
            <v>0</v>
          </cell>
        </row>
        <row r="72">
          <cell r="B72" t="str">
            <v>18.07.060</v>
          </cell>
          <cell r="C72" t="str">
            <v>Jogo de bucha e arruela de alumínio de 2 1/2 pol., inclusive fixação.</v>
          </cell>
          <cell r="D72" t="str">
            <v>cj</v>
          </cell>
          <cell r="F72">
            <v>2.39</v>
          </cell>
          <cell r="G72">
            <v>0</v>
          </cell>
        </row>
        <row r="73">
          <cell r="B73" t="str">
            <v>18.07.070</v>
          </cell>
          <cell r="C73" t="str">
            <v>Jogo de bucha e arruela de alumínio de 3 pol., inclusive fixação.</v>
          </cell>
          <cell r="D73" t="str">
            <v>cj</v>
          </cell>
          <cell r="F73">
            <v>3.79</v>
          </cell>
          <cell r="G73">
            <v>0</v>
          </cell>
        </row>
        <row r="74">
          <cell r="B74" t="str">
            <v>18.07.072</v>
          </cell>
          <cell r="C74" t="str">
            <v>Ganchos de 5/16".</v>
          </cell>
          <cell r="D74" t="str">
            <v>un</v>
          </cell>
          <cell r="F74">
            <v>0.8</v>
          </cell>
          <cell r="G74">
            <v>0</v>
          </cell>
        </row>
        <row r="75">
          <cell r="B75" t="str">
            <v>18.07.080</v>
          </cell>
          <cell r="C75" t="str">
            <v>Jogo de bucha e arruela de alumínio de 4 pol., inclusive fixação.</v>
          </cell>
          <cell r="D75" t="str">
            <v>cj</v>
          </cell>
          <cell r="F75">
            <v>5.31</v>
          </cell>
          <cell r="G75">
            <v>0</v>
          </cell>
        </row>
        <row r="77">
          <cell r="B77" t="str">
            <v>18.08</v>
          </cell>
        </row>
        <row r="78">
          <cell r="B78" t="str">
            <v>18.08.010</v>
          </cell>
          <cell r="C78" t="str">
            <v>Caixa para medição monofásica uso interno, inclusive colocação (padrão CELPE).</v>
          </cell>
          <cell r="D78" t="str">
            <v>un</v>
          </cell>
          <cell r="F78">
            <v>38.5</v>
          </cell>
          <cell r="G78">
            <v>0</v>
          </cell>
        </row>
        <row r="79">
          <cell r="B79" t="str">
            <v>18.08.020</v>
          </cell>
          <cell r="C79" t="str">
            <v>Caixa para medição monofásica uso externo, inclusive colocação (padrão CELPE).</v>
          </cell>
          <cell r="D79" t="str">
            <v>un</v>
          </cell>
          <cell r="F79">
            <v>48.6</v>
          </cell>
          <cell r="G79">
            <v>0</v>
          </cell>
        </row>
        <row r="81">
          <cell r="B81" t="str">
            <v>18.09</v>
          </cell>
        </row>
        <row r="82">
          <cell r="B82" t="str">
            <v>18.09.010</v>
          </cell>
          <cell r="C82" t="str">
            <v>Caixa para medição trifásica uso interno, modelo D, inclusive colocação (padrão CELPE).</v>
          </cell>
          <cell r="D82" t="str">
            <v>un</v>
          </cell>
          <cell r="F82">
            <v>82.93</v>
          </cell>
          <cell r="G82">
            <v>0</v>
          </cell>
        </row>
        <row r="83">
          <cell r="B83" t="str">
            <v>18.09.020</v>
          </cell>
          <cell r="C83" t="str">
            <v>Caixa para medição trifásica uso externo, modelo D, inclusive colocação (padrão CELPE).</v>
          </cell>
          <cell r="D83" t="str">
            <v>un</v>
          </cell>
          <cell r="F83">
            <v>104.26</v>
          </cell>
          <cell r="G83">
            <v>0</v>
          </cell>
        </row>
        <row r="85">
          <cell r="B85" t="str">
            <v>18.10</v>
          </cell>
        </row>
        <row r="86">
          <cell r="B86" t="str">
            <v>18.10.020</v>
          </cell>
          <cell r="C86" t="str">
            <v>Chave de faca de 2 polos, 30 A, 250 V, com base de ardósia, com 02 fusíveis tipo cartucho e parafusos, inclusive instalação em quadro de medição.</v>
          </cell>
          <cell r="D86" t="str">
            <v>un</v>
          </cell>
          <cell r="F86">
            <v>11.1</v>
          </cell>
          <cell r="G86">
            <v>0</v>
          </cell>
        </row>
        <row r="87">
          <cell r="B87" t="str">
            <v>18.10.030</v>
          </cell>
          <cell r="C87" t="str">
            <v>Chave de faca de 2 polos, 60 A, 250 V, com base de ardósia, com 02 fusíveis tipo cartucho e parafusos, inclusive instalação em quadro de medição.</v>
          </cell>
          <cell r="D87" t="str">
            <v>un</v>
          </cell>
          <cell r="F87">
            <v>16.3</v>
          </cell>
          <cell r="G87">
            <v>0</v>
          </cell>
        </row>
        <row r="88">
          <cell r="B88" t="str">
            <v>18.10.040</v>
          </cell>
          <cell r="C88" t="str">
            <v>Chave de faca de 3 polos, 60 A, 600 V, com base de ardósia, com 03 fusíveis tipo cartucho e parafusos, inclusive instalação em quadro de medição.</v>
          </cell>
          <cell r="D88" t="str">
            <v>un</v>
          </cell>
          <cell r="F88">
            <v>31.96</v>
          </cell>
          <cell r="G88">
            <v>0</v>
          </cell>
        </row>
        <row r="89">
          <cell r="B89" t="str">
            <v>18.10.050</v>
          </cell>
          <cell r="C89" t="str">
            <v>Chave de faca de 3 polos, 100 A, 600 V, com base de ardósia, com 03 fusíveis tipo cartucho e parafusos, inclusive instalação em quadro de medição.</v>
          </cell>
          <cell r="D89" t="str">
            <v>un</v>
          </cell>
          <cell r="F89">
            <v>57.62</v>
          </cell>
          <cell r="G89">
            <v>0</v>
          </cell>
        </row>
        <row r="90">
          <cell r="B90" t="str">
            <v>18.10.060</v>
          </cell>
          <cell r="C90" t="str">
            <v>Chave seccionadora com fusível, 125A, tipo 3NP4090 SIEMENS ou similar, tripolar com 03 fusíveis NH tamanho 00 e parafusos, inclusive instalação em quadro de medição.</v>
          </cell>
          <cell r="D90" t="str">
            <v>un</v>
          </cell>
          <cell r="F90">
            <v>85.08</v>
          </cell>
          <cell r="G90">
            <v>0</v>
          </cell>
        </row>
        <row r="91">
          <cell r="B91" t="str">
            <v>18.10.070</v>
          </cell>
          <cell r="C91" t="str">
            <v>Chave seccionadora com fusível, 250A, tipo 3NP2200 SIEMENS ou similar, tripolar com 03 fusíveis NH tamanho 01 e parafusos, inclusive instalação em quadro de medição.</v>
          </cell>
          <cell r="D91" t="str">
            <v>un</v>
          </cell>
          <cell r="F91">
            <v>141.25</v>
          </cell>
          <cell r="G91">
            <v>0</v>
          </cell>
        </row>
        <row r="93">
          <cell r="B93" t="str">
            <v>18.11</v>
          </cell>
        </row>
        <row r="94">
          <cell r="B94" t="str">
            <v>18.11.030</v>
          </cell>
          <cell r="C94" t="str">
            <v>Base para fusível tipo NH de 6 A a 125A, tamanho 00, SIEMENS ou similar, com parafusos, inclusive instalação em quadro.</v>
          </cell>
          <cell r="D94" t="str">
            <v>un</v>
          </cell>
          <cell r="F94">
            <v>9.09</v>
          </cell>
          <cell r="G94">
            <v>0</v>
          </cell>
        </row>
        <row r="95">
          <cell r="B95" t="str">
            <v>18.11.040</v>
          </cell>
          <cell r="C95" t="str">
            <v>Base para fusível tipo NH de 36 A a 250A, tamanho 1, SIEMENS ou similar, com parafusos, inclusive instalação em quadro.</v>
          </cell>
          <cell r="D95" t="str">
            <v>un</v>
          </cell>
          <cell r="F95">
            <v>17.96</v>
          </cell>
          <cell r="G95">
            <v>0</v>
          </cell>
        </row>
        <row r="97">
          <cell r="B97" t="str">
            <v>18.12</v>
          </cell>
        </row>
        <row r="98">
          <cell r="B98" t="str">
            <v>18.12.070</v>
          </cell>
          <cell r="C98" t="str">
            <v>Fusível tipo NH de 20A, tamanho 00, SIEMENS ou similar, inclusive instalação em quadro.</v>
          </cell>
          <cell r="D98" t="str">
            <v>un</v>
          </cell>
          <cell r="F98">
            <v>5.67</v>
          </cell>
          <cell r="G98">
            <v>0</v>
          </cell>
        </row>
        <row r="99">
          <cell r="B99" t="str">
            <v>18.12.080</v>
          </cell>
          <cell r="C99" t="str">
            <v>Fusível tipo NH de 25A,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18.12.090</v>
          </cell>
          <cell r="C100" t="str">
            <v>Fusível tipo NH de 36A,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18.12.100</v>
          </cell>
          <cell r="C101" t="str">
            <v>Fusível tipo NH de 50A,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18.12.110</v>
          </cell>
          <cell r="C102" t="str">
            <v>Fusível tipo NH de 63A,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18.12.120</v>
          </cell>
          <cell r="C103" t="str">
            <v>Fusível tipo NH de 80A,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18.12.130</v>
          </cell>
          <cell r="C104" t="str">
            <v>Fusível tipo NH de 100A,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18.12.140</v>
          </cell>
          <cell r="C105" t="str">
            <v>Fusível tipo NH de 125A,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18.12.150</v>
          </cell>
          <cell r="C106" t="str">
            <v>Fusível tipo NH de 160A, tamanho 01, SIEMENS ou similar, inclusive instalação em quadro.</v>
          </cell>
          <cell r="D106" t="str">
            <v>un</v>
          </cell>
          <cell r="F106">
            <v>12.26</v>
          </cell>
          <cell r="G106">
            <v>0</v>
          </cell>
        </row>
        <row r="107">
          <cell r="B107" t="str">
            <v>18.12.160</v>
          </cell>
          <cell r="C107" t="str">
            <v>Fusível tipo NH de 200A,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18.12.170</v>
          </cell>
          <cell r="C108" t="str">
            <v>Fusível tipo NH de 250A, tamanho 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10">
          <cell r="B110" t="str">
            <v>18.13</v>
          </cell>
        </row>
        <row r="111">
          <cell r="B111" t="str">
            <v>18.13.005</v>
          </cell>
          <cell r="C111" t="str">
            <v>Eletroduto flexível preto de 1", assentado em valas com profundidade de 0,60 m, inclusive escavação e reaterro.</v>
          </cell>
          <cell r="D111" t="str">
            <v>m</v>
          </cell>
          <cell r="F111">
            <v>3.1</v>
          </cell>
          <cell r="G111">
            <v>0</v>
          </cell>
        </row>
        <row r="112">
          <cell r="B112" t="str">
            <v>18.13.010</v>
          </cell>
          <cell r="C112" t="str">
            <v>Eletroduto de PVC rígido rosqueável de 1/2 pol., com luva de rosca interna, inclusive assentamento em lajes.</v>
          </cell>
          <cell r="D112" t="str">
            <v>m</v>
          </cell>
          <cell r="F112">
            <v>1.46</v>
          </cell>
          <cell r="G112">
            <v>0</v>
          </cell>
        </row>
        <row r="113">
          <cell r="B113" t="str">
            <v>18.13.020</v>
          </cell>
          <cell r="C113" t="str">
            <v>Eletroduto de PVC rígido rosqueável de 3/4 pol., com luva de rosca interna, inclusive assentamento em lajes.</v>
          </cell>
          <cell r="D113" t="str">
            <v>m</v>
          </cell>
          <cell r="F113">
            <v>1.51</v>
          </cell>
          <cell r="G113">
            <v>0</v>
          </cell>
        </row>
        <row r="114">
          <cell r="B114" t="str">
            <v>18.13.030</v>
          </cell>
          <cell r="C114" t="str">
            <v>Eletroduto de PVC rígido rosqueável de 1 pol., com luva de rosca interna, inclusive assentamento em lajes.</v>
          </cell>
          <cell r="D114" t="str">
            <v>m</v>
          </cell>
          <cell r="F114">
            <v>2.54</v>
          </cell>
          <cell r="G114">
            <v>0</v>
          </cell>
        </row>
        <row r="115">
          <cell r="B115" t="str">
            <v>18.13.040</v>
          </cell>
          <cell r="C115" t="str">
            <v>Eletroduto de PVC rígido rosqueável de 1/2 pol., com luva de rosca interna, inclusive assentamento com rasgo em alvenaria.</v>
          </cell>
          <cell r="D115" t="str">
            <v>m</v>
          </cell>
          <cell r="F115">
            <v>2.23</v>
          </cell>
          <cell r="G115">
            <v>0</v>
          </cell>
        </row>
        <row r="116">
          <cell r="B116" t="str">
            <v>18.13.050</v>
          </cell>
          <cell r="C116" t="str">
            <v>Eletroduto de PVC rígido rosqueável de 3/4 pol., com luva de rosca interna, inclusive assentamento com rasgo em alvenaria.</v>
          </cell>
          <cell r="D116" t="str">
            <v>m</v>
          </cell>
          <cell r="F116">
            <v>2.71</v>
          </cell>
          <cell r="G116">
            <v>0</v>
          </cell>
        </row>
        <row r="117">
          <cell r="B117" t="str">
            <v>18.13.060</v>
          </cell>
          <cell r="C117" t="str">
            <v>Eletroduto de PVC rígido rosqueável de 1 pol., com luva de rosca interna, inclusive assentamento com rasgo em alvenaria.</v>
          </cell>
          <cell r="D117" t="str">
            <v>m</v>
          </cell>
          <cell r="F117">
            <v>3.3</v>
          </cell>
          <cell r="G117">
            <v>0</v>
          </cell>
        </row>
        <row r="118">
          <cell r="B118" t="str">
            <v>18.12.070</v>
          </cell>
          <cell r="C118" t="str">
            <v>Eletroduto de PVC rígido rosqueável de 1 1/4 pol., com luva de rosca interna, inclusive assentamento com rasgo em alvenaria.</v>
          </cell>
          <cell r="D118" t="str">
            <v>m</v>
          </cell>
          <cell r="F118">
            <v>4.3099999999999996</v>
          </cell>
          <cell r="G118">
            <v>0</v>
          </cell>
        </row>
        <row r="119">
          <cell r="B119" t="str">
            <v>18.13.080</v>
          </cell>
          <cell r="C119" t="str">
            <v>Eletroduto de PVC rígido rosqueável de 1 1/2 pol., com luva de rosca interna, inclusive assentamento com rasgo em alvenaria.</v>
          </cell>
          <cell r="D119" t="str">
            <v>m</v>
          </cell>
          <cell r="F119">
            <v>5.65</v>
          </cell>
          <cell r="G119">
            <v>0</v>
          </cell>
        </row>
        <row r="120">
          <cell r="B120" t="str">
            <v>18.13.085</v>
          </cell>
          <cell r="C120" t="str">
            <v>Fornecimento e colocação de eletroduto de ferro galvanizado de 3 ".</v>
          </cell>
          <cell r="D120" t="str">
            <v>m</v>
          </cell>
          <cell r="F120">
            <v>29.91</v>
          </cell>
        </row>
        <row r="121">
          <cell r="B121" t="str">
            <v>18.13.086</v>
          </cell>
          <cell r="C121" t="str">
            <v>Fornecimento e instalação de quadro de distribuição para telefone.</v>
          </cell>
          <cell r="D121" t="str">
            <v>un</v>
          </cell>
          <cell r="F121">
            <v>96.07</v>
          </cell>
        </row>
        <row r="122">
          <cell r="B122" t="str">
            <v>18.13.090</v>
          </cell>
          <cell r="C122" t="str">
            <v>Eletroduto de PVC rígido rosqueável de 2 pol., com luva de rosca interna, inclusive assentamento com rasgo em alvenaria.</v>
          </cell>
          <cell r="D122" t="str">
            <v>m</v>
          </cell>
          <cell r="F122">
            <v>7.33</v>
          </cell>
          <cell r="G122">
            <v>0</v>
          </cell>
        </row>
        <row r="123">
          <cell r="B123" t="str">
            <v>18.13.100</v>
          </cell>
          <cell r="C123" t="str">
            <v>Eletroduto de PVC rígido rosqueável de 3 pol., com luva de rosca interna, inclusive assentamento com rasgo em alvenaria.</v>
          </cell>
          <cell r="D123" t="str">
            <v>m</v>
          </cell>
          <cell r="F123">
            <v>13.81</v>
          </cell>
          <cell r="G123">
            <v>0</v>
          </cell>
        </row>
        <row r="124">
          <cell r="B124" t="str">
            <v>18.13.110</v>
          </cell>
          <cell r="C124" t="str">
            <v>Eletroduto de PVC rígido rosqueável de 1/2 pol., com luva de rosca interna assentado em valas com profundidade de 0,60 m, inclusive escavação e reaterro.</v>
          </cell>
          <cell r="D124" t="str">
            <v>m</v>
          </cell>
          <cell r="F124">
            <v>3.33</v>
          </cell>
          <cell r="G124">
            <v>0</v>
          </cell>
        </row>
        <row r="125">
          <cell r="B125" t="str">
            <v>18.13.120</v>
          </cell>
          <cell r="C125" t="str">
            <v>Eletroduto de PVC rígido rosqueável de 3/4 pol., com luva de rosca interna assentado em valas com profundidade de 0,60 m, inclusive escavação e reaterro.</v>
          </cell>
          <cell r="D125" t="str">
            <v>m</v>
          </cell>
          <cell r="F125">
            <v>4.01</v>
          </cell>
          <cell r="G125">
            <v>0</v>
          </cell>
        </row>
        <row r="126">
          <cell r="B126" t="str">
            <v>18.13.130</v>
          </cell>
          <cell r="C126" t="str">
            <v>Eletroduto de PVC rígido rosqueável de 1 pol., com luva de rosca interna assentado em valas com profundidade de 0,60 m, inclusive escavação e reaterro.</v>
          </cell>
          <cell r="D126" t="str">
            <v>m</v>
          </cell>
          <cell r="F126">
            <v>5.39</v>
          </cell>
          <cell r="G126">
            <v>0</v>
          </cell>
        </row>
        <row r="127">
          <cell r="B127" t="str">
            <v>18.13.140</v>
          </cell>
          <cell r="C127" t="str">
            <v>Eletroduto de PVC rígido rosqueável de 1 1/2 pol., com luva de rosca interna assentado em valas com profundidade de 0,60 m, inclusive escavação e reaterro.</v>
          </cell>
          <cell r="D127" t="str">
            <v>m</v>
          </cell>
          <cell r="F127">
            <v>6.99</v>
          </cell>
          <cell r="G127">
            <v>0</v>
          </cell>
        </row>
        <row r="128">
          <cell r="B128" t="str">
            <v>18.13.150</v>
          </cell>
          <cell r="C128" t="str">
            <v>Eletroduto de PVC rígido rosqueável de 2 pol., com luva de rosca interna assentado em valas com profundidade de 0,60 m, inclusive escavação e reaterro.</v>
          </cell>
          <cell r="D128" t="str">
            <v>m</v>
          </cell>
          <cell r="F128">
            <v>8.6199999999999992</v>
          </cell>
          <cell r="G128">
            <v>0</v>
          </cell>
        </row>
        <row r="129">
          <cell r="B129" t="str">
            <v>18.13.160</v>
          </cell>
          <cell r="C129" t="str">
            <v>Eletroduto de PVC rígido rosqueável de 3 pol., com luva de rosca interna assentado em valas com profundidade de 0,60 m, inclusive escavação e reaterro.</v>
          </cell>
          <cell r="D129" t="str">
            <v>m</v>
          </cell>
          <cell r="F129">
            <v>15.23</v>
          </cell>
          <cell r="G129">
            <v>0</v>
          </cell>
        </row>
        <row r="130">
          <cell r="B130" t="str">
            <v>18.13.170</v>
          </cell>
          <cell r="C130" t="str">
            <v>Eletroduto de PVC rígido rosqueável de 4 pol., com luva de rosca interna assentado em valas com profundidade de 0,60 m, inclusive escavação e reaterro.</v>
          </cell>
          <cell r="D130" t="str">
            <v>m</v>
          </cell>
          <cell r="F130">
            <v>22.81</v>
          </cell>
          <cell r="G130">
            <v>0</v>
          </cell>
        </row>
        <row r="132">
          <cell r="B132" t="str">
            <v>18.14</v>
          </cell>
        </row>
        <row r="133">
          <cell r="B133" t="str">
            <v>18.14.010</v>
          </cell>
          <cell r="C133" t="str">
            <v xml:space="preserve">Curva de PVC rígido rosqueável de 3/4 pol., com luva de rosca interna, inclusive assentado. </v>
          </cell>
          <cell r="D133" t="str">
            <v>un</v>
          </cell>
          <cell r="F133">
            <v>1.84</v>
          </cell>
          <cell r="G133">
            <v>0</v>
          </cell>
        </row>
        <row r="134">
          <cell r="B134" t="str">
            <v>18.14.020</v>
          </cell>
          <cell r="C134" t="str">
            <v xml:space="preserve">Curva de PVC rígido rosqueável de 1 pol., com luva de rosca interna, inclusive assentado. </v>
          </cell>
          <cell r="D134" t="str">
            <v>un</v>
          </cell>
          <cell r="F134">
            <v>2.6</v>
          </cell>
          <cell r="G134">
            <v>0</v>
          </cell>
        </row>
        <row r="135">
          <cell r="B135" t="str">
            <v>18.14.030</v>
          </cell>
          <cell r="C135" t="str">
            <v xml:space="preserve">Curva de PVC rígido rosqueável de 1 1/4 pol., com luva de rosca interna, inclusive assentado. </v>
          </cell>
          <cell r="D135" t="str">
            <v>un</v>
          </cell>
          <cell r="F135">
            <v>4.0999999999999996</v>
          </cell>
          <cell r="G135">
            <v>0</v>
          </cell>
        </row>
        <row r="136">
          <cell r="B136" t="str">
            <v>18.14.040</v>
          </cell>
          <cell r="C136" t="str">
            <v xml:space="preserve">Curva de PVC rígido rosqueável de 1 1/2 pol., com luva de rosca interna, inclusive assentado. </v>
          </cell>
          <cell r="D136" t="str">
            <v>un</v>
          </cell>
          <cell r="F136">
            <v>5.0999999999999996</v>
          </cell>
          <cell r="G136">
            <v>0</v>
          </cell>
        </row>
        <row r="137">
          <cell r="B137" t="str">
            <v>18.14.050</v>
          </cell>
          <cell r="C137" t="str">
            <v xml:space="preserve">Curva de PVC rígido rosqueável de 2 pol., com luva de rosca interna, inclusive assentado. </v>
          </cell>
          <cell r="D137" t="str">
            <v>un</v>
          </cell>
          <cell r="F137">
            <v>7.96</v>
          </cell>
          <cell r="G137">
            <v>0</v>
          </cell>
        </row>
        <row r="138">
          <cell r="B138" t="str">
            <v>18.14.060</v>
          </cell>
          <cell r="C138" t="str">
            <v xml:space="preserve">Curva de PVC rígido rosqueável de 3 pol., com luva de rosca interna, inclusive assentado. </v>
          </cell>
          <cell r="D138" t="str">
            <v>un</v>
          </cell>
          <cell r="F138">
            <v>23.46</v>
          </cell>
          <cell r="G138">
            <v>0</v>
          </cell>
        </row>
        <row r="139">
          <cell r="B139" t="str">
            <v>18.14.070</v>
          </cell>
          <cell r="C139" t="str">
            <v xml:space="preserve">Curva de PVC rígido rosqueável de 4 pol., com luva de rosca interna, inclusive assentado. </v>
          </cell>
          <cell r="D139" t="str">
            <v>un</v>
          </cell>
          <cell r="F139">
            <v>37.86</v>
          </cell>
          <cell r="G139">
            <v>0</v>
          </cell>
        </row>
        <row r="141">
          <cell r="B141" t="str">
            <v>18.15</v>
          </cell>
        </row>
        <row r="142">
          <cell r="B142" t="str">
            <v>18.15.010</v>
          </cell>
          <cell r="C142" t="str">
            <v>Caixa 4 x 2 pol. Tigreflex ou similar,  inclusive assentamento.</v>
          </cell>
          <cell r="D142" t="str">
            <v>un</v>
          </cell>
          <cell r="F142">
            <v>1.45</v>
          </cell>
          <cell r="G142">
            <v>0</v>
          </cell>
        </row>
        <row r="143">
          <cell r="B143" t="str">
            <v>18.15.020</v>
          </cell>
          <cell r="C143" t="str">
            <v>Caixa 4 x 4 pol. Tigreflex ou similar,  inclusive assentamento.</v>
          </cell>
          <cell r="D143" t="str">
            <v>un</v>
          </cell>
          <cell r="F143">
            <v>1.75</v>
          </cell>
          <cell r="G143">
            <v>0</v>
          </cell>
        </row>
        <row r="144">
          <cell r="B144" t="str">
            <v>18.15.030</v>
          </cell>
          <cell r="C144" t="str">
            <v>Caixa octogonal de 4" Tigreflex ou similar, com fundo móvel, inclusive assentaemnto em laje.</v>
          </cell>
          <cell r="D144" t="str">
            <v>un</v>
          </cell>
          <cell r="F144">
            <v>1.9</v>
          </cell>
          <cell r="G144">
            <v>0</v>
          </cell>
        </row>
        <row r="145">
          <cell r="B145" t="str">
            <v>18.15.035</v>
          </cell>
          <cell r="C145" t="str">
            <v>Fornecimento e colocação de caixa pré-moldada para ar-condicionado de 15.000 BTU's</v>
          </cell>
          <cell r="D145" t="str">
            <v>un</v>
          </cell>
          <cell r="F145">
            <v>73.38</v>
          </cell>
        </row>
        <row r="147">
          <cell r="B147" t="str">
            <v>18.16</v>
          </cell>
        </row>
        <row r="148">
          <cell r="B148" t="str">
            <v>18.16.010</v>
          </cell>
          <cell r="C148" t="str">
            <v>Tomada de embutir (2P+T) com placa para caixa de 4 x 2 pol., 20 A, 250 V, Pial (linha silentoque) ou similar, inclusive instalação.</v>
          </cell>
          <cell r="D148" t="str">
            <v>un</v>
          </cell>
          <cell r="F148">
            <v>7.08</v>
          </cell>
          <cell r="G148">
            <v>0</v>
          </cell>
        </row>
        <row r="149">
          <cell r="B149" t="str">
            <v>18.16.020</v>
          </cell>
          <cell r="C149" t="str">
            <v>Tomada de embutir para telefone quatro polos, Padrão Telebrás, com placa, para caixa de 4 x 2 pol., Pial (linha silentoque) ou similar, inclusive instalação.</v>
          </cell>
          <cell r="D149" t="str">
            <v>un</v>
          </cell>
          <cell r="F149">
            <v>6.55</v>
          </cell>
          <cell r="G149">
            <v>0</v>
          </cell>
        </row>
        <row r="151">
          <cell r="B151" t="str">
            <v>18.17</v>
          </cell>
        </row>
        <row r="152">
          <cell r="B152" t="str">
            <v>18.17.010</v>
          </cell>
          <cell r="C152" t="str">
            <v>Conjunto ARSTOP ou similar de embutir, em caixa 4 x 4 pol., com placa, tomada Tripolar para pino chato e disjuntor termomagnético de 25 A, 250 V, inclusive instalação.</v>
          </cell>
          <cell r="D152" t="str">
            <v>un</v>
          </cell>
          <cell r="F152">
            <v>20.72</v>
          </cell>
          <cell r="G152">
            <v>0</v>
          </cell>
        </row>
        <row r="154">
          <cell r="B154" t="str">
            <v>18.18</v>
          </cell>
        </row>
        <row r="155">
          <cell r="B155" t="str">
            <v>18.18.010</v>
          </cell>
          <cell r="C155" t="str">
            <v>Interruptor de embutir de uma secção para caixa de 4 x 2 pol., com placa, 10 A, 250 V, Pial (linha silentoque) ou similar, inclusive instalação.</v>
          </cell>
          <cell r="D155" t="str">
            <v>un</v>
          </cell>
          <cell r="F155">
            <v>3.9</v>
          </cell>
          <cell r="G155">
            <v>0</v>
          </cell>
        </row>
        <row r="156">
          <cell r="B156" t="str">
            <v>18.18.020</v>
          </cell>
          <cell r="C156" t="str">
            <v>Interruptor de embutir de duas secções para caixa de 4 x 2 pol., com placa, 10 A, 250 V, Pial (linha silentoque) ou similar, inclusive instalação.</v>
          </cell>
          <cell r="D156" t="str">
            <v>un</v>
          </cell>
          <cell r="F156">
            <v>6.76</v>
          </cell>
          <cell r="G156">
            <v>0</v>
          </cell>
        </row>
        <row r="157">
          <cell r="B157" t="str">
            <v>18.18.030</v>
          </cell>
          <cell r="C157" t="str">
            <v>Interruptor de embutir de três secções para caixa de 4 x 2 pol., com placa, 10 A, 250 V, Pial (linha silentoque) ou similar, inclusive instalação.</v>
          </cell>
          <cell r="D157" t="str">
            <v>un</v>
          </cell>
          <cell r="F157">
            <v>8.8800000000000008</v>
          </cell>
          <cell r="G157">
            <v>0</v>
          </cell>
        </row>
        <row r="158">
          <cell r="B158" t="str">
            <v>18.18.040</v>
          </cell>
          <cell r="C158" t="str">
            <v>Interruptor de embutir de uma secção conjugada com tomada, para caixa de 4 x 2 pol., com placa, 10 A, 250 V, Pial (linha silentoque) ou similar, inclusive instalação.</v>
          </cell>
          <cell r="D158" t="str">
            <v>un</v>
          </cell>
          <cell r="F158">
            <v>6.71</v>
          </cell>
          <cell r="G158">
            <v>0</v>
          </cell>
        </row>
        <row r="159">
          <cell r="B159" t="str">
            <v>18.18.050</v>
          </cell>
          <cell r="C159" t="str">
            <v>Interruptor de embutir de duas secções conjugada com tomada, para caixa de 4 x 2 pol., com placa, 10 A, 250 V, Pial (linha silentoque) ou similar, inclusive instalação.</v>
          </cell>
          <cell r="D159" t="str">
            <v>un</v>
          </cell>
          <cell r="F159">
            <v>8.93</v>
          </cell>
          <cell r="G159">
            <v>0</v>
          </cell>
        </row>
        <row r="160">
          <cell r="B160" t="str">
            <v>18.18.060</v>
          </cell>
          <cell r="C160" t="str">
            <v>Interruptor de embutir Three-Way (vai e vem), para caixa de 4 x 2 pol., com placa, 10 A, 250 V, Pial (linha silentoque) ou similar, inclusive instalação.</v>
          </cell>
          <cell r="D160" t="str">
            <v>un</v>
          </cell>
          <cell r="F160">
            <v>5.19</v>
          </cell>
          <cell r="G160">
            <v>0</v>
          </cell>
        </row>
        <row r="162">
          <cell r="B162" t="str">
            <v>18.19</v>
          </cell>
        </row>
        <row r="163">
          <cell r="B163" t="str">
            <v>18.19.010</v>
          </cell>
          <cell r="C163" t="str">
            <v>Fio de cobre, têmpera mole, classe 1, isolamento de PVC - 70 C, tipo BWF, 750 V, Foreplast ou similar, S.M. - 1,5 mm², inclusive instalação em eletroduto.</v>
          </cell>
          <cell r="D163" t="str">
            <v>m</v>
          </cell>
          <cell r="F163">
            <v>0.59</v>
          </cell>
          <cell r="G163">
            <v>0</v>
          </cell>
        </row>
        <row r="164">
          <cell r="B164" t="str">
            <v>18.19.020</v>
          </cell>
          <cell r="C164" t="str">
            <v>Fio de cobre, têmpera mole, classe 1, isolamento de PVC - 70 C, tipo BWF, 750 V, Foreplast ou similar, S.M. - 2,5 mm², inclusive instalação em eletroduto.</v>
          </cell>
          <cell r="D164" t="str">
            <v>m</v>
          </cell>
          <cell r="F164">
            <v>0.85</v>
          </cell>
          <cell r="G164">
            <v>0</v>
          </cell>
        </row>
        <row r="165">
          <cell r="B165" t="str">
            <v>18.19.025</v>
          </cell>
          <cell r="C165" t="str">
            <v>Cabro de cobre, têmpera mole, encordoamento classe 2, isolamento de PVC - 70 C, tipo BWF, 750 V, Foreplast ou similar, S.M. - 2,5 mm², inclusive instalação em eletroduto.</v>
          </cell>
          <cell r="D165" t="str">
            <v>m</v>
          </cell>
          <cell r="F165">
            <v>0.9</v>
          </cell>
          <cell r="G165">
            <v>0</v>
          </cell>
        </row>
        <row r="166">
          <cell r="B166" t="str">
            <v>18.19.030</v>
          </cell>
          <cell r="C166" t="str">
            <v>Cabo de cobre, têmpera mole, encordoamento classe 2, isolamento de PVC - 70 C, tipo BWF, 750 V, Foreplast ou similar, S.M. - 4,0 mm², inclusive instalação em eletroduto.</v>
          </cell>
          <cell r="D166" t="str">
            <v>m</v>
          </cell>
          <cell r="F166">
            <v>0.94</v>
          </cell>
          <cell r="G166">
            <v>0</v>
          </cell>
        </row>
        <row r="167">
          <cell r="B167" t="str">
            <v>18.19.040</v>
          </cell>
          <cell r="C167" t="str">
            <v>Cabo de cobre, têmpera mole, encordoamento classe 2, isolamento de PVC - 70 C, tipo BWF, 750 V, Foreplast ou similar, S.M. - 6,0 mm², inclusive instalação em eletroduto.</v>
          </cell>
          <cell r="D167" t="str">
            <v>m</v>
          </cell>
          <cell r="F167">
            <v>1.1299999999999999</v>
          </cell>
          <cell r="G167">
            <v>0</v>
          </cell>
        </row>
        <row r="168">
          <cell r="B168" t="str">
            <v>18.19.041</v>
          </cell>
          <cell r="C168" t="str">
            <v>Cabo de cobre, têmpera mole, encordoamento classe 2, isolamento de PVC - 70 C, tipo BWF, 750 V, Foreplast ou similar, S.M. - 10,0 mm², inclusive instalação em eletroduto.</v>
          </cell>
          <cell r="D168" t="str">
            <v>m</v>
          </cell>
          <cell r="F168">
            <v>1.6</v>
          </cell>
          <cell r="G168">
            <v>0</v>
          </cell>
        </row>
        <row r="169">
          <cell r="B169" t="str">
            <v>18.19.042</v>
          </cell>
          <cell r="C169" t="str">
            <v>Cabo de cobre, têmpera mole, encordoamento classe 2, isolamento de PVC - 70 C, tipo BWF, 750 V, Foreplast ou similar, S.M. - 16,0 mm², inclusive instalação em eletroduto.</v>
          </cell>
          <cell r="D169" t="str">
            <v>m</v>
          </cell>
          <cell r="F169">
            <v>2.11</v>
          </cell>
          <cell r="G169">
            <v>0</v>
          </cell>
        </row>
        <row r="170">
          <cell r="B170" t="str">
            <v>18.19.043</v>
          </cell>
          <cell r="C170" t="str">
            <v>Cabo de cobre, têmpera mole, encordoamento classe 2, isolamento de PVC - 70 C, tipo BWF, 750 V, Foreplast ou similar, S.M. - 25,0 mm², inclusive instalação em eletroduto.</v>
          </cell>
          <cell r="D170" t="str">
            <v>m</v>
          </cell>
          <cell r="F170">
            <v>2.93</v>
          </cell>
          <cell r="G170">
            <v>0</v>
          </cell>
        </row>
        <row r="171">
          <cell r="B171" t="str">
            <v>18.19.046</v>
          </cell>
          <cell r="C171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1" t="str">
            <v>m</v>
          </cell>
          <cell r="F171">
            <v>0.69</v>
          </cell>
          <cell r="G171">
            <v>0</v>
          </cell>
        </row>
        <row r="172">
          <cell r="B172" t="str">
            <v>18.19.047</v>
          </cell>
          <cell r="C172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2" t="str">
            <v>m</v>
          </cell>
          <cell r="F172">
            <v>0.83</v>
          </cell>
          <cell r="G172">
            <v>0</v>
          </cell>
        </row>
        <row r="173">
          <cell r="B173" t="str">
            <v>18.19.048</v>
          </cell>
          <cell r="C173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3" t="str">
            <v>m</v>
          </cell>
          <cell r="F173">
            <v>1.29</v>
          </cell>
          <cell r="G173">
            <v>0</v>
          </cell>
        </row>
        <row r="174">
          <cell r="B174" t="str">
            <v>18.19.049</v>
          </cell>
          <cell r="C174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4" t="str">
            <v>m</v>
          </cell>
          <cell r="F174">
            <v>1.56</v>
          </cell>
          <cell r="G174">
            <v>0</v>
          </cell>
        </row>
        <row r="175">
          <cell r="B175" t="str">
            <v>18.19.050</v>
          </cell>
          <cell r="C175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5" t="str">
            <v>m</v>
          </cell>
          <cell r="F175">
            <v>2.06</v>
          </cell>
          <cell r="G175">
            <v>0</v>
          </cell>
        </row>
        <row r="176">
          <cell r="B176" t="str">
            <v>18.19.060</v>
          </cell>
          <cell r="C176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6" t="str">
            <v>m</v>
          </cell>
          <cell r="F176">
            <v>2.9</v>
          </cell>
          <cell r="G176">
            <v>0</v>
          </cell>
        </row>
        <row r="177">
          <cell r="B177" t="str">
            <v>18.19.065</v>
          </cell>
          <cell r="C177" t="str">
            <v>Dec., de piso cimentado.</v>
          </cell>
          <cell r="F177">
            <v>9.1</v>
          </cell>
          <cell r="G177">
            <v>0</v>
          </cell>
        </row>
        <row r="178">
          <cell r="B178" t="str">
            <v>18.19.070</v>
          </cell>
          <cell r="C178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8" t="str">
            <v>m</v>
          </cell>
          <cell r="F178">
            <v>3.85</v>
          </cell>
          <cell r="G178">
            <v>0</v>
          </cell>
        </row>
        <row r="179">
          <cell r="B179" t="str">
            <v>18.19.080</v>
          </cell>
          <cell r="C179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79" t="str">
            <v>m</v>
          </cell>
          <cell r="F179">
            <v>4.91</v>
          </cell>
          <cell r="G179">
            <v>0</v>
          </cell>
        </row>
        <row r="180">
          <cell r="B180" t="str">
            <v>18.19.085</v>
          </cell>
          <cell r="C180" t="str">
            <v>Cabo de Cobre  com isolamento termoplástico para ligação dos postes, com 4,0 mm² - 28 A, inclusive instalação em eletroduto.</v>
          </cell>
          <cell r="D180" t="str">
            <v>m</v>
          </cell>
          <cell r="F180">
            <v>0.8</v>
          </cell>
          <cell r="G180">
            <v>0</v>
          </cell>
        </row>
        <row r="182">
          <cell r="B182" t="str">
            <v>18.20</v>
          </cell>
        </row>
        <row r="183">
          <cell r="B183" t="str">
            <v>18.20.010</v>
          </cell>
          <cell r="C183" t="str">
            <v>Disjuntor monopolar termomagnético até 30 A, 220 V, Eletromar ou similar, inclusive instalação em quadro de distribuição.</v>
          </cell>
          <cell r="D183" t="str">
            <v>un</v>
          </cell>
          <cell r="F183">
            <v>6.01</v>
          </cell>
          <cell r="G183">
            <v>0</v>
          </cell>
        </row>
        <row r="184">
          <cell r="B184" t="str">
            <v>18.20.020</v>
          </cell>
          <cell r="C184" t="str">
            <v>Disjuntor monopolar termomagnético até 35 a 50A, 220 V, Eletromar ou similar, inclusive instalação em quadro de distribuição.</v>
          </cell>
          <cell r="D184" t="str">
            <v>un</v>
          </cell>
          <cell r="F184">
            <v>8.06</v>
          </cell>
          <cell r="G184">
            <v>0</v>
          </cell>
        </row>
        <row r="185">
          <cell r="B185" t="str">
            <v>18.20.030</v>
          </cell>
          <cell r="C185" t="str">
            <v>Disjuntor tripolar termomagnético até 50 A 380, 220 V, Eletromar ou similar, inclusive instalação em quadro de distribuição.</v>
          </cell>
          <cell r="D185" t="str">
            <v>un</v>
          </cell>
          <cell r="F185">
            <v>30.85</v>
          </cell>
          <cell r="G185">
            <v>0</v>
          </cell>
        </row>
        <row r="186">
          <cell r="B186" t="str">
            <v>18.20.040</v>
          </cell>
          <cell r="C186" t="str">
            <v>Disjuntor tripolar termomagnético até 60 a 100 A, 380 V, Eletromar ou similar, inclusive instalação em quadro de distribuição.</v>
          </cell>
          <cell r="D186" t="str">
            <v>un</v>
          </cell>
          <cell r="F186">
            <v>45.39</v>
          </cell>
          <cell r="G186">
            <v>0</v>
          </cell>
        </row>
        <row r="187">
          <cell r="B187" t="str">
            <v>18.20.050</v>
          </cell>
          <cell r="C187" t="str">
            <v>Disjuntor tripolar termomagnético até 120 a 150 A, 380 V, Eletromar ou similar, inclusive instalação em quadro de distribuição.</v>
          </cell>
          <cell r="D187" t="str">
            <v>un</v>
          </cell>
          <cell r="F187">
            <v>115.39</v>
          </cell>
          <cell r="G187">
            <v>0</v>
          </cell>
        </row>
        <row r="188">
          <cell r="B188" t="str">
            <v>18.20.055</v>
          </cell>
          <cell r="C188" t="str">
            <v>Fornecimento e colocação de disjuntor 15 A.</v>
          </cell>
          <cell r="D188" t="str">
            <v>un</v>
          </cell>
          <cell r="F188">
            <v>7.67</v>
          </cell>
        </row>
        <row r="189">
          <cell r="B189" t="str">
            <v>18.20.056</v>
          </cell>
          <cell r="C189" t="str">
            <v>Fornecimento e colocação de disjuntor 50 A.</v>
          </cell>
          <cell r="D189" t="str">
            <v>un</v>
          </cell>
          <cell r="F189">
            <v>10.27</v>
          </cell>
        </row>
        <row r="190">
          <cell r="B190" t="str">
            <v>18.20.057</v>
          </cell>
          <cell r="C190" t="str">
            <v>Fornecimento e colocação de disjuntor tripolar 150 A (quadro de medição).</v>
          </cell>
          <cell r="D190" t="str">
            <v>un</v>
          </cell>
          <cell r="F190">
            <v>149.04</v>
          </cell>
        </row>
        <row r="192">
          <cell r="B192" t="str">
            <v>18.21</v>
          </cell>
        </row>
        <row r="193">
          <cell r="B193" t="str">
            <v>18.21.010</v>
          </cell>
          <cell r="C193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3" t="str">
            <v>un</v>
          </cell>
          <cell r="F193">
            <v>49.2</v>
          </cell>
          <cell r="G193">
            <v>0</v>
          </cell>
        </row>
        <row r="194">
          <cell r="B194" t="str">
            <v>18.21.020</v>
          </cell>
          <cell r="C194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4" t="str">
            <v>un</v>
          </cell>
          <cell r="F194">
            <v>52.3</v>
          </cell>
          <cell r="G194">
            <v>0</v>
          </cell>
        </row>
        <row r="196">
          <cell r="B196" t="str">
            <v>18.21.150</v>
          </cell>
          <cell r="C196" t="str">
            <v xml:space="preserve">Quadro de distribuição metálico de embutir, com barramento, chave geral e placa neutro ref. QDETN-12, Cemar ou similar, para até 12 circuitos momopolares, com porta, inclusive instalação. </v>
          </cell>
          <cell r="D196" t="str">
            <v>un</v>
          </cell>
          <cell r="F196">
            <v>50.64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18.21.170</v>
          </cell>
          <cell r="C199" t="str">
            <v xml:space="preserve">Quadro de distribuição metálico de embutir, com barramento, chave geral e placa neutro ref. QDETN-32 Cemar ou similar, para 32 , circuitos momopolares, com porta e trinco, inclusive instalação. </v>
          </cell>
          <cell r="D199" t="str">
            <v>un</v>
          </cell>
          <cell r="F199">
            <v>104.28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16.18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16.78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19.13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24.78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44.17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sinalização instalado no posto de enfermagem.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19.91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32 W, ref. TMS-500 Philips ou similar, inclusive reator alto fator de potência lâmpadas, demais acessórios e instalação.</v>
          </cell>
          <cell r="D240" t="str">
            <v>cj</v>
          </cell>
          <cell r="F240">
            <v>51.13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21.26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11.54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202.97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19.190000000000001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140.63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198.6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">
          <cell r="B1"/>
        </row>
      </sheetData>
      <sheetData sheetId="24"/>
      <sheetData sheetId="25"/>
      <sheetData sheetId="2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1"/>
    </sheetNames>
    <definedNames>
      <definedName name="VExtensoFree"/>
    </defined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COMPOSIÇÕES COMPLEMENTARES"/>
      <sheetName val="(ORÇAMENTO GERAL)"/>
      <sheetName val="QCI (2)"/>
      <sheetName val="MEMÓRIA"/>
      <sheetName val="ORÇAMENTO"/>
      <sheetName val="COMPOSIÇÕES"/>
      <sheetName val="BDI_EDIFICACOES_26,53%_COM"/>
      <sheetName val="CRONOGRAMA"/>
      <sheetName val="COMPOSIÇÕES CUSTOS"/>
      <sheetName val="QCI"/>
      <sheetName val="BDI_EDIFICACOES_20,50%_SEM"/>
      <sheetName val="_RESUMO COMPARATIVO_"/>
      <sheetName val="MEM_BM01"/>
      <sheetName val="MEM_BM02"/>
      <sheetName val="MEM_REPROG01"/>
      <sheetName val="MEM_BM03"/>
      <sheetName val="MEM_BM04"/>
      <sheetName val="MEM_REPROG02"/>
      <sheetName val="MEM_BM05"/>
      <sheetName val="MEM_BM06"/>
      <sheetName val="REPROG03"/>
      <sheetName val="MEM_REPROG03"/>
      <sheetName val="COMPOSIÇÕES REPROG02"/>
      <sheetName val="COMPOSIÇÕES REPROG03"/>
      <sheetName val="COTAÇÃO - CUBA DE LOUÇA "/>
      <sheetName val="CONSIDERAÇÕES"/>
    </sheetNames>
    <sheetDataSet>
      <sheetData sheetId="0" refreshError="1"/>
      <sheetData sheetId="1">
        <row r="6">
          <cell r="A6" t="str">
            <v>OBRA: CONCLUSÃO DA CONSTRUÇÃO DE UMA QUADRA COBERTA COM VESTIÁRIO NA ESCOLA MUNICIPAL ANDRÉ FILHO (PROJETO-PADRÃO FNDE 2)</v>
          </cell>
        </row>
        <row r="14">
          <cell r="D14" t="str">
            <v>REMANESCENTE DA QUADRA FNDE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2.bin"/><Relationship Id="rId4" Type="http://schemas.openxmlformats.org/officeDocument/2006/relationships/vmlDrawing" Target="../drawings/vmlDrawing11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3.bin"/><Relationship Id="rId4" Type="http://schemas.openxmlformats.org/officeDocument/2006/relationships/vmlDrawing" Target="../drawings/vmlDrawing13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4.bin"/><Relationship Id="rId4" Type="http://schemas.openxmlformats.org/officeDocument/2006/relationships/vmlDrawing" Target="../drawings/vmlDrawing15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7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5.bin"/><Relationship Id="rId4" Type="http://schemas.openxmlformats.org/officeDocument/2006/relationships/vmlDrawing" Target="../drawings/vmlDrawing22.v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8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6.bin"/><Relationship Id="rId4" Type="http://schemas.openxmlformats.org/officeDocument/2006/relationships/vmlDrawing" Target="../drawings/vmlDrawing2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84DE6-445F-48F4-98DE-2831569EDEFF}">
  <sheetPr>
    <tabColor theme="6" tint="0.79998168889431442"/>
  </sheetPr>
  <dimension ref="B1:F61"/>
  <sheetViews>
    <sheetView view="pageBreakPreview" zoomScaleSheetLayoutView="100" workbookViewId="0">
      <selection activeCell="C12" sqref="C12"/>
    </sheetView>
  </sheetViews>
  <sheetFormatPr defaultColWidth="9.109375" defaultRowHeight="14.4" x14ac:dyDescent="0.3"/>
  <cols>
    <col min="1" max="1" width="1.109375" customWidth="1"/>
    <col min="2" max="2" width="75.6640625" customWidth="1"/>
    <col min="3" max="3" width="10.109375" style="82" bestFit="1" customWidth="1"/>
    <col min="4" max="4" width="12" style="82" customWidth="1"/>
    <col min="5" max="5" width="11.44140625" customWidth="1"/>
    <col min="6" max="6" width="62.5546875" customWidth="1"/>
  </cols>
  <sheetData>
    <row r="1" spans="2:6" s="58" customFormat="1" ht="6.75" customHeight="1" x14ac:dyDescent="0.3">
      <c r="C1" s="59"/>
      <c r="D1" s="59"/>
    </row>
    <row r="2" spans="2:6" s="58" customFormat="1" ht="18" x14ac:dyDescent="0.35">
      <c r="B2" s="511" t="s">
        <v>322</v>
      </c>
      <c r="C2" s="511"/>
      <c r="D2" s="511"/>
    </row>
    <row r="3" spans="2:6" s="60" customFormat="1" ht="10.199999999999999" x14ac:dyDescent="0.2">
      <c r="B3" s="61"/>
      <c r="C3" s="61"/>
      <c r="D3" s="61"/>
    </row>
    <row r="4" spans="2:6" s="58" customFormat="1" ht="15.6" x14ac:dyDescent="0.3">
      <c r="B4" s="512" t="s">
        <v>323</v>
      </c>
      <c r="C4" s="512"/>
      <c r="D4" s="512"/>
    </row>
    <row r="5" spans="2:6" s="58" customFormat="1" ht="13.8" x14ac:dyDescent="0.3">
      <c r="B5" s="62"/>
      <c r="C5" s="62"/>
      <c r="D5" s="62"/>
    </row>
    <row r="6" spans="2:6" s="54" customFormat="1" ht="15" customHeight="1" x14ac:dyDescent="0.3">
      <c r="B6" s="52" t="e">
        <f>#REF!</f>
        <v>#REF!</v>
      </c>
      <c r="C6" s="53"/>
      <c r="D6" s="53"/>
    </row>
    <row r="7" spans="2:6" s="54" customFormat="1" ht="15" customHeight="1" x14ac:dyDescent="0.3">
      <c r="B7" s="39" t="e">
        <f>#REF!</f>
        <v>#REF!</v>
      </c>
      <c r="C7" s="316"/>
      <c r="D7" s="316"/>
    </row>
    <row r="8" spans="2:6" s="54" customFormat="1" x14ac:dyDescent="0.3">
      <c r="B8" s="39" t="e">
        <f>#REF!</f>
        <v>#REF!</v>
      </c>
      <c r="C8" s="317"/>
      <c r="D8" s="317"/>
    </row>
    <row r="9" spans="2:6" s="58" customFormat="1" ht="13.8" x14ac:dyDescent="0.3">
      <c r="B9" s="63"/>
      <c r="C9" s="64"/>
      <c r="D9" s="64"/>
    </row>
    <row r="10" spans="2:6" s="58" customFormat="1" x14ac:dyDescent="0.3">
      <c r="B10" s="65" t="s">
        <v>37</v>
      </c>
      <c r="C10" s="66" t="s">
        <v>38</v>
      </c>
      <c r="D10" s="66" t="s">
        <v>39</v>
      </c>
      <c r="F10" s="67" t="s">
        <v>40</v>
      </c>
    </row>
    <row r="11" spans="2:6" s="58" customFormat="1" x14ac:dyDescent="0.3">
      <c r="B11" s="68"/>
      <c r="C11" s="69"/>
      <c r="D11" s="69"/>
    </row>
    <row r="12" spans="2:6" s="58" customFormat="1" x14ac:dyDescent="0.3">
      <c r="B12" s="70" t="s">
        <v>41</v>
      </c>
      <c r="C12" s="71" t="s">
        <v>42</v>
      </c>
      <c r="D12" s="305">
        <v>0.04</v>
      </c>
      <c r="E12" s="58" t="s">
        <v>324</v>
      </c>
      <c r="F12" s="72" t="s">
        <v>325</v>
      </c>
    </row>
    <row r="13" spans="2:6" s="58" customFormat="1" x14ac:dyDescent="0.3">
      <c r="B13" s="70"/>
      <c r="C13" s="71"/>
      <c r="D13" s="306"/>
    </row>
    <row r="14" spans="2:6" s="58" customFormat="1" x14ac:dyDescent="0.3">
      <c r="B14" s="70" t="s">
        <v>43</v>
      </c>
      <c r="C14" s="71" t="s">
        <v>44</v>
      </c>
      <c r="D14" s="305">
        <v>1.23E-2</v>
      </c>
      <c r="E14" s="58" t="s">
        <v>324</v>
      </c>
      <c r="F14" s="72" t="s">
        <v>326</v>
      </c>
    </row>
    <row r="15" spans="2:6" s="58" customFormat="1" x14ac:dyDescent="0.3">
      <c r="B15" s="70"/>
      <c r="C15" s="71"/>
      <c r="D15" s="307"/>
    </row>
    <row r="16" spans="2:6" s="58" customFormat="1" x14ac:dyDescent="0.3">
      <c r="B16" s="70" t="s">
        <v>45</v>
      </c>
      <c r="C16" s="71" t="s">
        <v>46</v>
      </c>
      <c r="D16" s="305">
        <v>9.7000000000000003E-3</v>
      </c>
      <c r="E16" s="58" t="s">
        <v>324</v>
      </c>
      <c r="F16" s="72" t="s">
        <v>327</v>
      </c>
    </row>
    <row r="17" spans="2:6" s="58" customFormat="1" x14ac:dyDescent="0.3">
      <c r="B17" s="70"/>
      <c r="C17" s="71"/>
      <c r="D17" s="307"/>
    </row>
    <row r="18" spans="2:6" s="58" customFormat="1" x14ac:dyDescent="0.3">
      <c r="B18" s="308" t="s">
        <v>328</v>
      </c>
      <c r="C18" s="309" t="s">
        <v>329</v>
      </c>
      <c r="D18" s="310">
        <v>8.0000000000000002E-3</v>
      </c>
      <c r="E18" s="58" t="s">
        <v>330</v>
      </c>
      <c r="F18" s="311" t="s">
        <v>331</v>
      </c>
    </row>
    <row r="19" spans="2:6" s="58" customFormat="1" x14ac:dyDescent="0.3">
      <c r="B19" s="70"/>
      <c r="C19" s="71"/>
      <c r="D19" s="73"/>
    </row>
    <row r="20" spans="2:6" s="58" customFormat="1" x14ac:dyDescent="0.3">
      <c r="B20" s="70" t="s">
        <v>47</v>
      </c>
      <c r="C20" s="71" t="s">
        <v>47</v>
      </c>
      <c r="D20" s="73">
        <v>0.03</v>
      </c>
    </row>
    <row r="21" spans="2:6" s="58" customFormat="1" x14ac:dyDescent="0.3">
      <c r="B21" s="70" t="s">
        <v>48</v>
      </c>
      <c r="C21" s="71" t="s">
        <v>49</v>
      </c>
      <c r="D21" s="73">
        <v>0.02</v>
      </c>
      <c r="E21" s="74">
        <f>0.05*0.4</f>
        <v>2.0000000000000004E-2</v>
      </c>
    </row>
    <row r="22" spans="2:6" s="58" customFormat="1" x14ac:dyDescent="0.3">
      <c r="B22" s="70" t="s">
        <v>50</v>
      </c>
      <c r="C22" s="71" t="s">
        <v>50</v>
      </c>
      <c r="D22" s="73">
        <v>6.4999999999999997E-3</v>
      </c>
    </row>
    <row r="23" spans="2:6" s="58" customFormat="1" x14ac:dyDescent="0.3">
      <c r="B23" s="70" t="s">
        <v>51</v>
      </c>
      <c r="C23" s="71" t="s">
        <v>52</v>
      </c>
      <c r="D23" s="73">
        <v>4.4999999999999998E-2</v>
      </c>
      <c r="E23" s="58" t="s">
        <v>53</v>
      </c>
    </row>
    <row r="24" spans="2:6" s="58" customFormat="1" x14ac:dyDescent="0.3">
      <c r="B24" s="70" t="s">
        <v>332</v>
      </c>
      <c r="C24" s="71" t="s">
        <v>54</v>
      </c>
      <c r="D24" s="305">
        <f>SUM(D20:D23)</f>
        <v>0.10150000000000001</v>
      </c>
    </row>
    <row r="25" spans="2:6" s="58" customFormat="1" x14ac:dyDescent="0.3">
      <c r="B25" s="70"/>
      <c r="C25" s="71"/>
      <c r="D25" s="73"/>
    </row>
    <row r="26" spans="2:6" s="58" customFormat="1" x14ac:dyDescent="0.3">
      <c r="B26" s="70" t="s">
        <v>55</v>
      </c>
      <c r="C26" s="71" t="s">
        <v>56</v>
      </c>
      <c r="D26" s="305">
        <v>6.1800000000000001E-2</v>
      </c>
      <c r="E26" s="58" t="s">
        <v>333</v>
      </c>
      <c r="F26" s="72" t="s">
        <v>334</v>
      </c>
    </row>
    <row r="27" spans="2:6" s="58" customFormat="1" x14ac:dyDescent="0.3">
      <c r="B27" s="68"/>
      <c r="C27" s="69"/>
      <c r="D27" s="312"/>
    </row>
    <row r="28" spans="2:6" s="58" customFormat="1" x14ac:dyDescent="0.3">
      <c r="B28" s="75" t="s">
        <v>57</v>
      </c>
      <c r="C28" s="76"/>
      <c r="D28" s="305">
        <f>ROUND((((1+D12+D18+D16)*(1+D14)*(1+D26))/(1-D24))-1,4)</f>
        <v>0.26529999999999998</v>
      </c>
      <c r="E28" s="313" t="s">
        <v>338</v>
      </c>
    </row>
    <row r="29" spans="2:6" s="58" customFormat="1" ht="13.8" x14ac:dyDescent="0.3">
      <c r="C29" s="59"/>
      <c r="D29" s="314"/>
      <c r="F29" s="72" t="s">
        <v>335</v>
      </c>
    </row>
    <row r="30" spans="2:6" s="58" customFormat="1" ht="13.8" x14ac:dyDescent="0.3">
      <c r="C30" s="59"/>
      <c r="D30" s="59"/>
    </row>
    <row r="31" spans="2:6" s="58" customFormat="1" ht="13.8" x14ac:dyDescent="0.3">
      <c r="C31" s="59"/>
      <c r="D31" s="59"/>
    </row>
    <row r="32" spans="2:6" s="58" customFormat="1" ht="15.6" x14ac:dyDescent="0.3">
      <c r="B32" s="77" t="s">
        <v>58</v>
      </c>
      <c r="C32" s="59"/>
      <c r="D32" s="59"/>
    </row>
    <row r="33" spans="2:6" x14ac:dyDescent="0.3">
      <c r="B33" s="78"/>
      <c r="C33" s="79"/>
      <c r="D33" s="80"/>
    </row>
    <row r="34" spans="2:6" x14ac:dyDescent="0.3">
      <c r="B34" s="81"/>
      <c r="D34" s="83"/>
    </row>
    <row r="35" spans="2:6" x14ac:dyDescent="0.3">
      <c r="B35" s="81"/>
      <c r="D35" s="83"/>
    </row>
    <row r="36" spans="2:6" x14ac:dyDescent="0.3">
      <c r="B36" s="81"/>
      <c r="D36" s="83"/>
    </row>
    <row r="37" spans="2:6" x14ac:dyDescent="0.3">
      <c r="B37" s="81"/>
      <c r="D37" s="83"/>
    </row>
    <row r="38" spans="2:6" x14ac:dyDescent="0.3">
      <c r="B38" s="84"/>
      <c r="C38" s="85"/>
      <c r="D38" s="86"/>
    </row>
    <row r="39" spans="2:6" x14ac:dyDescent="0.3">
      <c r="B39" s="87"/>
    </row>
    <row r="40" spans="2:6" x14ac:dyDescent="0.3">
      <c r="B40" s="87" t="s">
        <v>59</v>
      </c>
    </row>
    <row r="41" spans="2:6" s="315" customFormat="1" x14ac:dyDescent="0.3">
      <c r="B41" s="513" t="s">
        <v>60</v>
      </c>
      <c r="C41" s="513"/>
      <c r="D41" s="513"/>
    </row>
    <row r="42" spans="2:6" s="315" customFormat="1" ht="48" customHeight="1" x14ac:dyDescent="0.3">
      <c r="B42" s="514" t="s">
        <v>339</v>
      </c>
      <c r="C42" s="514"/>
      <c r="D42" s="514"/>
    </row>
    <row r="43" spans="2:6" ht="98.25" customHeight="1" x14ac:dyDescent="0.3">
      <c r="B43" s="515" t="s">
        <v>340</v>
      </c>
      <c r="C43" s="515"/>
      <c r="D43" s="515"/>
      <c r="F43" s="88" t="s">
        <v>61</v>
      </c>
    </row>
    <row r="46" spans="2:6" x14ac:dyDescent="0.3">
      <c r="B46" t="s">
        <v>62</v>
      </c>
    </row>
    <row r="47" spans="2:6" ht="135" customHeight="1" x14ac:dyDescent="0.3">
      <c r="B47" s="508" t="s">
        <v>108</v>
      </c>
      <c r="C47" s="509"/>
      <c r="D47" s="510"/>
    </row>
    <row r="59" spans="2:4" s="58" customFormat="1" ht="13.8" x14ac:dyDescent="0.3">
      <c r="C59" s="59"/>
      <c r="D59" s="59"/>
    </row>
    <row r="60" spans="2:4" s="58" customFormat="1" ht="13.8" x14ac:dyDescent="0.3">
      <c r="C60" s="59"/>
      <c r="D60" s="59"/>
    </row>
    <row r="61" spans="2:4" x14ac:dyDescent="0.3">
      <c r="B61" t="s">
        <v>63</v>
      </c>
    </row>
  </sheetData>
  <mergeCells count="6">
    <mergeCell ref="B47:D47"/>
    <mergeCell ref="B2:D2"/>
    <mergeCell ref="B4:D4"/>
    <mergeCell ref="B41:D41"/>
    <mergeCell ref="B42:D42"/>
    <mergeCell ref="B43:D43"/>
  </mergeCells>
  <printOptions horizontalCentered="1"/>
  <pageMargins left="0.59055118110236227" right="0.59055118110236227" top="1.3779527559055118" bottom="0.78740157480314965" header="0.39370078740157483" footer="0.39370078740157483"/>
  <pageSetup paperSize="9" scale="88" orientation="portrait" horizontalDpi="300" verticalDpi="300" r:id="rId1"/>
  <headerFooter>
    <oddHeader>&amp;R&amp;G</oddHeader>
    <oddFooter>Página &amp;P de &amp;N</oddFoot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Equation.3" shapeId="52225" r:id="rId5">
          <objectPr defaultSize="0" autoPict="0" r:id="rId6">
            <anchor moveWithCells="1" sizeWithCells="1">
              <from>
                <xdr:col>1</xdr:col>
                <xdr:colOff>975360</xdr:colOff>
                <xdr:row>33</xdr:row>
                <xdr:rowOff>0</xdr:rowOff>
              </from>
              <to>
                <xdr:col>2</xdr:col>
                <xdr:colOff>419100</xdr:colOff>
                <xdr:row>37</xdr:row>
                <xdr:rowOff>7620</xdr:rowOff>
              </to>
            </anchor>
          </objectPr>
        </oleObject>
      </mc:Choice>
      <mc:Fallback>
        <oleObject progId="Equation.3" shapeId="52225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2A13F-794A-4D33-AA3B-C57210CB9765}">
  <sheetPr>
    <tabColor rgb="FFFFFF00"/>
    <pageSetUpPr fitToPage="1"/>
  </sheetPr>
  <dimension ref="A1:U420"/>
  <sheetViews>
    <sheetView view="pageBreakPreview" topLeftCell="A12" zoomScale="90" zoomScaleSheetLayoutView="90" workbookViewId="0">
      <pane ySplit="1008" topLeftCell="A378" activePane="bottomLeft"/>
      <selection activeCell="A2" sqref="A2:J2"/>
      <selection pane="bottomLeft" activeCell="I25" sqref="I25"/>
    </sheetView>
  </sheetViews>
  <sheetFormatPr defaultColWidth="9.109375" defaultRowHeight="13.8" x14ac:dyDescent="0.3"/>
  <cols>
    <col min="1" max="1" width="7.44140625" style="155" customWidth="1"/>
    <col min="2" max="2" width="12.33203125" style="155" customWidth="1"/>
    <col min="3" max="3" width="9.33203125" style="155" customWidth="1"/>
    <col min="4" max="4" width="50.6640625" style="155" customWidth="1"/>
    <col min="5" max="5" width="4.5546875" style="155" bestFit="1" customWidth="1"/>
    <col min="6" max="6" width="9" style="155" bestFit="1" customWidth="1"/>
    <col min="7" max="7" width="9.33203125" style="155" customWidth="1"/>
    <col min="8" max="8" width="7.88671875" style="155" customWidth="1"/>
    <col min="9" max="9" width="8.6640625" style="155" bestFit="1" customWidth="1"/>
    <col min="10" max="11" width="8.88671875" style="155" bestFit="1" customWidth="1"/>
    <col min="12" max="12" width="8.5546875" style="157" customWidth="1"/>
    <col min="13" max="13" width="12.6640625" style="155" bestFit="1" customWidth="1"/>
    <col min="14" max="14" width="11.5546875" style="158" bestFit="1" customWidth="1"/>
    <col min="15" max="15" width="9.88671875" style="157" bestFit="1" customWidth="1"/>
    <col min="16" max="16" width="12.6640625" style="155" bestFit="1" customWidth="1"/>
    <col min="17" max="17" width="11.5546875" style="158" bestFit="1" customWidth="1"/>
    <col min="18" max="18" width="5.44140625" style="155" bestFit="1" customWidth="1"/>
    <col min="19" max="19" width="12.33203125" style="156" bestFit="1" customWidth="1"/>
    <col min="20" max="20" width="12.88671875" style="155" customWidth="1"/>
    <col min="21" max="24" width="11.33203125" style="155" customWidth="1"/>
    <col min="25" max="16384" width="9.109375" style="155"/>
  </cols>
  <sheetData>
    <row r="1" spans="1:20" s="25" customFormat="1" ht="15.6" x14ac:dyDescent="0.3">
      <c r="A1" s="524" t="s">
        <v>14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6"/>
      <c r="S1" s="24"/>
    </row>
    <row r="2" spans="1:20" s="25" customFormat="1" x14ac:dyDescent="0.3">
      <c r="A2" s="527"/>
      <c r="B2" s="527"/>
      <c r="C2" s="527"/>
      <c r="D2" s="527"/>
      <c r="E2" s="527"/>
      <c r="F2" s="527"/>
      <c r="G2" s="527"/>
      <c r="H2" s="527"/>
      <c r="I2" s="527"/>
      <c r="J2" s="527"/>
      <c r="L2" s="95"/>
      <c r="N2" s="50"/>
      <c r="O2" s="95"/>
      <c r="Q2" s="50"/>
      <c r="S2" s="24"/>
    </row>
    <row r="3" spans="1:20" s="25" customFormat="1" ht="15.6" x14ac:dyDescent="0.3">
      <c r="A3" s="528" t="s">
        <v>27</v>
      </c>
      <c r="B3" s="529"/>
      <c r="C3" s="529"/>
      <c r="D3" s="530"/>
      <c r="E3" s="530"/>
      <c r="F3" s="530"/>
      <c r="G3" s="530"/>
      <c r="H3" s="530"/>
      <c r="I3" s="530"/>
      <c r="J3" s="531"/>
      <c r="L3" s="95"/>
      <c r="N3" s="50"/>
      <c r="O3" s="95"/>
      <c r="Q3" s="50"/>
      <c r="S3" s="24"/>
    </row>
    <row r="4" spans="1:20" s="25" customFormat="1" x14ac:dyDescent="0.3">
      <c r="A4" s="532" t="s">
        <v>0</v>
      </c>
      <c r="B4" s="533"/>
      <c r="C4" s="533"/>
      <c r="D4" s="533"/>
      <c r="E4" s="533"/>
      <c r="F4" s="533"/>
      <c r="G4" s="533"/>
      <c r="H4" s="533"/>
      <c r="I4" s="533"/>
      <c r="J4" s="534"/>
      <c r="L4" s="95"/>
      <c r="N4" s="50"/>
      <c r="O4" s="95"/>
      <c r="Q4" s="50"/>
      <c r="S4" s="24"/>
    </row>
    <row r="5" spans="1:20" s="25" customFormat="1" x14ac:dyDescent="0.3">
      <c r="A5" s="170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51"/>
      <c r="O5" s="170"/>
      <c r="P5" s="170"/>
      <c r="Q5" s="51"/>
      <c r="S5" s="24"/>
    </row>
    <row r="6" spans="1:20" ht="13.95" customHeight="1" x14ac:dyDescent="0.3">
      <c r="A6" s="52" t="s">
        <v>607</v>
      </c>
      <c r="B6" s="161"/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</row>
    <row r="7" spans="1:20" x14ac:dyDescent="0.3">
      <c r="A7" s="39" t="s">
        <v>608</v>
      </c>
      <c r="B7" s="162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60"/>
      <c r="O7" s="159"/>
      <c r="P7" s="159"/>
      <c r="Q7" s="160"/>
    </row>
    <row r="8" spans="1:20" s="25" customFormat="1" x14ac:dyDescent="0.3">
      <c r="A8" s="39" t="s">
        <v>859</v>
      </c>
      <c r="B8" s="39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51"/>
      <c r="O8" s="170"/>
      <c r="P8" s="170"/>
      <c r="Q8" s="51"/>
      <c r="S8" s="24"/>
    </row>
    <row r="9" spans="1:20" s="25" customFormat="1" x14ac:dyDescent="0.3">
      <c r="A9" s="39" t="s">
        <v>609</v>
      </c>
      <c r="B9" s="39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51"/>
      <c r="O9" s="170"/>
      <c r="P9" s="170"/>
      <c r="Q9" s="51"/>
      <c r="S9" s="24"/>
    </row>
    <row r="10" spans="1:20" s="25" customFormat="1" x14ac:dyDescent="0.3">
      <c r="A10" s="170"/>
      <c r="B10" s="39"/>
      <c r="D10" s="170"/>
      <c r="E10" s="170"/>
      <c r="F10" s="170"/>
      <c r="G10" s="170"/>
      <c r="H10" s="170"/>
      <c r="I10" s="170"/>
      <c r="J10" s="170"/>
      <c r="K10" s="170"/>
      <c r="L10" s="535" t="s">
        <v>473</v>
      </c>
      <c r="M10" s="536"/>
      <c r="N10" s="40">
        <v>0.16320000000000001</v>
      </c>
      <c r="O10" s="537" t="s">
        <v>474</v>
      </c>
      <c r="P10" s="538"/>
      <c r="Q10" s="41">
        <v>0.111</v>
      </c>
      <c r="S10" s="24"/>
    </row>
    <row r="11" spans="1:20" s="25" customFormat="1" x14ac:dyDescent="0.3">
      <c r="A11" s="170"/>
      <c r="B11" s="39"/>
      <c r="D11" s="170"/>
      <c r="E11" s="170"/>
      <c r="F11" s="170"/>
      <c r="G11" s="170"/>
      <c r="H11" s="170"/>
      <c r="I11" s="170"/>
      <c r="J11" s="170"/>
      <c r="K11" s="170"/>
      <c r="L11" s="535" t="s">
        <v>106</v>
      </c>
      <c r="M11" s="536"/>
      <c r="N11" s="40">
        <v>0.26529999999999998</v>
      </c>
      <c r="O11" s="537" t="s">
        <v>107</v>
      </c>
      <c r="P11" s="538"/>
      <c r="Q11" s="41">
        <v>0.20499999999999999</v>
      </c>
      <c r="S11" s="24"/>
    </row>
    <row r="12" spans="1:20" s="25" customFormat="1" x14ac:dyDescent="0.3">
      <c r="A12" s="170"/>
      <c r="B12" s="170"/>
      <c r="C12" s="170"/>
      <c r="D12" s="170"/>
      <c r="E12" s="42"/>
      <c r="F12" s="38"/>
      <c r="G12" s="38"/>
      <c r="H12" s="38"/>
      <c r="I12" s="38"/>
      <c r="J12" s="38"/>
      <c r="K12" s="38"/>
      <c r="L12" s="516" t="s">
        <v>90</v>
      </c>
      <c r="M12" s="517"/>
      <c r="N12" s="518"/>
      <c r="O12" s="519" t="s">
        <v>105</v>
      </c>
      <c r="P12" s="520"/>
      <c r="Q12" s="521"/>
      <c r="R12" s="165" t="s">
        <v>128</v>
      </c>
      <c r="S12" s="46">
        <f>N405</f>
        <v>2653615.6599999992</v>
      </c>
    </row>
    <row r="13" spans="1:20" s="45" customFormat="1" ht="27.6" x14ac:dyDescent="0.3">
      <c r="A13" s="209" t="s">
        <v>1</v>
      </c>
      <c r="B13" s="209" t="s">
        <v>36</v>
      </c>
      <c r="C13" s="209" t="s">
        <v>13</v>
      </c>
      <c r="D13" s="209" t="s">
        <v>2</v>
      </c>
      <c r="E13" s="209" t="s">
        <v>3</v>
      </c>
      <c r="F13" s="27" t="s">
        <v>4</v>
      </c>
      <c r="G13" s="27" t="s">
        <v>69</v>
      </c>
      <c r="H13" s="27" t="s">
        <v>70</v>
      </c>
      <c r="I13" s="27" t="s">
        <v>5</v>
      </c>
      <c r="J13" s="27" t="s">
        <v>6</v>
      </c>
      <c r="K13" s="26" t="s">
        <v>33</v>
      </c>
      <c r="L13" s="43" t="s">
        <v>72</v>
      </c>
      <c r="M13" s="43" t="s">
        <v>71</v>
      </c>
      <c r="N13" s="43" t="s">
        <v>93</v>
      </c>
      <c r="O13" s="44" t="s">
        <v>72</v>
      </c>
      <c r="P13" s="44" t="s">
        <v>71</v>
      </c>
      <c r="Q13" s="44" t="s">
        <v>93</v>
      </c>
      <c r="R13" s="164" t="s">
        <v>129</v>
      </c>
      <c r="S13" s="46">
        <f>Q405</f>
        <v>2590295.1900000018</v>
      </c>
      <c r="T13" s="47"/>
    </row>
    <row r="14" spans="1:20" s="25" customFormat="1" x14ac:dyDescent="0.3">
      <c r="A14" s="35"/>
      <c r="B14" s="35"/>
      <c r="C14" s="35"/>
      <c r="D14" s="149"/>
      <c r="E14" s="35"/>
      <c r="F14" s="37"/>
      <c r="G14" s="37"/>
      <c r="H14" s="37"/>
      <c r="I14" s="37"/>
      <c r="J14" s="37"/>
      <c r="K14" s="34"/>
      <c r="L14" s="34"/>
      <c r="M14" s="34"/>
      <c r="N14" s="34"/>
      <c r="O14" s="34"/>
      <c r="P14" s="34"/>
      <c r="Q14" s="34"/>
      <c r="S14" s="34"/>
    </row>
    <row r="15" spans="1:20" s="171" customFormat="1" x14ac:dyDescent="0.3">
      <c r="A15" s="328" t="s">
        <v>7</v>
      </c>
      <c r="B15" s="326"/>
      <c r="C15" s="326"/>
      <c r="D15" s="199" t="s">
        <v>219</v>
      </c>
      <c r="E15" s="243"/>
      <c r="F15" s="28"/>
      <c r="G15" s="28"/>
      <c r="H15" s="28"/>
      <c r="I15" s="28"/>
      <c r="J15" s="28"/>
      <c r="K15" s="28"/>
      <c r="L15" s="28"/>
      <c r="M15" s="28"/>
      <c r="N15" s="28">
        <f>SUM(N16:N20)</f>
        <v>71798.070000000007</v>
      </c>
      <c r="O15" s="28"/>
      <c r="P15" s="28"/>
      <c r="Q15" s="28">
        <f>SUM(Q16:Q20)</f>
        <v>76173.240000000005</v>
      </c>
      <c r="R15" s="54"/>
      <c r="S15" s="340"/>
      <c r="T15" s="202"/>
    </row>
    <row r="16" spans="1:20" s="25" customFormat="1" x14ac:dyDescent="0.3">
      <c r="A16" s="320"/>
      <c r="B16" s="321"/>
      <c r="C16" s="321"/>
      <c r="D16" s="149"/>
      <c r="E16" s="244"/>
      <c r="F16" s="34"/>
      <c r="G16" s="34"/>
      <c r="H16" s="34"/>
      <c r="I16" s="34"/>
      <c r="J16" s="37"/>
      <c r="K16" s="34"/>
      <c r="L16" s="34"/>
      <c r="M16" s="34"/>
      <c r="N16" s="34"/>
      <c r="O16" s="34"/>
      <c r="P16" s="34"/>
      <c r="Q16" s="34"/>
      <c r="S16" s="34"/>
      <c r="T16" s="38"/>
    </row>
    <row r="17" spans="1:21" s="32" customFormat="1" x14ac:dyDescent="0.3">
      <c r="A17" s="322" t="s">
        <v>8</v>
      </c>
      <c r="B17" s="322" t="s">
        <v>143</v>
      </c>
      <c r="C17" s="323" t="s">
        <v>144</v>
      </c>
      <c r="D17" s="201" t="s">
        <v>220</v>
      </c>
      <c r="E17" s="245" t="s">
        <v>86</v>
      </c>
      <c r="F17" s="246"/>
      <c r="G17" s="246"/>
      <c r="H17" s="31"/>
      <c r="I17" s="31"/>
      <c r="J17" s="31"/>
      <c r="K17" s="30">
        <f>J19</f>
        <v>1</v>
      </c>
      <c r="L17" s="30">
        <f>COMPOSIÇÕES!H20</f>
        <v>56743.91</v>
      </c>
      <c r="M17" s="30">
        <f>ROUND(L17*(1+$N$11),2)</f>
        <v>71798.070000000007</v>
      </c>
      <c r="N17" s="30">
        <f>TRUNC($K17*M17,2)</f>
        <v>71798.070000000007</v>
      </c>
      <c r="O17" s="30">
        <f>COMPOSIÇÕES!J20</f>
        <v>63214.31</v>
      </c>
      <c r="P17" s="30">
        <f>ROUND(O17*(1+$Q$11),2)</f>
        <v>76173.240000000005</v>
      </c>
      <c r="Q17" s="30">
        <f>TRUNC($K17*P17,2)</f>
        <v>76173.240000000005</v>
      </c>
      <c r="R17" s="25" t="s">
        <v>451</v>
      </c>
      <c r="U17" s="354">
        <f>Q15/Q405</f>
        <v>2.9407165752409845E-2</v>
      </c>
    </row>
    <row r="18" spans="1:21" s="32" customFormat="1" ht="60.75" customHeight="1" x14ac:dyDescent="0.3">
      <c r="A18" s="322"/>
      <c r="B18" s="322"/>
      <c r="C18" s="322"/>
      <c r="D18" s="424" t="s">
        <v>661</v>
      </c>
      <c r="E18" s="248"/>
      <c r="F18" s="34">
        <v>1</v>
      </c>
      <c r="G18" s="30"/>
      <c r="H18" s="30"/>
      <c r="I18" s="30"/>
      <c r="J18" s="30">
        <f>ROUND(PRODUCT(F18:I18),2)</f>
        <v>1</v>
      </c>
      <c r="K18" s="30"/>
      <c r="L18" s="30"/>
      <c r="M18" s="30"/>
      <c r="N18" s="30"/>
      <c r="O18" s="30"/>
      <c r="P18" s="30"/>
      <c r="Q18" s="30"/>
      <c r="S18" s="30"/>
      <c r="T18" s="25"/>
    </row>
    <row r="19" spans="1:21" s="25" customFormat="1" x14ac:dyDescent="0.3">
      <c r="A19" s="321"/>
      <c r="B19" s="321"/>
      <c r="C19" s="321"/>
      <c r="D19" s="36" t="str">
        <f>"Total item "&amp;A17</f>
        <v>Total item 1.1</v>
      </c>
      <c r="E19" s="244"/>
      <c r="F19" s="34"/>
      <c r="G19" s="34"/>
      <c r="H19" s="34"/>
      <c r="I19" s="34"/>
      <c r="J19" s="28">
        <f>SUM(J18:J18)</f>
        <v>1</v>
      </c>
      <c r="K19" s="34"/>
      <c r="L19" s="30"/>
      <c r="M19" s="34"/>
      <c r="N19" s="34"/>
      <c r="O19" s="30"/>
      <c r="P19" s="34"/>
      <c r="Q19" s="34"/>
      <c r="S19" s="34"/>
    </row>
    <row r="20" spans="1:21" s="25" customFormat="1" x14ac:dyDescent="0.3">
      <c r="A20" s="320"/>
      <c r="B20" s="321"/>
      <c r="C20" s="321"/>
      <c r="D20" s="149"/>
      <c r="E20" s="244"/>
      <c r="F20" s="34"/>
      <c r="G20" s="34"/>
      <c r="H20" s="34"/>
      <c r="I20" s="34"/>
      <c r="J20" s="37"/>
      <c r="K20" s="34"/>
      <c r="L20" s="34"/>
      <c r="M20" s="34"/>
      <c r="N20" s="34"/>
      <c r="O20" s="34"/>
      <c r="P20" s="34"/>
      <c r="Q20" s="34"/>
      <c r="S20" s="34"/>
      <c r="T20" s="38"/>
    </row>
    <row r="21" spans="1:21" s="171" customFormat="1" x14ac:dyDescent="0.3">
      <c r="A21" s="328" t="s">
        <v>9</v>
      </c>
      <c r="B21" s="326"/>
      <c r="C21" s="326"/>
      <c r="D21" s="199" t="s">
        <v>131</v>
      </c>
      <c r="E21" s="243"/>
      <c r="F21" s="28"/>
      <c r="G21" s="28"/>
      <c r="H21" s="28"/>
      <c r="I21" s="28"/>
      <c r="J21" s="28"/>
      <c r="K21" s="28"/>
      <c r="L21" s="28"/>
      <c r="M21" s="28"/>
      <c r="N21" s="28">
        <f>SUM(N22:N64)</f>
        <v>110752.93</v>
      </c>
      <c r="O21" s="28"/>
      <c r="P21" s="28"/>
      <c r="Q21" s="28">
        <f>SUM(Q22:Q64)</f>
        <v>110675.94000000002</v>
      </c>
      <c r="S21" s="28"/>
      <c r="T21" s="202"/>
    </row>
    <row r="22" spans="1:21" s="25" customFormat="1" x14ac:dyDescent="0.3">
      <c r="A22" s="320"/>
      <c r="B22" s="321"/>
      <c r="C22" s="321"/>
      <c r="D22" s="149"/>
      <c r="E22" s="244"/>
      <c r="F22" s="34"/>
      <c r="G22" s="34"/>
      <c r="H22" s="34"/>
      <c r="I22" s="34"/>
      <c r="J22" s="37"/>
      <c r="K22" s="34"/>
      <c r="L22" s="34"/>
      <c r="M22" s="34"/>
      <c r="N22" s="34"/>
      <c r="O22" s="34"/>
      <c r="P22" s="34"/>
      <c r="Q22" s="34"/>
      <c r="S22" s="34"/>
      <c r="T22" s="38"/>
    </row>
    <row r="23" spans="1:21" s="32" customFormat="1" ht="41.4" x14ac:dyDescent="0.3">
      <c r="A23" s="322" t="s">
        <v>114</v>
      </c>
      <c r="B23" s="322" t="s">
        <v>35</v>
      </c>
      <c r="C23" s="323" t="s">
        <v>450</v>
      </c>
      <c r="D23" s="201" t="s">
        <v>449</v>
      </c>
      <c r="E23" s="245" t="s">
        <v>88</v>
      </c>
      <c r="F23" s="31"/>
      <c r="G23" s="31"/>
      <c r="H23" s="31"/>
      <c r="I23" s="31"/>
      <c r="J23" s="31"/>
      <c r="K23" s="30">
        <f>J25</f>
        <v>27</v>
      </c>
      <c r="L23" s="30" t="s">
        <v>610</v>
      </c>
      <c r="M23" s="30">
        <f>ROUND(L23*(1+$N$11),2)</f>
        <v>585.17999999999995</v>
      </c>
      <c r="N23" s="30">
        <f>TRUNC($K23*M23,2)</f>
        <v>15799.86</v>
      </c>
      <c r="O23" s="30" t="s">
        <v>611</v>
      </c>
      <c r="P23" s="30">
        <f>ROUND(O23*(1+$Q$11),2)</f>
        <v>561.23</v>
      </c>
      <c r="Q23" s="30">
        <f>TRUNC($K23*P23,2)</f>
        <v>15153.21</v>
      </c>
      <c r="R23" s="25" t="s">
        <v>612</v>
      </c>
      <c r="S23" s="30"/>
    </row>
    <row r="24" spans="1:21" s="32" customFormat="1" x14ac:dyDescent="0.3">
      <c r="A24" s="322"/>
      <c r="B24" s="322"/>
      <c r="C24" s="322"/>
      <c r="D24" s="213" t="s">
        <v>132</v>
      </c>
      <c r="E24" s="248"/>
      <c r="F24" s="34"/>
      <c r="G24" s="30">
        <v>6</v>
      </c>
      <c r="H24" s="30"/>
      <c r="I24" s="30">
        <v>4.5</v>
      </c>
      <c r="J24" s="30">
        <f>ROUND(PRODUCT(F24:I24),2)</f>
        <v>27</v>
      </c>
      <c r="K24" s="30"/>
      <c r="L24" s="31"/>
      <c r="M24" s="30"/>
      <c r="N24" s="30"/>
      <c r="O24" s="31"/>
      <c r="P24" s="30"/>
      <c r="Q24" s="30"/>
      <c r="S24" s="30"/>
      <c r="T24" s="25"/>
    </row>
    <row r="25" spans="1:21" s="25" customFormat="1" x14ac:dyDescent="0.3">
      <c r="A25" s="321"/>
      <c r="B25" s="321"/>
      <c r="C25" s="321"/>
      <c r="D25" s="36" t="str">
        <f>"Total item "&amp;A23</f>
        <v>Total item 2.1</v>
      </c>
      <c r="E25" s="244"/>
      <c r="F25" s="34"/>
      <c r="G25" s="34"/>
      <c r="H25" s="34"/>
      <c r="I25" s="34"/>
      <c r="J25" s="28">
        <f>SUM(J24:J24)</f>
        <v>27</v>
      </c>
      <c r="K25" s="34"/>
      <c r="L25" s="34"/>
      <c r="M25" s="34"/>
      <c r="N25" s="34"/>
      <c r="O25" s="34"/>
      <c r="P25" s="34"/>
      <c r="Q25" s="34"/>
      <c r="S25" s="34"/>
    </row>
    <row r="26" spans="1:21" s="25" customFormat="1" x14ac:dyDescent="0.3">
      <c r="A26" s="320"/>
      <c r="B26" s="321"/>
      <c r="C26" s="321"/>
      <c r="D26" s="149"/>
      <c r="E26" s="244"/>
      <c r="F26" s="34"/>
      <c r="G26" s="34"/>
      <c r="H26" s="34"/>
      <c r="I26" s="34"/>
      <c r="J26" s="37"/>
      <c r="K26" s="34"/>
      <c r="L26" s="34"/>
      <c r="M26" s="34"/>
      <c r="N26" s="34"/>
      <c r="O26" s="34"/>
      <c r="P26" s="34"/>
      <c r="Q26" s="34"/>
      <c r="S26" s="34"/>
      <c r="T26" s="38"/>
    </row>
    <row r="27" spans="1:21" s="32" customFormat="1" ht="41.4" x14ac:dyDescent="0.3">
      <c r="A27" s="322" t="s">
        <v>185</v>
      </c>
      <c r="B27" s="322" t="s">
        <v>35</v>
      </c>
      <c r="C27" s="323" t="s">
        <v>618</v>
      </c>
      <c r="D27" s="201" t="s">
        <v>617</v>
      </c>
      <c r="E27" s="245" t="s">
        <v>88</v>
      </c>
      <c r="F27" s="31"/>
      <c r="G27" s="31" t="s">
        <v>622</v>
      </c>
      <c r="H27" s="31"/>
      <c r="I27" s="31"/>
      <c r="J27" s="31"/>
      <c r="K27" s="30">
        <f>J29</f>
        <v>1562.66</v>
      </c>
      <c r="L27" s="30" t="s">
        <v>620</v>
      </c>
      <c r="M27" s="30">
        <f>ROUND(L27*(1+$N$11),2)</f>
        <v>4.3899999999999997</v>
      </c>
      <c r="N27" s="30">
        <f>TRUNC($K27*M27,2)</f>
        <v>6860.07</v>
      </c>
      <c r="O27" s="30" t="s">
        <v>621</v>
      </c>
      <c r="P27" s="30">
        <f>ROUND(O27*(1+$Q$11),2)</f>
        <v>4.53</v>
      </c>
      <c r="Q27" s="30">
        <f>TRUNC($K27*P27,2)</f>
        <v>7078.84</v>
      </c>
      <c r="R27" s="25" t="s">
        <v>612</v>
      </c>
      <c r="S27" s="30"/>
    </row>
    <row r="28" spans="1:21" s="32" customFormat="1" x14ac:dyDescent="0.3">
      <c r="A28" s="322"/>
      <c r="B28" s="322"/>
      <c r="C28" s="322"/>
      <c r="D28" s="213" t="s">
        <v>619</v>
      </c>
      <c r="E28" s="248"/>
      <c r="F28" s="34"/>
      <c r="G28" s="30">
        <v>1562.66</v>
      </c>
      <c r="H28" s="30"/>
      <c r="I28" s="30"/>
      <c r="J28" s="30">
        <f>ROUND(PRODUCT(F28:I28),2)</f>
        <v>1562.66</v>
      </c>
      <c r="K28" s="30"/>
      <c r="L28" s="31"/>
      <c r="M28" s="30"/>
      <c r="N28" s="30"/>
      <c r="O28" s="31"/>
      <c r="P28" s="30"/>
      <c r="Q28" s="30"/>
      <c r="S28" s="30"/>
      <c r="T28" s="25"/>
    </row>
    <row r="29" spans="1:21" s="25" customFormat="1" x14ac:dyDescent="0.3">
      <c r="A29" s="321"/>
      <c r="B29" s="321"/>
      <c r="C29" s="321"/>
      <c r="D29" s="36" t="str">
        <f>"Total item "&amp;A27</f>
        <v>Total item 2.2</v>
      </c>
      <c r="E29" s="244"/>
      <c r="F29" s="34"/>
      <c r="G29" s="34"/>
      <c r="H29" s="34"/>
      <c r="I29" s="34"/>
      <c r="J29" s="28">
        <f>SUM(J28:J28)</f>
        <v>1562.66</v>
      </c>
      <c r="K29" s="34"/>
      <c r="L29" s="34"/>
      <c r="M29" s="34"/>
      <c r="N29" s="34"/>
      <c r="O29" s="34"/>
      <c r="P29" s="34"/>
      <c r="Q29" s="34"/>
      <c r="S29" s="34"/>
    </row>
    <row r="30" spans="1:21" s="25" customFormat="1" x14ac:dyDescent="0.3">
      <c r="A30" s="320"/>
      <c r="B30" s="321"/>
      <c r="C30" s="321"/>
      <c r="D30" s="149"/>
      <c r="E30" s="244"/>
      <c r="F30" s="34"/>
      <c r="G30" s="34"/>
      <c r="H30" s="34"/>
      <c r="I30" s="34"/>
      <c r="J30" s="37"/>
      <c r="K30" s="34"/>
      <c r="L30" s="34"/>
      <c r="M30" s="34"/>
      <c r="N30" s="34"/>
      <c r="O30" s="34"/>
      <c r="P30" s="34"/>
      <c r="Q30" s="34"/>
      <c r="S30" s="34"/>
      <c r="T30" s="38"/>
    </row>
    <row r="31" spans="1:21" s="32" customFormat="1" ht="41.4" x14ac:dyDescent="0.3">
      <c r="A31" s="322" t="s">
        <v>189</v>
      </c>
      <c r="B31" s="322" t="s">
        <v>35</v>
      </c>
      <c r="C31" s="323" t="s">
        <v>624</v>
      </c>
      <c r="D31" s="201" t="s">
        <v>623</v>
      </c>
      <c r="E31" s="245" t="s">
        <v>80</v>
      </c>
      <c r="F31" s="31"/>
      <c r="G31" s="31" t="s">
        <v>622</v>
      </c>
      <c r="H31" s="31"/>
      <c r="I31" s="31"/>
      <c r="J31" s="31"/>
      <c r="K31" s="30">
        <f>J33</f>
        <v>89.93</v>
      </c>
      <c r="L31" s="30" t="s">
        <v>625</v>
      </c>
      <c r="M31" s="30">
        <f>ROUND(L31*(1+$N$11),2)</f>
        <v>130.36000000000001</v>
      </c>
      <c r="N31" s="30">
        <f>TRUNC($K31*M31,2)</f>
        <v>11723.27</v>
      </c>
      <c r="O31" s="30" t="s">
        <v>626</v>
      </c>
      <c r="P31" s="30">
        <f>ROUND(O31*(1+$Q$11),2)</f>
        <v>129.30000000000001</v>
      </c>
      <c r="Q31" s="30">
        <f>TRUNC($K31*P31,2)</f>
        <v>11627.94</v>
      </c>
      <c r="R31" s="25" t="s">
        <v>612</v>
      </c>
      <c r="S31" s="30"/>
    </row>
    <row r="32" spans="1:21" s="32" customFormat="1" x14ac:dyDescent="0.3">
      <c r="A32" s="322"/>
      <c r="B32" s="322"/>
      <c r="C32" s="322"/>
      <c r="D32" s="213" t="s">
        <v>627</v>
      </c>
      <c r="E32" s="248"/>
      <c r="F32" s="34"/>
      <c r="G32" s="30">
        <v>1798.52</v>
      </c>
      <c r="H32" s="30"/>
      <c r="I32" s="30">
        <v>0.05</v>
      </c>
      <c r="J32" s="30">
        <f>ROUND(PRODUCT(F32:I32),2)</f>
        <v>89.93</v>
      </c>
      <c r="K32" s="30"/>
      <c r="L32" s="31"/>
      <c r="M32" s="30"/>
      <c r="N32" s="30"/>
      <c r="O32" s="31"/>
      <c r="P32" s="30"/>
      <c r="Q32" s="30"/>
      <c r="S32" s="30"/>
      <c r="T32" s="25"/>
    </row>
    <row r="33" spans="1:20" s="25" customFormat="1" x14ac:dyDescent="0.3">
      <c r="A33" s="321"/>
      <c r="B33" s="321"/>
      <c r="C33" s="321"/>
      <c r="D33" s="36" t="str">
        <f>"Total item "&amp;A31</f>
        <v>Total item 2.3</v>
      </c>
      <c r="E33" s="244"/>
      <c r="F33" s="34"/>
      <c r="G33" s="34"/>
      <c r="H33" s="34"/>
      <c r="I33" s="34"/>
      <c r="J33" s="28">
        <f>SUM(J32:J32)</f>
        <v>89.93</v>
      </c>
      <c r="K33" s="34"/>
      <c r="L33" s="34"/>
      <c r="M33" s="34"/>
      <c r="N33" s="34"/>
      <c r="O33" s="34"/>
      <c r="P33" s="34"/>
      <c r="Q33" s="34"/>
      <c r="S33" s="34"/>
    </row>
    <row r="34" spans="1:20" s="25" customFormat="1" x14ac:dyDescent="0.3">
      <c r="A34" s="320"/>
      <c r="B34" s="321"/>
      <c r="C34" s="321"/>
      <c r="D34" s="149"/>
      <c r="E34" s="244"/>
      <c r="F34" s="34"/>
      <c r="G34" s="34"/>
      <c r="H34" s="34"/>
      <c r="I34" s="34"/>
      <c r="J34" s="37"/>
      <c r="K34" s="34"/>
      <c r="L34" s="34"/>
      <c r="M34" s="34"/>
      <c r="N34" s="34"/>
      <c r="O34" s="34"/>
      <c r="P34" s="34"/>
      <c r="Q34" s="34"/>
      <c r="S34" s="34"/>
      <c r="T34" s="38"/>
    </row>
    <row r="35" spans="1:20" s="32" customFormat="1" ht="27.6" x14ac:dyDescent="0.3">
      <c r="A35" s="322" t="s">
        <v>454</v>
      </c>
      <c r="B35" s="322" t="s">
        <v>35</v>
      </c>
      <c r="C35" s="323" t="s">
        <v>630</v>
      </c>
      <c r="D35" s="201" t="s">
        <v>629</v>
      </c>
      <c r="E35" s="245" t="s">
        <v>88</v>
      </c>
      <c r="F35" s="31"/>
      <c r="G35" s="31" t="s">
        <v>622</v>
      </c>
      <c r="H35" s="31"/>
      <c r="I35" s="31"/>
      <c r="J35" s="31"/>
      <c r="K35" s="30">
        <f>J37</f>
        <v>1245.83</v>
      </c>
      <c r="L35" s="30">
        <v>22.4</v>
      </c>
      <c r="M35" s="30">
        <f>ROUND(L35*(1+$N$11),2)</f>
        <v>28.34</v>
      </c>
      <c r="N35" s="30">
        <f>TRUNC($K35*M35,2)</f>
        <v>35306.82</v>
      </c>
      <c r="O35" s="30" t="s">
        <v>632</v>
      </c>
      <c r="P35" s="30">
        <f>ROUND(O35*(1+$Q$11),2)</f>
        <v>29.21</v>
      </c>
      <c r="Q35" s="30">
        <f>TRUNC($K35*P35,2)</f>
        <v>36390.69</v>
      </c>
      <c r="R35" s="25" t="s">
        <v>612</v>
      </c>
      <c r="S35" s="30"/>
    </row>
    <row r="36" spans="1:20" s="32" customFormat="1" x14ac:dyDescent="0.3">
      <c r="A36" s="322"/>
      <c r="B36" s="322"/>
      <c r="C36" s="322"/>
      <c r="D36" s="213" t="s">
        <v>631</v>
      </c>
      <c r="E36" s="248"/>
      <c r="F36" s="34"/>
      <c r="G36" s="30">
        <v>1245.83</v>
      </c>
      <c r="H36" s="30"/>
      <c r="I36" s="30"/>
      <c r="J36" s="30">
        <f>ROUND(PRODUCT(F36:I36),2)</f>
        <v>1245.83</v>
      </c>
      <c r="K36" s="30"/>
      <c r="L36" s="31"/>
      <c r="M36" s="30"/>
      <c r="N36" s="30"/>
      <c r="O36" s="31"/>
      <c r="P36" s="30"/>
      <c r="Q36" s="30"/>
      <c r="S36" s="30"/>
      <c r="T36" s="25"/>
    </row>
    <row r="37" spans="1:20" s="25" customFormat="1" x14ac:dyDescent="0.3">
      <c r="A37" s="321"/>
      <c r="B37" s="321"/>
      <c r="C37" s="321"/>
      <c r="D37" s="36" t="str">
        <f>"Total item "&amp;A35</f>
        <v>Total item 2.4</v>
      </c>
      <c r="E37" s="244"/>
      <c r="F37" s="34"/>
      <c r="G37" s="34"/>
      <c r="H37" s="34"/>
      <c r="I37" s="34"/>
      <c r="J37" s="28">
        <f>SUM(J36:J36)</f>
        <v>1245.83</v>
      </c>
      <c r="K37" s="34"/>
      <c r="L37" s="34"/>
      <c r="M37" s="34"/>
      <c r="N37" s="34"/>
      <c r="O37" s="34"/>
      <c r="P37" s="34"/>
      <c r="Q37" s="34"/>
      <c r="S37" s="34"/>
    </row>
    <row r="38" spans="1:20" s="25" customFormat="1" x14ac:dyDescent="0.3">
      <c r="A38" s="320"/>
      <c r="B38" s="321"/>
      <c r="C38" s="321"/>
      <c r="D38" s="149"/>
      <c r="E38" s="244"/>
      <c r="F38" s="34"/>
      <c r="G38" s="34"/>
      <c r="H38" s="34"/>
      <c r="I38" s="34"/>
      <c r="J38" s="37"/>
      <c r="K38" s="34"/>
      <c r="L38" s="34"/>
      <c r="M38" s="34"/>
      <c r="N38" s="34"/>
      <c r="O38" s="30"/>
      <c r="P38" s="34"/>
      <c r="Q38" s="34"/>
      <c r="S38" s="34"/>
      <c r="T38" s="38"/>
    </row>
    <row r="39" spans="1:20" s="32" customFormat="1" ht="27.6" x14ac:dyDescent="0.3">
      <c r="A39" s="322" t="s">
        <v>745</v>
      </c>
      <c r="B39" s="322" t="s">
        <v>35</v>
      </c>
      <c r="C39" s="323" t="s">
        <v>634</v>
      </c>
      <c r="D39" s="201" t="s">
        <v>633</v>
      </c>
      <c r="E39" s="245" t="s">
        <v>88</v>
      </c>
      <c r="F39" s="31"/>
      <c r="G39" s="31" t="s">
        <v>622</v>
      </c>
      <c r="H39" s="31"/>
      <c r="I39" s="31"/>
      <c r="J39" s="31"/>
      <c r="K39" s="30">
        <f>J41</f>
        <v>87.42</v>
      </c>
      <c r="L39" s="30" t="s">
        <v>635</v>
      </c>
      <c r="M39" s="30">
        <f>ROUND(L39*(1+$N$11),2)</f>
        <v>145.02000000000001</v>
      </c>
      <c r="N39" s="30">
        <f>TRUNC($K39*M39,2)</f>
        <v>12677.64</v>
      </c>
      <c r="O39" s="30" t="s">
        <v>636</v>
      </c>
      <c r="P39" s="30">
        <f>ROUND(O39*(1+$Q$11),2)</f>
        <v>149.38</v>
      </c>
      <c r="Q39" s="30">
        <f>TRUNC($K39*P39,2)</f>
        <v>13058.79</v>
      </c>
      <c r="R39" s="25" t="s">
        <v>612</v>
      </c>
      <c r="S39" s="30"/>
    </row>
    <row r="40" spans="1:20" s="32" customFormat="1" x14ac:dyDescent="0.3">
      <c r="A40" s="322"/>
      <c r="B40" s="322"/>
      <c r="C40" s="322"/>
      <c r="D40" s="213" t="s">
        <v>637</v>
      </c>
      <c r="E40" s="248"/>
      <c r="F40" s="34"/>
      <c r="G40" s="30">
        <v>87.42</v>
      </c>
      <c r="H40" s="30"/>
      <c r="I40" s="30"/>
      <c r="J40" s="30">
        <f>ROUND(PRODUCT(F40:I40),2)</f>
        <v>87.42</v>
      </c>
      <c r="K40" s="30"/>
      <c r="L40" s="31"/>
      <c r="M40" s="30"/>
      <c r="N40" s="30"/>
      <c r="O40" s="31"/>
      <c r="P40" s="30"/>
      <c r="Q40" s="30"/>
      <c r="S40" s="30"/>
      <c r="T40" s="25"/>
    </row>
    <row r="41" spans="1:20" s="25" customFormat="1" x14ac:dyDescent="0.3">
      <c r="A41" s="321"/>
      <c r="B41" s="321"/>
      <c r="C41" s="321"/>
      <c r="D41" s="36" t="str">
        <f>"Total item "&amp;A39</f>
        <v>Total item 2.5</v>
      </c>
      <c r="E41" s="244"/>
      <c r="F41" s="34"/>
      <c r="G41" s="34"/>
      <c r="H41" s="34"/>
      <c r="I41" s="34"/>
      <c r="J41" s="28">
        <f>SUM(J40:J40)</f>
        <v>87.42</v>
      </c>
      <c r="K41" s="34"/>
      <c r="L41" s="34"/>
      <c r="M41" s="34"/>
      <c r="N41" s="34"/>
      <c r="O41" s="34"/>
      <c r="P41" s="34"/>
      <c r="Q41" s="34"/>
      <c r="S41" s="34"/>
    </row>
    <row r="42" spans="1:20" s="25" customFormat="1" x14ac:dyDescent="0.3">
      <c r="A42" s="320"/>
      <c r="B42" s="321"/>
      <c r="C42" s="321"/>
      <c r="D42" s="149"/>
      <c r="E42" s="244"/>
      <c r="F42" s="34"/>
      <c r="G42" s="34"/>
      <c r="H42" s="34"/>
      <c r="I42" s="34"/>
      <c r="J42" s="37"/>
      <c r="K42" s="34"/>
      <c r="L42" s="34"/>
      <c r="M42" s="34"/>
      <c r="N42" s="34"/>
      <c r="O42" s="30"/>
      <c r="P42" s="34"/>
      <c r="Q42" s="34"/>
      <c r="S42" s="34"/>
      <c r="T42" s="38"/>
    </row>
    <row r="43" spans="1:20" s="32" customFormat="1" ht="27.6" x14ac:dyDescent="0.3">
      <c r="A43" s="322" t="s">
        <v>746</v>
      </c>
      <c r="B43" s="322" t="s">
        <v>35</v>
      </c>
      <c r="C43" s="323" t="s">
        <v>639</v>
      </c>
      <c r="D43" s="201" t="s">
        <v>638</v>
      </c>
      <c r="E43" s="245" t="s">
        <v>88</v>
      </c>
      <c r="F43" s="31"/>
      <c r="G43" s="31"/>
      <c r="H43" s="31"/>
      <c r="I43" s="31"/>
      <c r="J43" s="31"/>
      <c r="K43" s="30">
        <f>J45</f>
        <v>63</v>
      </c>
      <c r="L43" s="30" t="s">
        <v>640</v>
      </c>
      <c r="M43" s="30">
        <f>ROUND(L43*(1+$N$11),2)</f>
        <v>5.63</v>
      </c>
      <c r="N43" s="30">
        <f>TRUNC($K43*M43,2)</f>
        <v>354.69</v>
      </c>
      <c r="O43" s="30" t="s">
        <v>641</v>
      </c>
      <c r="P43" s="30">
        <f>ROUND(O43*(1+$Q$11),2)</f>
        <v>5.82</v>
      </c>
      <c r="Q43" s="30">
        <f>TRUNC($K43*P43,2)</f>
        <v>366.66</v>
      </c>
      <c r="R43" s="25" t="s">
        <v>612</v>
      </c>
      <c r="S43" s="30"/>
    </row>
    <row r="44" spans="1:20" s="32" customFormat="1" x14ac:dyDescent="0.3">
      <c r="A44" s="322"/>
      <c r="B44" s="322"/>
      <c r="C44" s="322"/>
      <c r="D44" s="213" t="s">
        <v>642</v>
      </c>
      <c r="E44" s="248"/>
      <c r="F44" s="34"/>
      <c r="G44" s="30">
        <v>63</v>
      </c>
      <c r="H44" s="30"/>
      <c r="I44" s="30"/>
      <c r="J44" s="30">
        <f>ROUND(PRODUCT(F44:I44),2)</f>
        <v>63</v>
      </c>
      <c r="K44" s="30"/>
      <c r="L44" s="31"/>
      <c r="M44" s="30"/>
      <c r="N44" s="30"/>
      <c r="O44" s="31"/>
      <c r="P44" s="30"/>
      <c r="Q44" s="30"/>
      <c r="S44" s="30"/>
      <c r="T44" s="25"/>
    </row>
    <row r="45" spans="1:20" s="25" customFormat="1" x14ac:dyDescent="0.3">
      <c r="A45" s="321"/>
      <c r="B45" s="321"/>
      <c r="C45" s="321"/>
      <c r="D45" s="36" t="str">
        <f>"Total item "&amp;A43</f>
        <v>Total item 2.6</v>
      </c>
      <c r="E45" s="244"/>
      <c r="F45" s="34"/>
      <c r="G45" s="34"/>
      <c r="H45" s="34"/>
      <c r="I45" s="34"/>
      <c r="J45" s="28">
        <f>SUM(J44:J44)</f>
        <v>63</v>
      </c>
      <c r="K45" s="34"/>
      <c r="L45" s="34"/>
      <c r="M45" s="34"/>
      <c r="N45" s="34"/>
      <c r="O45" s="34"/>
      <c r="P45" s="34"/>
      <c r="Q45" s="34"/>
      <c r="S45" s="34"/>
    </row>
    <row r="46" spans="1:20" s="25" customFormat="1" x14ac:dyDescent="0.3">
      <c r="A46" s="320"/>
      <c r="B46" s="321"/>
      <c r="C46" s="321"/>
      <c r="D46" s="149"/>
      <c r="E46" s="244"/>
      <c r="F46" s="34"/>
      <c r="G46" s="34"/>
      <c r="H46" s="34"/>
      <c r="I46" s="34"/>
      <c r="J46" s="37"/>
      <c r="K46" s="34"/>
      <c r="L46" s="34"/>
      <c r="M46" s="34"/>
      <c r="N46" s="34"/>
      <c r="O46" s="30"/>
      <c r="P46" s="34"/>
      <c r="Q46" s="34"/>
      <c r="S46" s="34"/>
      <c r="T46" s="38"/>
    </row>
    <row r="47" spans="1:20" s="32" customFormat="1" x14ac:dyDescent="0.3">
      <c r="A47" s="322" t="s">
        <v>747</v>
      </c>
      <c r="B47" s="322" t="s">
        <v>478</v>
      </c>
      <c r="C47" s="323" t="s">
        <v>672</v>
      </c>
      <c r="D47" s="201" t="s">
        <v>671</v>
      </c>
      <c r="E47" s="245" t="s">
        <v>87</v>
      </c>
      <c r="F47" s="31"/>
      <c r="G47" s="31"/>
      <c r="H47" s="31"/>
      <c r="I47" s="31"/>
      <c r="J47" s="31"/>
      <c r="K47" s="30">
        <f>J49</f>
        <v>80</v>
      </c>
      <c r="L47" s="30">
        <v>10.35</v>
      </c>
      <c r="M47" s="30">
        <f>ROUND(L47*(1+$N$11),2)</f>
        <v>13.1</v>
      </c>
      <c r="N47" s="30">
        <f>TRUNC($K47*M47,2)</f>
        <v>1048</v>
      </c>
      <c r="O47" s="30">
        <v>10.35</v>
      </c>
      <c r="P47" s="30">
        <f>ROUND(O47*(1+$Q$11),2)</f>
        <v>12.47</v>
      </c>
      <c r="Q47" s="30">
        <f>TRUNC($K47*P47,2)</f>
        <v>997.6</v>
      </c>
      <c r="R47" s="25" t="s">
        <v>612</v>
      </c>
      <c r="S47" s="30"/>
    </row>
    <row r="48" spans="1:20" s="32" customFormat="1" x14ac:dyDescent="0.3">
      <c r="A48" s="322"/>
      <c r="B48" s="322"/>
      <c r="C48" s="322"/>
      <c r="D48" s="213" t="s">
        <v>482</v>
      </c>
      <c r="E48" s="248"/>
      <c r="F48" s="34"/>
      <c r="G48" s="30">
        <v>80</v>
      </c>
      <c r="H48" s="30"/>
      <c r="I48" s="30"/>
      <c r="J48" s="30">
        <f>ROUND(PRODUCT(F48:I48),2)</f>
        <v>80</v>
      </c>
      <c r="K48" s="30"/>
      <c r="L48" s="31"/>
      <c r="M48" s="30"/>
      <c r="N48" s="30"/>
      <c r="O48" s="31"/>
      <c r="P48" s="30"/>
      <c r="Q48" s="30"/>
      <c r="S48" s="30"/>
      <c r="T48" s="25"/>
    </row>
    <row r="49" spans="1:20" s="25" customFormat="1" x14ac:dyDescent="0.3">
      <c r="A49" s="321"/>
      <c r="B49" s="321"/>
      <c r="C49" s="321"/>
      <c r="D49" s="36" t="str">
        <f>"Total item "&amp;A47</f>
        <v>Total item 2.7</v>
      </c>
      <c r="E49" s="244"/>
      <c r="F49" s="34"/>
      <c r="G49" s="34"/>
      <c r="H49" s="34"/>
      <c r="I49" s="34"/>
      <c r="J49" s="28">
        <f>SUM(J47:J48)</f>
        <v>80</v>
      </c>
      <c r="K49" s="34"/>
      <c r="L49" s="34"/>
      <c r="M49" s="34"/>
      <c r="N49" s="34"/>
      <c r="O49" s="34"/>
      <c r="P49" s="34"/>
      <c r="Q49" s="34"/>
      <c r="S49" s="34"/>
    </row>
    <row r="50" spans="1:20" s="25" customFormat="1" x14ac:dyDescent="0.3">
      <c r="A50" s="320"/>
      <c r="B50" s="321"/>
      <c r="C50" s="321"/>
      <c r="D50" s="149"/>
      <c r="E50" s="244"/>
      <c r="F50" s="34"/>
      <c r="G50" s="34"/>
      <c r="H50" s="34"/>
      <c r="I50" s="34"/>
      <c r="J50" s="37"/>
      <c r="K50" s="34"/>
      <c r="L50" s="34"/>
      <c r="M50" s="34"/>
      <c r="N50" s="34"/>
      <c r="O50" s="30"/>
      <c r="P50" s="34"/>
      <c r="Q50" s="34"/>
      <c r="S50" s="34"/>
      <c r="T50" s="38"/>
    </row>
    <row r="51" spans="1:20" s="32" customFormat="1" ht="27.6" x14ac:dyDescent="0.3">
      <c r="A51" s="322" t="s">
        <v>862</v>
      </c>
      <c r="B51" s="322" t="s">
        <v>35</v>
      </c>
      <c r="C51" s="323" t="s">
        <v>693</v>
      </c>
      <c r="D51" s="201" t="s">
        <v>692</v>
      </c>
      <c r="E51" s="245" t="s">
        <v>88</v>
      </c>
      <c r="F51" s="31"/>
      <c r="G51" s="31"/>
      <c r="H51" s="31"/>
      <c r="I51" s="31"/>
      <c r="J51" s="31"/>
      <c r="K51" s="30">
        <f>J53</f>
        <v>1226.75</v>
      </c>
      <c r="L51" s="30">
        <v>10.35</v>
      </c>
      <c r="M51" s="30">
        <f>ROUND(L51*(1+$N$11),2)</f>
        <v>13.1</v>
      </c>
      <c r="N51" s="30">
        <f>TRUNC($K51*M51,2)</f>
        <v>16070.42</v>
      </c>
      <c r="O51" s="30">
        <v>10.35</v>
      </c>
      <c r="P51" s="30">
        <f>ROUND(O51*(1+$Q$11),2)</f>
        <v>12.47</v>
      </c>
      <c r="Q51" s="30">
        <f>TRUNC($K51*P51,2)</f>
        <v>15297.57</v>
      </c>
      <c r="R51" s="25" t="s">
        <v>612</v>
      </c>
      <c r="S51" s="30"/>
    </row>
    <row r="52" spans="1:20" s="32" customFormat="1" x14ac:dyDescent="0.3">
      <c r="A52" s="322"/>
      <c r="B52" s="322"/>
      <c r="C52" s="322"/>
      <c r="D52" s="213" t="s">
        <v>694</v>
      </c>
      <c r="E52" s="248"/>
      <c r="F52" s="34"/>
      <c r="G52" s="30">
        <v>1226.75</v>
      </c>
      <c r="H52" s="30"/>
      <c r="I52" s="30"/>
      <c r="J52" s="30">
        <f>ROUND(PRODUCT(F52:I52),2)</f>
        <v>1226.75</v>
      </c>
      <c r="K52" s="30"/>
      <c r="L52" s="31"/>
      <c r="M52" s="30"/>
      <c r="N52" s="30"/>
      <c r="O52" s="31"/>
      <c r="P52" s="30"/>
      <c r="Q52" s="30"/>
      <c r="S52" s="30"/>
      <c r="T52" s="25"/>
    </row>
    <row r="53" spans="1:20" s="25" customFormat="1" x14ac:dyDescent="0.3">
      <c r="A53" s="321"/>
      <c r="B53" s="321"/>
      <c r="C53" s="321"/>
      <c r="D53" s="36" t="str">
        <f>"Total item "&amp;A51</f>
        <v>Total item 2.8</v>
      </c>
      <c r="E53" s="244"/>
      <c r="F53" s="34"/>
      <c r="G53" s="34"/>
      <c r="H53" s="34"/>
      <c r="I53" s="34"/>
      <c r="J53" s="28">
        <f>SUM(J51:J52)</f>
        <v>1226.75</v>
      </c>
      <c r="K53" s="34"/>
      <c r="L53" s="34"/>
      <c r="M53" s="34"/>
      <c r="N53" s="34"/>
      <c r="O53" s="34"/>
      <c r="P53" s="34"/>
      <c r="Q53" s="34"/>
      <c r="S53" s="34"/>
    </row>
    <row r="54" spans="1:20" s="25" customFormat="1" x14ac:dyDescent="0.3">
      <c r="A54" s="320"/>
      <c r="B54" s="321"/>
      <c r="C54" s="321"/>
      <c r="D54" s="149"/>
      <c r="E54" s="244"/>
      <c r="F54" s="34"/>
      <c r="G54" s="34"/>
      <c r="H54" s="34"/>
      <c r="I54" s="34"/>
      <c r="J54" s="37"/>
      <c r="K54" s="34"/>
      <c r="L54" s="34"/>
      <c r="M54" s="34"/>
      <c r="N54" s="34"/>
      <c r="O54" s="34"/>
      <c r="P54" s="34"/>
      <c r="Q54" s="34"/>
      <c r="S54" s="34"/>
      <c r="T54" s="38"/>
    </row>
    <row r="55" spans="1:20" s="32" customFormat="1" x14ac:dyDescent="0.3">
      <c r="A55" s="322" t="s">
        <v>863</v>
      </c>
      <c r="B55" s="322" t="s">
        <v>35</v>
      </c>
      <c r="C55" s="323" t="s">
        <v>410</v>
      </c>
      <c r="D55" s="201" t="s">
        <v>452</v>
      </c>
      <c r="E55" s="245" t="s">
        <v>88</v>
      </c>
      <c r="F55" s="31"/>
      <c r="G55" s="31"/>
      <c r="H55" s="31"/>
      <c r="I55" s="31"/>
      <c r="J55" s="31"/>
      <c r="K55" s="30">
        <f>J59</f>
        <v>88</v>
      </c>
      <c r="L55" s="30" t="s">
        <v>644</v>
      </c>
      <c r="M55" s="30">
        <f>ROUND(L55*(1+$N$11),2)</f>
        <v>116.65</v>
      </c>
      <c r="N55" s="30">
        <f>TRUNC($K55*M55,2)</f>
        <v>10265.200000000001</v>
      </c>
      <c r="O55" s="30" t="s">
        <v>645</v>
      </c>
      <c r="P55" s="30">
        <f>ROUND(O55*(1+$Q$11),2)</f>
        <v>114.31</v>
      </c>
      <c r="Q55" s="30">
        <f>TRUNC($K55*P55,2)</f>
        <v>10059.280000000001</v>
      </c>
      <c r="R55" s="25" t="s">
        <v>612</v>
      </c>
      <c r="S55" s="30"/>
    </row>
    <row r="56" spans="1:20" s="32" customFormat="1" x14ac:dyDescent="0.3">
      <c r="A56" s="322"/>
      <c r="B56" s="322"/>
      <c r="C56" s="322"/>
      <c r="D56" s="253" t="s">
        <v>643</v>
      </c>
      <c r="E56" s="248"/>
      <c r="F56" s="34"/>
      <c r="G56" s="30"/>
      <c r="H56" s="30"/>
      <c r="I56" s="30"/>
      <c r="J56" s="30"/>
      <c r="K56" s="30"/>
      <c r="L56" s="31"/>
      <c r="M56" s="30"/>
      <c r="N56" s="30"/>
      <c r="O56" s="31"/>
      <c r="P56" s="30"/>
      <c r="Q56" s="30"/>
      <c r="S56" s="30"/>
      <c r="T56" s="25"/>
    </row>
    <row r="57" spans="1:20" s="32" customFormat="1" x14ac:dyDescent="0.3">
      <c r="A57" s="322"/>
      <c r="B57" s="322"/>
      <c r="C57" s="322"/>
      <c r="D57" s="213" t="s">
        <v>479</v>
      </c>
      <c r="E57" s="248"/>
      <c r="F57" s="34"/>
      <c r="G57" s="30">
        <v>20</v>
      </c>
      <c r="H57" s="30"/>
      <c r="I57" s="30">
        <v>2.2000000000000002</v>
      </c>
      <c r="J57" s="30">
        <f t="shared" ref="J57:J58" si="0">ROUND(PRODUCT(F57:I57),2)</f>
        <v>44</v>
      </c>
      <c r="K57" s="30"/>
      <c r="L57" s="31"/>
      <c r="M57" s="30"/>
      <c r="N57" s="30"/>
      <c r="O57" s="31"/>
      <c r="P57" s="30"/>
      <c r="Q57" s="30"/>
      <c r="S57" s="30"/>
      <c r="T57" s="25"/>
    </row>
    <row r="58" spans="1:20" s="32" customFormat="1" x14ac:dyDescent="0.3">
      <c r="A58" s="322"/>
      <c r="B58" s="322"/>
      <c r="C58" s="322"/>
      <c r="D58" s="213" t="s">
        <v>490</v>
      </c>
      <c r="E58" s="248"/>
      <c r="F58" s="34"/>
      <c r="G58" s="30">
        <v>20</v>
      </c>
      <c r="H58" s="30"/>
      <c r="I58" s="30">
        <v>2.2000000000000002</v>
      </c>
      <c r="J58" s="30">
        <f t="shared" si="0"/>
        <v>44</v>
      </c>
      <c r="K58" s="30"/>
      <c r="L58" s="31"/>
      <c r="M58" s="30"/>
      <c r="N58" s="30"/>
      <c r="O58" s="31"/>
      <c r="P58" s="30"/>
      <c r="Q58" s="30"/>
      <c r="S58" s="30"/>
      <c r="T58" s="25"/>
    </row>
    <row r="59" spans="1:20" s="25" customFormat="1" x14ac:dyDescent="0.3">
      <c r="A59" s="321"/>
      <c r="B59" s="321"/>
      <c r="C59" s="321"/>
      <c r="D59" s="36" t="str">
        <f>"Total item "&amp;A55</f>
        <v>Total item 2.9</v>
      </c>
      <c r="E59" s="244"/>
      <c r="F59" s="34"/>
      <c r="G59" s="34"/>
      <c r="H59" s="34"/>
      <c r="I59" s="34"/>
      <c r="J59" s="28">
        <f>SUM(J56:J58)</f>
        <v>88</v>
      </c>
      <c r="K59" s="34"/>
      <c r="L59" s="34"/>
      <c r="M59" s="34"/>
      <c r="N59" s="34"/>
      <c r="O59" s="34"/>
      <c r="P59" s="34"/>
      <c r="Q59" s="34"/>
      <c r="S59" s="34"/>
    </row>
    <row r="60" spans="1:20" s="25" customFormat="1" x14ac:dyDescent="0.3">
      <c r="A60" s="320"/>
      <c r="B60" s="321"/>
      <c r="C60" s="321"/>
      <c r="D60" s="201"/>
      <c r="E60" s="244"/>
      <c r="F60" s="34"/>
      <c r="G60" s="34"/>
      <c r="H60" s="34"/>
      <c r="I60" s="34"/>
      <c r="J60" s="37"/>
      <c r="K60" s="34"/>
      <c r="L60" s="34"/>
      <c r="M60" s="34"/>
      <c r="N60" s="34"/>
      <c r="O60" s="34"/>
      <c r="P60" s="34"/>
      <c r="Q60" s="34"/>
      <c r="S60" s="34"/>
      <c r="T60" s="38"/>
    </row>
    <row r="61" spans="1:20" s="32" customFormat="1" ht="41.4" x14ac:dyDescent="0.3">
      <c r="A61" s="322" t="s">
        <v>864</v>
      </c>
      <c r="B61" s="322" t="s">
        <v>35</v>
      </c>
      <c r="C61" s="323" t="s">
        <v>317</v>
      </c>
      <c r="D61" s="201" t="s">
        <v>453</v>
      </c>
      <c r="E61" s="245" t="s">
        <v>87</v>
      </c>
      <c r="F61" s="31"/>
      <c r="G61" s="31"/>
      <c r="H61" s="31"/>
      <c r="I61" s="31"/>
      <c r="J61" s="31"/>
      <c r="K61" s="30">
        <f>J63</f>
        <v>8</v>
      </c>
      <c r="L61" s="30" t="s">
        <v>646</v>
      </c>
      <c r="M61" s="30">
        <f>ROUND(L61*(1+$N$11),2)</f>
        <v>80.87</v>
      </c>
      <c r="N61" s="30">
        <f>TRUNC($K61*M61,2)</f>
        <v>646.96</v>
      </c>
      <c r="O61" s="30" t="s">
        <v>647</v>
      </c>
      <c r="P61" s="30">
        <f>ROUND(O61*(1+$Q$11),2)</f>
        <v>80.67</v>
      </c>
      <c r="Q61" s="30">
        <f>TRUNC($K61*P61,2)</f>
        <v>645.36</v>
      </c>
      <c r="R61" s="25" t="s">
        <v>612</v>
      </c>
      <c r="S61" s="30"/>
    </row>
    <row r="62" spans="1:20" s="32" customFormat="1" x14ac:dyDescent="0.3">
      <c r="A62" s="322"/>
      <c r="B62" s="322"/>
      <c r="C62" s="323"/>
      <c r="D62" s="213" t="s">
        <v>628</v>
      </c>
      <c r="E62" s="245"/>
      <c r="F62" s="30">
        <v>4</v>
      </c>
      <c r="G62" s="30">
        <v>2</v>
      </c>
      <c r="H62" s="31"/>
      <c r="I62" s="31"/>
      <c r="J62" s="30">
        <f t="shared" ref="J62" si="1">ROUND(PRODUCT(F62:I62),2)</f>
        <v>8</v>
      </c>
      <c r="K62" s="30"/>
      <c r="L62" s="30"/>
      <c r="M62" s="30"/>
      <c r="N62" s="30"/>
      <c r="O62" s="30"/>
      <c r="P62" s="30"/>
      <c r="Q62" s="30"/>
      <c r="R62" s="247"/>
      <c r="S62" s="30"/>
    </row>
    <row r="63" spans="1:20" s="25" customFormat="1" x14ac:dyDescent="0.3">
      <c r="A63" s="321"/>
      <c r="B63" s="321"/>
      <c r="C63" s="321"/>
      <c r="D63" s="36" t="str">
        <f>"Total item "&amp;A61</f>
        <v>Total item 2.10</v>
      </c>
      <c r="E63" s="244"/>
      <c r="F63" s="34"/>
      <c r="G63" s="34"/>
      <c r="H63" s="34"/>
      <c r="I63" s="34"/>
      <c r="J63" s="28">
        <f>SUM(J62:J62)</f>
        <v>8</v>
      </c>
      <c r="K63" s="34"/>
      <c r="L63" s="34"/>
      <c r="M63" s="34"/>
      <c r="N63" s="34"/>
      <c r="O63" s="34"/>
      <c r="P63" s="34"/>
      <c r="Q63" s="34"/>
      <c r="S63" s="34"/>
    </row>
    <row r="64" spans="1:20" s="25" customFormat="1" x14ac:dyDescent="0.3">
      <c r="A64" s="320"/>
      <c r="B64" s="321"/>
      <c r="C64" s="321"/>
      <c r="D64" s="149"/>
      <c r="E64" s="244"/>
      <c r="F64" s="34"/>
      <c r="G64" s="34"/>
      <c r="H64" s="34"/>
      <c r="I64" s="34"/>
      <c r="J64" s="37"/>
      <c r="K64" s="34"/>
      <c r="L64" s="34"/>
      <c r="M64" s="34"/>
      <c r="N64" s="34"/>
      <c r="O64" s="34"/>
      <c r="P64" s="34"/>
      <c r="Q64" s="34"/>
      <c r="S64" s="34"/>
      <c r="T64" s="38"/>
    </row>
    <row r="65" spans="1:20" s="171" customFormat="1" x14ac:dyDescent="0.3">
      <c r="A65" s="328" t="s">
        <v>10</v>
      </c>
      <c r="B65" s="326"/>
      <c r="C65" s="326"/>
      <c r="D65" s="199" t="s">
        <v>682</v>
      </c>
      <c r="E65" s="243"/>
      <c r="F65" s="28"/>
      <c r="G65" s="28"/>
      <c r="H65" s="28"/>
      <c r="I65" s="28"/>
      <c r="J65" s="28"/>
      <c r="K65" s="28"/>
      <c r="L65" s="28"/>
      <c r="M65" s="28"/>
      <c r="N65" s="28">
        <f>SUM(N66:N95)</f>
        <v>120524.77</v>
      </c>
      <c r="O65" s="28"/>
      <c r="P65" s="28"/>
      <c r="Q65" s="28">
        <f>SUM(Q66:Q95)</f>
        <v>117286.42</v>
      </c>
      <c r="S65" s="28"/>
      <c r="T65" s="202"/>
    </row>
    <row r="66" spans="1:20" s="220" customFormat="1" x14ac:dyDescent="0.3">
      <c r="A66" s="329"/>
      <c r="B66" s="327"/>
      <c r="C66" s="327"/>
      <c r="D66" s="216"/>
      <c r="E66" s="250"/>
      <c r="F66" s="218"/>
      <c r="G66" s="218"/>
      <c r="H66" s="218"/>
      <c r="I66" s="218"/>
      <c r="J66" s="219"/>
      <c r="K66" s="218"/>
      <c r="L66" s="218"/>
      <c r="M66" s="218"/>
      <c r="N66" s="218"/>
      <c r="O66" s="218"/>
      <c r="P66" s="218"/>
      <c r="Q66" s="218"/>
      <c r="S66" s="218"/>
      <c r="T66" s="221"/>
    </row>
    <row r="67" spans="1:20" s="32" customFormat="1" ht="69" x14ac:dyDescent="0.3">
      <c r="A67" s="322" t="s">
        <v>135</v>
      </c>
      <c r="B67" s="322" t="s">
        <v>35</v>
      </c>
      <c r="C67" s="323" t="s">
        <v>684</v>
      </c>
      <c r="D67" s="201" t="s">
        <v>683</v>
      </c>
      <c r="E67" s="245" t="s">
        <v>87</v>
      </c>
      <c r="F67" s="31"/>
      <c r="G67" s="31"/>
      <c r="H67" s="31"/>
      <c r="I67" s="31"/>
      <c r="J67" s="31"/>
      <c r="K67" s="30">
        <f>J71</f>
        <v>150</v>
      </c>
      <c r="L67" s="30" t="s">
        <v>685</v>
      </c>
      <c r="M67" s="30">
        <f>ROUND(L67*(1+$N$11),2)</f>
        <v>304.48</v>
      </c>
      <c r="N67" s="30">
        <f>TRUNC($K67*M67,2)</f>
        <v>45672</v>
      </c>
      <c r="O67" s="30" t="s">
        <v>686</v>
      </c>
      <c r="P67" s="30">
        <f>ROUND(O67*(1+$Q$11),2)</f>
        <v>292.51</v>
      </c>
      <c r="Q67" s="30">
        <f>TRUNC($K67*P67,2)</f>
        <v>43876.5</v>
      </c>
      <c r="R67" s="25" t="s">
        <v>612</v>
      </c>
      <c r="S67" s="30"/>
    </row>
    <row r="68" spans="1:20" s="32" customFormat="1" x14ac:dyDescent="0.3">
      <c r="A68" s="322"/>
      <c r="B68" s="322"/>
      <c r="C68" s="323"/>
      <c r="D68" s="213" t="s">
        <v>687</v>
      </c>
      <c r="E68" s="245"/>
      <c r="F68" s="30"/>
      <c r="G68" s="30">
        <v>50</v>
      </c>
      <c r="H68" s="30"/>
      <c r="I68" s="30"/>
      <c r="J68" s="34">
        <f t="shared" ref="J68:J70" si="2">ROUND(PRODUCT(F68:I68),2)</f>
        <v>50</v>
      </c>
      <c r="K68" s="30"/>
      <c r="L68" s="30"/>
      <c r="M68" s="30"/>
      <c r="N68" s="30"/>
      <c r="O68" s="30"/>
      <c r="P68" s="30"/>
      <c r="Q68" s="30"/>
      <c r="R68" s="247"/>
      <c r="S68" s="30"/>
    </row>
    <row r="69" spans="1:20" s="32" customFormat="1" x14ac:dyDescent="0.3">
      <c r="A69" s="322"/>
      <c r="B69" s="322"/>
      <c r="C69" s="323"/>
      <c r="D69" s="213" t="s">
        <v>688</v>
      </c>
      <c r="E69" s="245"/>
      <c r="F69" s="30"/>
      <c r="G69" s="30">
        <v>60</v>
      </c>
      <c r="H69" s="30"/>
      <c r="I69" s="30"/>
      <c r="J69" s="34">
        <f t="shared" si="2"/>
        <v>60</v>
      </c>
      <c r="K69" s="30"/>
      <c r="L69" s="30"/>
      <c r="M69" s="30"/>
      <c r="N69" s="30"/>
      <c r="O69" s="30"/>
      <c r="P69" s="30"/>
      <c r="Q69" s="30"/>
      <c r="R69" s="247"/>
      <c r="S69" s="30"/>
    </row>
    <row r="70" spans="1:20" s="32" customFormat="1" x14ac:dyDescent="0.3">
      <c r="A70" s="322"/>
      <c r="B70" s="322"/>
      <c r="C70" s="323"/>
      <c r="D70" s="213" t="s">
        <v>689</v>
      </c>
      <c r="E70" s="245"/>
      <c r="F70" s="30"/>
      <c r="G70" s="30">
        <v>40</v>
      </c>
      <c r="H70" s="30"/>
      <c r="I70" s="30"/>
      <c r="J70" s="34">
        <f t="shared" si="2"/>
        <v>40</v>
      </c>
      <c r="K70" s="30"/>
      <c r="L70" s="30"/>
      <c r="M70" s="30"/>
      <c r="N70" s="30"/>
      <c r="O70" s="30"/>
      <c r="P70" s="30"/>
      <c r="Q70" s="30"/>
      <c r="R70" s="247"/>
      <c r="S70" s="30"/>
    </row>
    <row r="71" spans="1:20" s="25" customFormat="1" x14ac:dyDescent="0.3">
      <c r="A71" s="321"/>
      <c r="B71" s="321"/>
      <c r="C71" s="321"/>
      <c r="D71" s="36" t="str">
        <f>"Total item "&amp;A67</f>
        <v>Total item 3.1</v>
      </c>
      <c r="E71" s="244"/>
      <c r="F71" s="31"/>
      <c r="G71" s="34"/>
      <c r="H71" s="34"/>
      <c r="I71" s="34"/>
      <c r="J71" s="28">
        <f>SUM(J68:J70)</f>
        <v>150</v>
      </c>
      <c r="K71" s="34"/>
      <c r="L71" s="34"/>
      <c r="M71" s="34"/>
      <c r="N71" s="34"/>
      <c r="O71" s="34"/>
      <c r="P71" s="34"/>
      <c r="Q71" s="34"/>
      <c r="S71" s="34"/>
    </row>
    <row r="72" spans="1:20" s="220" customFormat="1" x14ac:dyDescent="0.3">
      <c r="A72" s="329"/>
      <c r="B72" s="327"/>
      <c r="C72" s="327"/>
      <c r="D72" s="216"/>
      <c r="E72" s="250"/>
      <c r="F72" s="218"/>
      <c r="G72" s="218"/>
      <c r="H72" s="218"/>
      <c r="I72" s="218"/>
      <c r="J72" s="219"/>
      <c r="K72" s="218"/>
      <c r="L72" s="218"/>
      <c r="M72" s="218"/>
      <c r="N72" s="218"/>
      <c r="O72" s="218"/>
      <c r="P72" s="218"/>
      <c r="Q72" s="218"/>
      <c r="S72" s="218"/>
      <c r="T72" s="221"/>
    </row>
    <row r="73" spans="1:20" s="32" customFormat="1" ht="41.4" x14ac:dyDescent="0.3">
      <c r="A73" s="322" t="s">
        <v>157</v>
      </c>
      <c r="B73" s="322" t="s">
        <v>35</v>
      </c>
      <c r="C73" s="323" t="s">
        <v>696</v>
      </c>
      <c r="D73" s="201" t="s">
        <v>695</v>
      </c>
      <c r="E73" s="245" t="s">
        <v>86</v>
      </c>
      <c r="F73" s="31"/>
      <c r="G73" s="31"/>
      <c r="H73" s="31"/>
      <c r="I73" s="31"/>
      <c r="J73" s="31"/>
      <c r="K73" s="30">
        <f>J77</f>
        <v>12</v>
      </c>
      <c r="L73" s="30">
        <v>2594.8000000000002</v>
      </c>
      <c r="M73" s="30">
        <f>ROUND(L73*(1+$N$11),2)</f>
        <v>3283.2</v>
      </c>
      <c r="N73" s="30">
        <f>TRUNC($K73*M73,2)</f>
        <v>39398.400000000001</v>
      </c>
      <c r="O73" s="30" t="s">
        <v>697</v>
      </c>
      <c r="P73" s="30">
        <f>ROUND(O73*(1+$Q$11),2)</f>
        <v>3235.74</v>
      </c>
      <c r="Q73" s="30">
        <f>TRUNC($K73*P73,2)</f>
        <v>38828.879999999997</v>
      </c>
      <c r="R73" s="25" t="s">
        <v>612</v>
      </c>
      <c r="S73" s="30"/>
    </row>
    <row r="74" spans="1:20" s="32" customFormat="1" x14ac:dyDescent="0.3">
      <c r="A74" s="322"/>
      <c r="B74" s="322"/>
      <c r="C74" s="323"/>
      <c r="D74" s="213" t="s">
        <v>687</v>
      </c>
      <c r="E74" s="248"/>
      <c r="F74" s="30">
        <v>4</v>
      </c>
      <c r="G74" s="30"/>
      <c r="H74" s="31"/>
      <c r="I74" s="31"/>
      <c r="J74" s="34">
        <f t="shared" ref="J74:J76" si="3">ROUND(PRODUCT(F74:I74),2)</f>
        <v>4</v>
      </c>
      <c r="K74" s="30"/>
      <c r="L74" s="30"/>
      <c r="M74" s="30"/>
      <c r="N74" s="30"/>
      <c r="O74" s="30"/>
      <c r="P74" s="30"/>
      <c r="Q74" s="30"/>
      <c r="S74" s="30"/>
    </row>
    <row r="75" spans="1:20" s="32" customFormat="1" x14ac:dyDescent="0.3">
      <c r="A75" s="322"/>
      <c r="B75" s="322"/>
      <c r="C75" s="323"/>
      <c r="D75" s="213" t="s">
        <v>688</v>
      </c>
      <c r="E75" s="248"/>
      <c r="F75" s="30">
        <v>5</v>
      </c>
      <c r="G75" s="447" t="s">
        <v>702</v>
      </c>
      <c r="H75" s="31"/>
      <c r="I75" s="31"/>
      <c r="J75" s="34">
        <f t="shared" si="3"/>
        <v>5</v>
      </c>
      <c r="K75" s="30"/>
      <c r="L75" s="31"/>
      <c r="M75" s="30"/>
      <c r="N75" s="30"/>
      <c r="O75" s="31"/>
      <c r="P75" s="30"/>
      <c r="Q75" s="30"/>
      <c r="S75" s="30"/>
    </row>
    <row r="76" spans="1:20" s="32" customFormat="1" x14ac:dyDescent="0.3">
      <c r="A76" s="322"/>
      <c r="B76" s="322"/>
      <c r="C76" s="322"/>
      <c r="D76" s="213" t="s">
        <v>689</v>
      </c>
      <c r="E76" s="248"/>
      <c r="F76" s="30">
        <v>3</v>
      </c>
      <c r="G76" s="30"/>
      <c r="H76" s="30"/>
      <c r="I76" s="30"/>
      <c r="J76" s="34">
        <f t="shared" si="3"/>
        <v>3</v>
      </c>
      <c r="K76" s="30"/>
      <c r="L76" s="31"/>
      <c r="M76" s="30"/>
      <c r="N76" s="30"/>
      <c r="O76" s="31"/>
      <c r="P76" s="30"/>
      <c r="Q76" s="30"/>
      <c r="S76" s="30"/>
      <c r="T76" s="25"/>
    </row>
    <row r="77" spans="1:20" s="25" customFormat="1" x14ac:dyDescent="0.3">
      <c r="A77" s="321"/>
      <c r="B77" s="321"/>
      <c r="C77" s="321"/>
      <c r="D77" s="36" t="str">
        <f>"Total item "&amp;A73</f>
        <v>Total item 3.2</v>
      </c>
      <c r="E77" s="244"/>
      <c r="F77" s="34"/>
      <c r="G77" s="34"/>
      <c r="H77" s="34"/>
      <c r="I77" s="34"/>
      <c r="J77" s="28">
        <f>SUM(J74:J76)</f>
        <v>12</v>
      </c>
      <c r="K77" s="34"/>
      <c r="L77" s="34"/>
      <c r="M77" s="34"/>
      <c r="N77" s="34"/>
      <c r="O77" s="34"/>
      <c r="P77" s="34"/>
      <c r="Q77" s="34"/>
      <c r="S77" s="34"/>
    </row>
    <row r="78" spans="1:20" s="220" customFormat="1" x14ac:dyDescent="0.3">
      <c r="A78" s="329"/>
      <c r="B78" s="327"/>
      <c r="C78" s="327"/>
      <c r="D78" s="216"/>
      <c r="E78" s="250"/>
      <c r="F78" s="218"/>
      <c r="G78" s="218"/>
      <c r="H78" s="218"/>
      <c r="I78" s="218"/>
      <c r="J78" s="219"/>
      <c r="K78" s="218"/>
      <c r="L78" s="218"/>
      <c r="M78" s="218"/>
      <c r="N78" s="218"/>
      <c r="O78" s="218"/>
      <c r="P78" s="218"/>
      <c r="Q78" s="218"/>
      <c r="S78" s="218"/>
      <c r="T78" s="221"/>
    </row>
    <row r="79" spans="1:20" s="32" customFormat="1" ht="55.2" x14ac:dyDescent="0.3">
      <c r="A79" s="322" t="s">
        <v>186</v>
      </c>
      <c r="B79" s="322" t="s">
        <v>35</v>
      </c>
      <c r="C79" s="323" t="s">
        <v>699</v>
      </c>
      <c r="D79" s="201" t="s">
        <v>698</v>
      </c>
      <c r="E79" s="245" t="s">
        <v>86</v>
      </c>
      <c r="F79" s="31"/>
      <c r="G79" s="31"/>
      <c r="H79" s="31"/>
      <c r="I79" s="31"/>
      <c r="J79" s="31"/>
      <c r="K79" s="30">
        <f>J82</f>
        <v>2</v>
      </c>
      <c r="L79" s="30" t="s">
        <v>700</v>
      </c>
      <c r="M79" s="30">
        <f>ROUND(L79*(1+$N$11),2)</f>
        <v>5691.69</v>
      </c>
      <c r="N79" s="30">
        <f>TRUNC($K79*M79,2)</f>
        <v>11383.38</v>
      </c>
      <c r="O79" s="30" t="s">
        <v>701</v>
      </c>
      <c r="P79" s="30">
        <f>ROUND(O79*(1+$Q$11),2)</f>
        <v>5606.29</v>
      </c>
      <c r="Q79" s="30">
        <f>TRUNC($K79*P79,2)</f>
        <v>11212.58</v>
      </c>
      <c r="R79" s="25" t="s">
        <v>612</v>
      </c>
      <c r="S79" s="30"/>
    </row>
    <row r="80" spans="1:20" s="32" customFormat="1" x14ac:dyDescent="0.3">
      <c r="A80" s="322"/>
      <c r="B80" s="322"/>
      <c r="C80" s="323"/>
      <c r="D80" s="213" t="s">
        <v>688</v>
      </c>
      <c r="E80" s="248"/>
      <c r="F80" s="30">
        <v>1</v>
      </c>
      <c r="G80" s="31"/>
      <c r="H80" s="31"/>
      <c r="I80" s="31"/>
      <c r="J80" s="34">
        <f t="shared" ref="J80:J81" si="4">ROUND(PRODUCT(F80:I80),2)</f>
        <v>1</v>
      </c>
      <c r="K80" s="30"/>
      <c r="L80" s="31"/>
      <c r="M80" s="30"/>
      <c r="N80" s="30"/>
      <c r="O80" s="31"/>
      <c r="P80" s="30"/>
      <c r="Q80" s="30"/>
      <c r="S80" s="30"/>
    </row>
    <row r="81" spans="1:21" s="32" customFormat="1" x14ac:dyDescent="0.3">
      <c r="A81" s="322"/>
      <c r="B81" s="322"/>
      <c r="C81" s="322"/>
      <c r="D81" s="213" t="s">
        <v>689</v>
      </c>
      <c r="E81" s="248"/>
      <c r="F81" s="30">
        <v>1</v>
      </c>
      <c r="G81" s="30"/>
      <c r="H81" s="30"/>
      <c r="I81" s="30"/>
      <c r="J81" s="34">
        <f t="shared" si="4"/>
        <v>1</v>
      </c>
      <c r="K81" s="30"/>
      <c r="L81" s="31"/>
      <c r="M81" s="30"/>
      <c r="N81" s="30"/>
      <c r="O81" s="31"/>
      <c r="P81" s="30"/>
      <c r="Q81" s="30"/>
      <c r="S81" s="30"/>
      <c r="T81" s="25"/>
    </row>
    <row r="82" spans="1:21" s="25" customFormat="1" x14ac:dyDescent="0.3">
      <c r="A82" s="321"/>
      <c r="B82" s="321"/>
      <c r="C82" s="321"/>
      <c r="D82" s="36" t="str">
        <f>"Total item "&amp;A79</f>
        <v>Total item 3.3</v>
      </c>
      <c r="E82" s="244"/>
      <c r="F82" s="34"/>
      <c r="G82" s="34"/>
      <c r="H82" s="34"/>
      <c r="I82" s="34"/>
      <c r="J82" s="28">
        <f>SUM(J80:J81)</f>
        <v>2</v>
      </c>
      <c r="K82" s="34"/>
      <c r="L82" s="34"/>
      <c r="M82" s="34"/>
      <c r="N82" s="34"/>
      <c r="O82" s="34"/>
      <c r="P82" s="34"/>
      <c r="Q82" s="34"/>
      <c r="S82" s="34"/>
    </row>
    <row r="83" spans="1:21" s="220" customFormat="1" x14ac:dyDescent="0.3">
      <c r="A83" s="329"/>
      <c r="B83" s="327"/>
      <c r="C83" s="327"/>
      <c r="D83" s="216"/>
      <c r="E83" s="250"/>
      <c r="F83" s="218"/>
      <c r="G83" s="218"/>
      <c r="H83" s="218"/>
      <c r="I83" s="218"/>
      <c r="J83" s="219"/>
      <c r="K83" s="218"/>
      <c r="L83" s="218"/>
      <c r="M83" s="218"/>
      <c r="N83" s="218"/>
      <c r="O83" s="218"/>
      <c r="P83" s="218"/>
      <c r="Q83" s="218"/>
      <c r="S83" s="218"/>
      <c r="T83" s="221"/>
    </row>
    <row r="84" spans="1:21" s="32" customFormat="1" x14ac:dyDescent="0.3">
      <c r="A84" s="322" t="s">
        <v>260</v>
      </c>
      <c r="B84" s="322" t="s">
        <v>484</v>
      </c>
      <c r="C84" s="323" t="s">
        <v>736</v>
      </c>
      <c r="D84" s="201" t="s">
        <v>735</v>
      </c>
      <c r="E84" s="245" t="s">
        <v>88</v>
      </c>
      <c r="F84" s="31"/>
      <c r="G84" s="31"/>
      <c r="H84" s="31"/>
      <c r="I84" s="347"/>
      <c r="J84" s="31"/>
      <c r="K84" s="30">
        <f>J86</f>
        <v>45</v>
      </c>
      <c r="L84" s="30">
        <v>249.27</v>
      </c>
      <c r="M84" s="30">
        <f>ROUND(L84*(1+$N$11),2)</f>
        <v>315.39999999999998</v>
      </c>
      <c r="N84" s="30">
        <f>TRUNC($K84*M84,2)</f>
        <v>14193</v>
      </c>
      <c r="O84" s="30">
        <v>256.32</v>
      </c>
      <c r="P84" s="30">
        <f>ROUND(O84*(1+$Q$11),2)</f>
        <v>308.87</v>
      </c>
      <c r="Q84" s="30">
        <f>TRUNC($K84*P84,2)</f>
        <v>13899.15</v>
      </c>
      <c r="R84" s="25" t="s">
        <v>612</v>
      </c>
      <c r="S84" s="30"/>
    </row>
    <row r="85" spans="1:21" s="32" customFormat="1" x14ac:dyDescent="0.3">
      <c r="A85" s="322"/>
      <c r="B85" s="322"/>
      <c r="C85" s="323"/>
      <c r="D85" s="33" t="s">
        <v>737</v>
      </c>
      <c r="E85" s="248"/>
      <c r="F85" s="208"/>
      <c r="G85" s="30">
        <v>300</v>
      </c>
      <c r="H85" s="30">
        <v>0.15</v>
      </c>
      <c r="I85" s="30"/>
      <c r="J85" s="34">
        <f t="shared" ref="J85" si="5">ROUND(PRODUCT(F85:I85),2)</f>
        <v>45</v>
      </c>
      <c r="K85" s="30"/>
      <c r="L85" s="31"/>
      <c r="M85" s="30"/>
      <c r="N85" s="30"/>
      <c r="O85" s="31"/>
      <c r="P85" s="30"/>
      <c r="Q85" s="30"/>
      <c r="S85" s="30"/>
    </row>
    <row r="86" spans="1:21" s="25" customFormat="1" x14ac:dyDescent="0.3">
      <c r="A86" s="321"/>
      <c r="B86" s="321"/>
      <c r="C86" s="321"/>
      <c r="D86" s="36" t="str">
        <f>"Total item "&amp;A84</f>
        <v>Total item 3.4</v>
      </c>
      <c r="E86" s="244"/>
      <c r="F86" s="34"/>
      <c r="G86" s="34"/>
      <c r="H86" s="34"/>
      <c r="I86" s="34"/>
      <c r="J86" s="28">
        <f>SUM(J85:J85)</f>
        <v>45</v>
      </c>
      <c r="K86" s="34"/>
      <c r="L86" s="34"/>
      <c r="M86" s="34"/>
      <c r="N86" s="34"/>
      <c r="O86" s="34"/>
      <c r="P86" s="34"/>
      <c r="Q86" s="34"/>
      <c r="S86" s="34"/>
    </row>
    <row r="87" spans="1:21" s="220" customFormat="1" x14ac:dyDescent="0.2">
      <c r="A87" s="329"/>
      <c r="B87" s="327"/>
      <c r="C87" s="327"/>
      <c r="D87" s="216"/>
      <c r="E87" s="217"/>
      <c r="F87" s="218"/>
      <c r="G87" s="218"/>
      <c r="H87" s="218"/>
      <c r="I87" s="218"/>
      <c r="J87" s="219"/>
      <c r="K87" s="218"/>
      <c r="L87" s="218"/>
      <c r="M87" s="218"/>
      <c r="N87" s="218"/>
      <c r="O87" s="218"/>
      <c r="P87" s="218"/>
      <c r="Q87" s="218"/>
      <c r="S87" s="218"/>
      <c r="T87" s="221"/>
      <c r="U87" s="440" t="str">
        <f t="shared" ref="U87:U94" si="6">IF(Q87&gt;$U$13*$Q$1030,"Arcevo"," ")</f>
        <v xml:space="preserve"> </v>
      </c>
    </row>
    <row r="88" spans="1:21" s="32" customFormat="1" ht="27.6" x14ac:dyDescent="0.2">
      <c r="A88" s="322" t="s">
        <v>459</v>
      </c>
      <c r="B88" s="322" t="s">
        <v>478</v>
      </c>
      <c r="C88" s="323" t="s">
        <v>739</v>
      </c>
      <c r="D88" s="201" t="s">
        <v>738</v>
      </c>
      <c r="E88" s="29" t="s">
        <v>87</v>
      </c>
      <c r="F88" s="31"/>
      <c r="G88" s="31"/>
      <c r="H88" s="31"/>
      <c r="I88" s="31"/>
      <c r="J88" s="31"/>
      <c r="K88" s="30">
        <f>J90</f>
        <v>22.2</v>
      </c>
      <c r="L88" s="446">
        <v>201.89</v>
      </c>
      <c r="M88" s="30">
        <f>ROUND(L88*(1+$N$11),2)</f>
        <v>255.45</v>
      </c>
      <c r="N88" s="30">
        <f>TRUNC($K88*M88,2)</f>
        <v>5670.99</v>
      </c>
      <c r="O88" s="446">
        <v>201.89</v>
      </c>
      <c r="P88" s="30">
        <f>ROUND(O88*(1+$Q$11),2)</f>
        <v>243.28</v>
      </c>
      <c r="Q88" s="30">
        <f>TRUNC($K88*P88,2)</f>
        <v>5400.81</v>
      </c>
      <c r="R88" s="25" t="s">
        <v>612</v>
      </c>
      <c r="S88" s="30"/>
      <c r="U88" s="441" t="str">
        <f t="shared" si="6"/>
        <v>Arcevo</v>
      </c>
    </row>
    <row r="89" spans="1:21" s="32" customFormat="1" x14ac:dyDescent="0.2">
      <c r="A89" s="322"/>
      <c r="B89" s="322"/>
      <c r="C89" s="323"/>
      <c r="D89" s="33" t="s">
        <v>740</v>
      </c>
      <c r="E89" s="348"/>
      <c r="F89" s="208"/>
      <c r="G89" s="30">
        <f>19+3.2</f>
        <v>22.2</v>
      </c>
      <c r="H89" s="30"/>
      <c r="I89" s="30"/>
      <c r="J89" s="34">
        <f t="shared" ref="J89" si="7">ROUND(PRODUCT(F89:I89),2)</f>
        <v>22.2</v>
      </c>
      <c r="K89" s="30"/>
      <c r="L89" s="31"/>
      <c r="M89" s="30"/>
      <c r="N89" s="30"/>
      <c r="O89" s="31"/>
      <c r="P89" s="30"/>
      <c r="Q89" s="30"/>
      <c r="S89" s="30"/>
      <c r="U89" s="441" t="str">
        <f t="shared" si="6"/>
        <v xml:space="preserve"> </v>
      </c>
    </row>
    <row r="90" spans="1:21" s="25" customFormat="1" x14ac:dyDescent="0.2">
      <c r="A90" s="321"/>
      <c r="B90" s="321"/>
      <c r="C90" s="321"/>
      <c r="D90" s="36" t="str">
        <f>"Total item "&amp;A88</f>
        <v>Total item 3.5</v>
      </c>
      <c r="E90" s="353"/>
      <c r="F90" s="34"/>
      <c r="G90" s="34"/>
      <c r="H90" s="34"/>
      <c r="I90" s="34"/>
      <c r="J90" s="28">
        <f>SUM(J89:J89)</f>
        <v>22.2</v>
      </c>
      <c r="K90" s="34"/>
      <c r="L90" s="34"/>
      <c r="M90" s="34"/>
      <c r="N90" s="34"/>
      <c r="O90" s="34"/>
      <c r="P90" s="34"/>
      <c r="Q90" s="34"/>
      <c r="S90" s="34"/>
      <c r="U90" s="441" t="str">
        <f t="shared" si="6"/>
        <v xml:space="preserve"> </v>
      </c>
    </row>
    <row r="91" spans="1:21" s="220" customFormat="1" x14ac:dyDescent="0.2">
      <c r="A91" s="329"/>
      <c r="B91" s="327"/>
      <c r="C91" s="327"/>
      <c r="D91" s="216"/>
      <c r="E91" s="217"/>
      <c r="F91" s="218"/>
      <c r="G91" s="218"/>
      <c r="H91" s="218"/>
      <c r="I91" s="218"/>
      <c r="J91" s="219"/>
      <c r="K91" s="218"/>
      <c r="L91" s="218"/>
      <c r="M91" s="218"/>
      <c r="N91" s="218"/>
      <c r="O91" s="218"/>
      <c r="P91" s="218"/>
      <c r="Q91" s="218"/>
      <c r="S91" s="218"/>
      <c r="T91" s="221"/>
      <c r="U91" s="440" t="str">
        <f t="shared" si="6"/>
        <v xml:space="preserve"> </v>
      </c>
    </row>
    <row r="92" spans="1:21" s="32" customFormat="1" ht="41.4" x14ac:dyDescent="0.2">
      <c r="A92" s="322" t="s">
        <v>462</v>
      </c>
      <c r="B92" s="322" t="s">
        <v>35</v>
      </c>
      <c r="C92" s="323" t="s">
        <v>742</v>
      </c>
      <c r="D92" s="201" t="s">
        <v>741</v>
      </c>
      <c r="E92" s="29" t="s">
        <v>87</v>
      </c>
      <c r="F92" s="31"/>
      <c r="G92" s="31"/>
      <c r="H92" s="31"/>
      <c r="I92" s="31"/>
      <c r="J92" s="31"/>
      <c r="K92" s="30">
        <f>J94</f>
        <v>50</v>
      </c>
      <c r="L92" s="446">
        <v>66.5</v>
      </c>
      <c r="M92" s="30">
        <f>ROUND(L92*(1+$N$11),2)</f>
        <v>84.14</v>
      </c>
      <c r="N92" s="30">
        <f>TRUNC($K92*M92,2)</f>
        <v>4207</v>
      </c>
      <c r="O92" s="446" t="s">
        <v>743</v>
      </c>
      <c r="P92" s="30">
        <f>ROUND(O92*(1+$Q$11),2)</f>
        <v>81.37</v>
      </c>
      <c r="Q92" s="30">
        <f>TRUNC($K92*P92,2)</f>
        <v>4068.5</v>
      </c>
      <c r="R92" s="25" t="s">
        <v>612</v>
      </c>
      <c r="S92" s="30"/>
      <c r="U92" s="441" t="str">
        <f t="shared" si="6"/>
        <v>Arcevo</v>
      </c>
    </row>
    <row r="93" spans="1:21" s="32" customFormat="1" x14ac:dyDescent="0.2">
      <c r="A93" s="322"/>
      <c r="B93" s="322"/>
      <c r="C93" s="323"/>
      <c r="D93" s="33" t="s">
        <v>744</v>
      </c>
      <c r="E93" s="348"/>
      <c r="F93" s="208"/>
      <c r="G93" s="30">
        <v>50</v>
      </c>
      <c r="H93" s="30"/>
      <c r="I93" s="30"/>
      <c r="J93" s="34">
        <f t="shared" ref="J93" si="8">ROUND(PRODUCT(F93:I93),2)</f>
        <v>50</v>
      </c>
      <c r="K93" s="30"/>
      <c r="L93" s="31"/>
      <c r="M93" s="30"/>
      <c r="N93" s="30"/>
      <c r="O93" s="31"/>
      <c r="P93" s="30"/>
      <c r="Q93" s="30"/>
      <c r="S93" s="30"/>
      <c r="U93" s="441" t="str">
        <f t="shared" si="6"/>
        <v xml:space="preserve"> </v>
      </c>
    </row>
    <row r="94" spans="1:21" s="25" customFormat="1" x14ac:dyDescent="0.2">
      <c r="A94" s="321"/>
      <c r="B94" s="321"/>
      <c r="C94" s="321"/>
      <c r="D94" s="36" t="str">
        <f>"Total item "&amp;A92</f>
        <v>Total item 3.6</v>
      </c>
      <c r="E94" s="353"/>
      <c r="F94" s="34"/>
      <c r="G94" s="34"/>
      <c r="H94" s="34"/>
      <c r="I94" s="34"/>
      <c r="J94" s="28">
        <f>SUM(J93:J93)</f>
        <v>50</v>
      </c>
      <c r="K94" s="34"/>
      <c r="L94" s="34"/>
      <c r="M94" s="34"/>
      <c r="N94" s="34"/>
      <c r="O94" s="34"/>
      <c r="P94" s="34"/>
      <c r="Q94" s="34"/>
      <c r="S94" s="34"/>
      <c r="U94" s="441" t="str">
        <f t="shared" si="6"/>
        <v xml:space="preserve"> </v>
      </c>
    </row>
    <row r="95" spans="1:21" s="25" customFormat="1" x14ac:dyDescent="0.3">
      <c r="A95" s="320"/>
      <c r="B95" s="321"/>
      <c r="C95" s="321"/>
      <c r="D95" s="36"/>
      <c r="E95" s="244"/>
      <c r="F95" s="34"/>
      <c r="G95" s="34"/>
      <c r="H95" s="34"/>
      <c r="I95" s="34"/>
      <c r="J95" s="37"/>
      <c r="K95" s="34"/>
      <c r="L95" s="34"/>
      <c r="M95" s="34"/>
      <c r="N95" s="34"/>
      <c r="O95" s="34"/>
      <c r="P95" s="34"/>
      <c r="Q95" s="34"/>
      <c r="S95" s="34"/>
      <c r="T95" s="38"/>
    </row>
    <row r="96" spans="1:21" s="275" customFormat="1" x14ac:dyDescent="0.3">
      <c r="A96" s="328" t="s">
        <v>11</v>
      </c>
      <c r="B96" s="326"/>
      <c r="C96" s="326"/>
      <c r="D96" s="199" t="s">
        <v>261</v>
      </c>
      <c r="E96" s="243"/>
      <c r="F96" s="28"/>
      <c r="G96" s="28"/>
      <c r="H96" s="28"/>
      <c r="I96" s="28"/>
      <c r="J96" s="28"/>
      <c r="K96" s="28"/>
      <c r="L96" s="28"/>
      <c r="M96" s="28"/>
      <c r="N96" s="28">
        <f>SUM(N97:N108)</f>
        <v>297848.03000000003</v>
      </c>
      <c r="O96" s="28"/>
      <c r="P96" s="28"/>
      <c r="Q96" s="28">
        <f>SUM(Q97:Q108)</f>
        <v>288216.69</v>
      </c>
      <c r="R96" s="171"/>
      <c r="S96" s="28"/>
      <c r="T96" s="202"/>
      <c r="U96" s="202"/>
    </row>
    <row r="97" spans="1:21" s="275" customFormat="1" x14ac:dyDescent="0.3">
      <c r="A97" s="328"/>
      <c r="B97" s="326"/>
      <c r="C97" s="326"/>
      <c r="D97" s="199" t="s">
        <v>461</v>
      </c>
      <c r="E97" s="243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171"/>
      <c r="S97" s="28"/>
      <c r="T97" s="202"/>
      <c r="U97" s="202"/>
    </row>
    <row r="98" spans="1:21" s="276" customFormat="1" x14ac:dyDescent="0.3">
      <c r="A98" s="320"/>
      <c r="B98" s="321"/>
      <c r="C98" s="321"/>
      <c r="D98" s="36"/>
      <c r="E98" s="244"/>
      <c r="F98" s="34"/>
      <c r="G98" s="34"/>
      <c r="H98" s="34"/>
      <c r="I98" s="34"/>
      <c r="J98" s="37"/>
      <c r="K98" s="34"/>
      <c r="L98" s="34"/>
      <c r="M98" s="34"/>
      <c r="N98" s="34"/>
      <c r="O98" s="34"/>
      <c r="P98" s="34"/>
      <c r="Q98" s="34"/>
      <c r="R98" s="25"/>
      <c r="S98" s="34"/>
      <c r="T98" s="38"/>
      <c r="U98" s="38"/>
    </row>
    <row r="99" spans="1:21" s="252" customFormat="1" ht="55.2" x14ac:dyDescent="0.3">
      <c r="A99" s="322" t="s">
        <v>136</v>
      </c>
      <c r="B99" s="322" t="s">
        <v>484</v>
      </c>
      <c r="C99" s="445" t="s">
        <v>676</v>
      </c>
      <c r="D99" s="201" t="s">
        <v>675</v>
      </c>
      <c r="E99" s="245" t="s">
        <v>124</v>
      </c>
      <c r="F99" s="442"/>
      <c r="G99" s="443" t="s">
        <v>674</v>
      </c>
      <c r="H99" s="443" t="s">
        <v>183</v>
      </c>
      <c r="I99" s="444"/>
      <c r="J99" s="34"/>
      <c r="K99" s="30">
        <f>J101</f>
        <v>5593.77</v>
      </c>
      <c r="L99" s="30">
        <v>17.68</v>
      </c>
      <c r="M99" s="30">
        <f>ROUND(L99*(1+$N$11),2)</f>
        <v>22.37</v>
      </c>
      <c r="N99" s="30">
        <f>TRUNC($K99*M99,2)</f>
        <v>125132.63</v>
      </c>
      <c r="O99" s="446">
        <v>18.36</v>
      </c>
      <c r="P99" s="30">
        <f>ROUND(O99*(1+$Q$11),2)</f>
        <v>22.12</v>
      </c>
      <c r="Q99" s="30">
        <f>TRUNC($K99*P99,2)</f>
        <v>123734.19</v>
      </c>
      <c r="R99" s="25" t="s">
        <v>612</v>
      </c>
      <c r="S99" s="30"/>
      <c r="T99" s="32"/>
      <c r="U99" s="32"/>
    </row>
    <row r="100" spans="1:21" s="252" customFormat="1" x14ac:dyDescent="0.3">
      <c r="A100" s="322"/>
      <c r="B100" s="322"/>
      <c r="C100" s="322"/>
      <c r="D100" s="33" t="s">
        <v>673</v>
      </c>
      <c r="E100" s="248"/>
      <c r="F100" s="30">
        <v>13</v>
      </c>
      <c r="G100" s="30">
        <v>6.83</v>
      </c>
      <c r="H100" s="30">
        <v>63</v>
      </c>
      <c r="I100" s="30"/>
      <c r="J100" s="34">
        <f t="shared" ref="J100" si="9">ROUND(PRODUCT(F100:I100),2)</f>
        <v>5593.77</v>
      </c>
      <c r="K100" s="30"/>
      <c r="L100" s="31"/>
      <c r="M100" s="30"/>
      <c r="N100" s="30"/>
      <c r="O100" s="31"/>
      <c r="P100" s="30"/>
      <c r="Q100" s="30"/>
      <c r="R100" s="32"/>
      <c r="S100" s="30"/>
      <c r="T100" s="25"/>
      <c r="U100" s="32"/>
    </row>
    <row r="101" spans="1:21" s="276" customFormat="1" x14ac:dyDescent="0.3">
      <c r="A101" s="321"/>
      <c r="B101" s="321"/>
      <c r="C101" s="321"/>
      <c r="D101" s="36" t="str">
        <f>"Total item "&amp;A99</f>
        <v>Total item 4.1</v>
      </c>
      <c r="E101" s="244"/>
      <c r="F101" s="34"/>
      <c r="G101" s="34"/>
      <c r="H101" s="34"/>
      <c r="I101" s="34"/>
      <c r="J101" s="28">
        <f>SUM(J100:J100)</f>
        <v>5593.77</v>
      </c>
      <c r="K101" s="34"/>
      <c r="L101" s="30"/>
      <c r="M101" s="34"/>
      <c r="N101" s="34"/>
      <c r="O101" s="30"/>
      <c r="P101" s="34"/>
      <c r="Q101" s="34"/>
      <c r="R101" s="25"/>
      <c r="S101" s="34"/>
      <c r="T101" s="25"/>
      <c r="U101" s="25"/>
    </row>
    <row r="102" spans="1:21" s="276" customFormat="1" x14ac:dyDescent="0.3">
      <c r="A102" s="320"/>
      <c r="B102" s="321"/>
      <c r="C102" s="321"/>
      <c r="D102" s="36"/>
      <c r="E102" s="244"/>
      <c r="F102" s="34"/>
      <c r="G102" s="34"/>
      <c r="H102" s="34"/>
      <c r="I102" s="34"/>
      <c r="J102" s="37"/>
      <c r="K102" s="34"/>
      <c r="L102" s="34"/>
      <c r="M102" s="34"/>
      <c r="N102" s="34"/>
      <c r="O102" s="34"/>
      <c r="P102" s="34"/>
      <c r="Q102" s="34"/>
      <c r="R102" s="25"/>
      <c r="S102" s="34"/>
      <c r="T102" s="38"/>
      <c r="U102" s="38"/>
    </row>
    <row r="103" spans="1:21" s="275" customFormat="1" ht="11.25" customHeight="1" x14ac:dyDescent="0.3">
      <c r="A103" s="328"/>
      <c r="B103" s="326"/>
      <c r="C103" s="326"/>
      <c r="D103" s="199" t="s">
        <v>262</v>
      </c>
      <c r="E103" s="243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171"/>
      <c r="S103" s="28"/>
      <c r="T103" s="202"/>
      <c r="U103" s="202"/>
    </row>
    <row r="104" spans="1:21" s="276" customFormat="1" x14ac:dyDescent="0.3">
      <c r="A104" s="320"/>
      <c r="B104" s="321"/>
      <c r="C104" s="321"/>
      <c r="D104" s="36"/>
      <c r="E104" s="244"/>
      <c r="F104" s="34"/>
      <c r="G104" s="34"/>
      <c r="H104" s="34"/>
      <c r="I104" s="34"/>
      <c r="J104" s="37"/>
      <c r="K104" s="34"/>
      <c r="L104" s="34"/>
      <c r="M104" s="34"/>
      <c r="N104" s="34"/>
      <c r="O104" s="34"/>
      <c r="P104" s="34"/>
      <c r="Q104" s="34"/>
      <c r="R104" s="25"/>
      <c r="S104" s="34"/>
      <c r="T104" s="38"/>
      <c r="U104" s="38"/>
    </row>
    <row r="105" spans="1:21" s="252" customFormat="1" ht="82.8" x14ac:dyDescent="0.3">
      <c r="A105" s="322" t="s">
        <v>158</v>
      </c>
      <c r="B105" s="322" t="s">
        <v>478</v>
      </c>
      <c r="C105" s="323" t="s">
        <v>660</v>
      </c>
      <c r="D105" s="201" t="s">
        <v>658</v>
      </c>
      <c r="E105" s="245" t="s">
        <v>88</v>
      </c>
      <c r="F105" s="31"/>
      <c r="G105" s="31"/>
      <c r="H105" s="31"/>
      <c r="I105" s="31"/>
      <c r="J105" s="34"/>
      <c r="K105" s="30">
        <f>J107</f>
        <v>390</v>
      </c>
      <c r="L105" s="30">
        <v>350</v>
      </c>
      <c r="M105" s="30">
        <f>ROUND(L105*(1+$N$11),2)</f>
        <v>442.86</v>
      </c>
      <c r="N105" s="30">
        <f>TRUNC($K105*M105,2)</f>
        <v>172715.4</v>
      </c>
      <c r="O105" s="30">
        <v>350</v>
      </c>
      <c r="P105" s="30">
        <f>ROUND(O105*(1+$Q$11),2)</f>
        <v>421.75</v>
      </c>
      <c r="Q105" s="30">
        <f>TRUNC($K105*P105,2)</f>
        <v>164482.5</v>
      </c>
      <c r="R105" s="25" t="s">
        <v>612</v>
      </c>
      <c r="S105" s="30"/>
      <c r="T105" s="32"/>
      <c r="U105" s="32"/>
    </row>
    <row r="106" spans="1:21" s="252" customFormat="1" x14ac:dyDescent="0.3">
      <c r="A106" s="322"/>
      <c r="B106" s="322"/>
      <c r="C106" s="323"/>
      <c r="D106" s="33" t="s">
        <v>659</v>
      </c>
      <c r="E106" s="245"/>
      <c r="F106" s="30"/>
      <c r="G106" s="30">
        <v>65</v>
      </c>
      <c r="H106" s="30">
        <v>6</v>
      </c>
      <c r="I106" s="30"/>
      <c r="J106" s="34">
        <f t="shared" ref="J106" si="10">ROUND(PRODUCT(F106:I106),2)</f>
        <v>390</v>
      </c>
      <c r="K106" s="30"/>
      <c r="L106" s="30"/>
      <c r="M106" s="30"/>
      <c r="N106" s="30"/>
      <c r="O106" s="30"/>
      <c r="P106" s="30"/>
      <c r="Q106" s="30"/>
      <c r="R106" s="32"/>
      <c r="S106" s="30"/>
      <c r="T106" s="32"/>
      <c r="U106" s="32"/>
    </row>
    <row r="107" spans="1:21" s="276" customFormat="1" x14ac:dyDescent="0.3">
      <c r="A107" s="321"/>
      <c r="B107" s="321"/>
      <c r="C107" s="321"/>
      <c r="D107" s="36" t="str">
        <f>"Total item "&amp;A105</f>
        <v>Total item 4.2</v>
      </c>
      <c r="E107" s="244"/>
      <c r="F107" s="34"/>
      <c r="G107" s="34"/>
      <c r="H107" s="34"/>
      <c r="I107" s="34"/>
      <c r="J107" s="28">
        <f>SUM(J106:J106)</f>
        <v>390</v>
      </c>
      <c r="K107" s="34"/>
      <c r="L107" s="30"/>
      <c r="M107" s="34"/>
      <c r="N107" s="34"/>
      <c r="O107" s="30"/>
      <c r="P107" s="34"/>
      <c r="Q107" s="34"/>
      <c r="R107" s="25"/>
      <c r="S107" s="34"/>
      <c r="T107" s="25"/>
      <c r="U107" s="25"/>
    </row>
    <row r="108" spans="1:21" s="276" customFormat="1" x14ac:dyDescent="0.3">
      <c r="A108" s="320"/>
      <c r="B108" s="321"/>
      <c r="C108" s="321"/>
      <c r="D108" s="36"/>
      <c r="E108" s="244"/>
      <c r="F108" s="34"/>
      <c r="G108" s="34"/>
      <c r="H108" s="34"/>
      <c r="I108" s="34"/>
      <c r="J108" s="37"/>
      <c r="K108" s="34"/>
      <c r="L108" s="34"/>
      <c r="M108" s="34"/>
      <c r="N108" s="34"/>
      <c r="O108" s="34"/>
      <c r="P108" s="34"/>
      <c r="Q108" s="34"/>
      <c r="R108" s="25"/>
      <c r="S108" s="34"/>
      <c r="T108" s="38"/>
      <c r="U108" s="38"/>
    </row>
    <row r="109" spans="1:21" s="171" customFormat="1" x14ac:dyDescent="0.3">
      <c r="A109" s="328" t="s">
        <v>12</v>
      </c>
      <c r="B109" s="326"/>
      <c r="C109" s="326"/>
      <c r="D109" s="199" t="s">
        <v>227</v>
      </c>
      <c r="E109" s="243"/>
      <c r="F109" s="28"/>
      <c r="G109" s="28"/>
      <c r="H109" s="28"/>
      <c r="I109" s="28"/>
      <c r="J109" s="28"/>
      <c r="K109" s="28"/>
      <c r="L109" s="28"/>
      <c r="M109" s="28"/>
      <c r="N109" s="28">
        <f>SUM(N110:N128)</f>
        <v>440936.73</v>
      </c>
      <c r="O109" s="28"/>
      <c r="P109" s="28"/>
      <c r="Q109" s="28">
        <f>SUM(Q110:Q128)</f>
        <v>435887.5</v>
      </c>
      <c r="S109" s="28"/>
      <c r="T109" s="202"/>
    </row>
    <row r="110" spans="1:21" s="220" customFormat="1" x14ac:dyDescent="0.3">
      <c r="A110" s="329"/>
      <c r="B110" s="327"/>
      <c r="C110" s="327"/>
      <c r="D110" s="216"/>
      <c r="E110" s="250"/>
      <c r="F110" s="218"/>
      <c r="G110" s="218"/>
      <c r="H110" s="218"/>
      <c r="I110" s="218"/>
      <c r="J110" s="219"/>
      <c r="K110" s="218"/>
      <c r="L110" s="233"/>
      <c r="M110" s="218"/>
      <c r="N110" s="218"/>
      <c r="O110" s="218"/>
      <c r="P110" s="218"/>
      <c r="Q110" s="218"/>
      <c r="S110" s="218"/>
      <c r="T110" s="221"/>
      <c r="U110" s="440" t="str">
        <f>IF(Q110&gt;$U$13*$Q$1256,"Arcevo"," ")</f>
        <v xml:space="preserve"> </v>
      </c>
    </row>
    <row r="111" spans="1:21" s="32" customFormat="1" ht="55.2" x14ac:dyDescent="0.3">
      <c r="A111" s="322" t="s">
        <v>137</v>
      </c>
      <c r="B111" s="322" t="s">
        <v>35</v>
      </c>
      <c r="C111" s="323" t="s">
        <v>678</v>
      </c>
      <c r="D111" s="201" t="s">
        <v>677</v>
      </c>
      <c r="E111" s="245" t="s">
        <v>88</v>
      </c>
      <c r="F111" s="31"/>
      <c r="G111" s="31" t="s">
        <v>622</v>
      </c>
      <c r="H111" s="31"/>
      <c r="I111" s="31"/>
      <c r="J111" s="31"/>
      <c r="K111" s="30">
        <f>J113</f>
        <v>26.46</v>
      </c>
      <c r="L111" s="30" t="s">
        <v>679</v>
      </c>
      <c r="M111" s="30">
        <f>ROUND(L111*(1+$N$11),2)</f>
        <v>108.98</v>
      </c>
      <c r="N111" s="30">
        <f>TRUNC($K111*M111,2)</f>
        <v>2883.61</v>
      </c>
      <c r="O111" s="30" t="s">
        <v>680</v>
      </c>
      <c r="P111" s="30">
        <f>ROUND(O111*(1+$Q$11),2)</f>
        <v>109.93</v>
      </c>
      <c r="Q111" s="30">
        <f>TRUNC($K111*P111,2)</f>
        <v>2908.74</v>
      </c>
      <c r="R111" s="25" t="s">
        <v>612</v>
      </c>
      <c r="S111" s="30"/>
      <c r="U111" s="441" t="str">
        <f>IF(Q111&gt;$U$13*$Q$1256,"Arcevo"," ")</f>
        <v>Arcevo</v>
      </c>
    </row>
    <row r="112" spans="1:21" s="32" customFormat="1" x14ac:dyDescent="0.3">
      <c r="A112" s="322"/>
      <c r="B112" s="322"/>
      <c r="C112" s="323"/>
      <c r="D112" s="253" t="s">
        <v>681</v>
      </c>
      <c r="E112" s="245"/>
      <c r="F112" s="30"/>
      <c r="G112" s="30">
        <v>26.46</v>
      </c>
      <c r="H112" s="30"/>
      <c r="I112" s="30"/>
      <c r="J112" s="34">
        <f t="shared" ref="J112" si="11">ROUND(PRODUCT(F112:I112),2)</f>
        <v>26.46</v>
      </c>
      <c r="K112" s="30"/>
      <c r="L112" s="30"/>
      <c r="M112" s="30"/>
      <c r="N112" s="30"/>
      <c r="O112" s="30"/>
      <c r="P112" s="30"/>
      <c r="Q112" s="30"/>
      <c r="S112" s="30"/>
      <c r="U112" s="441"/>
    </row>
    <row r="113" spans="1:21" s="25" customFormat="1" x14ac:dyDescent="0.3">
      <c r="A113" s="321"/>
      <c r="B113" s="321"/>
      <c r="C113" s="321"/>
      <c r="D113" s="36" t="str">
        <f>"Total item "&amp;A111</f>
        <v>Total item 5.1</v>
      </c>
      <c r="E113" s="244"/>
      <c r="F113" s="34"/>
      <c r="G113" s="34"/>
      <c r="H113" s="34"/>
      <c r="I113" s="34"/>
      <c r="J113" s="28">
        <f>SUM(J112:J112)</f>
        <v>26.46</v>
      </c>
      <c r="K113" s="34"/>
      <c r="L113" s="30"/>
      <c r="M113" s="34"/>
      <c r="N113" s="34"/>
      <c r="O113" s="30"/>
      <c r="P113" s="34"/>
      <c r="Q113" s="34"/>
      <c r="S113" s="34"/>
      <c r="U113" s="441" t="str">
        <f>IF(Q113&gt;$U$13*$Q$1256,"Arcevo"," ")</f>
        <v xml:space="preserve"> </v>
      </c>
    </row>
    <row r="114" spans="1:21" s="220" customFormat="1" x14ac:dyDescent="0.3">
      <c r="A114" s="329"/>
      <c r="B114" s="327"/>
      <c r="C114" s="327"/>
      <c r="D114" s="216"/>
      <c r="E114" s="250"/>
      <c r="F114" s="218"/>
      <c r="G114" s="218"/>
      <c r="H114" s="218"/>
      <c r="I114" s="218"/>
      <c r="J114" s="219"/>
      <c r="K114" s="218"/>
      <c r="L114" s="233"/>
      <c r="M114" s="218"/>
      <c r="N114" s="218"/>
      <c r="O114" s="218"/>
      <c r="P114" s="218"/>
      <c r="Q114" s="218"/>
      <c r="S114" s="218"/>
      <c r="T114" s="221"/>
      <c r="U114" s="440" t="str">
        <f>IF(Q114&gt;$U$13*$Q$1256,"Arcevo"," ")</f>
        <v xml:space="preserve"> </v>
      </c>
    </row>
    <row r="115" spans="1:21" s="32" customFormat="1" ht="55.2" x14ac:dyDescent="0.3">
      <c r="A115" s="322" t="s">
        <v>159</v>
      </c>
      <c r="B115" s="322" t="s">
        <v>35</v>
      </c>
      <c r="C115" s="323" t="s">
        <v>187</v>
      </c>
      <c r="D115" s="201" t="s">
        <v>263</v>
      </c>
      <c r="E115" s="245" t="s">
        <v>88</v>
      </c>
      <c r="F115" s="31"/>
      <c r="G115" s="31" t="s">
        <v>150</v>
      </c>
      <c r="H115" s="31"/>
      <c r="I115" s="31"/>
      <c r="J115" s="31"/>
      <c r="K115" s="30">
        <f>J119</f>
        <v>4998.08</v>
      </c>
      <c r="L115" s="30">
        <v>4.2</v>
      </c>
      <c r="M115" s="30">
        <f>ROUND(L115*(1+$N$11),2)</f>
        <v>5.31</v>
      </c>
      <c r="N115" s="30">
        <f>TRUNC($K115*M115,2)</f>
        <v>26539.8</v>
      </c>
      <c r="O115" s="30" t="s">
        <v>748</v>
      </c>
      <c r="P115" s="30">
        <f>ROUND(O115*(1+$Q$11),2)</f>
        <v>5.33</v>
      </c>
      <c r="Q115" s="30">
        <f>TRUNC($K115*P115,2)</f>
        <v>26639.759999999998</v>
      </c>
      <c r="R115" s="25" t="s">
        <v>612</v>
      </c>
      <c r="S115" s="30"/>
    </row>
    <row r="116" spans="1:21" s="32" customFormat="1" x14ac:dyDescent="0.3">
      <c r="A116" s="322"/>
      <c r="B116" s="322"/>
      <c r="C116" s="323"/>
      <c r="D116" s="213" t="s">
        <v>752</v>
      </c>
      <c r="E116" s="245"/>
      <c r="F116" s="30">
        <v>2</v>
      </c>
      <c r="G116" s="30">
        <f>J113</f>
        <v>26.46</v>
      </c>
      <c r="H116" s="31"/>
      <c r="I116" s="31"/>
      <c r="J116" s="34">
        <f t="shared" ref="J116:J118" si="12">ROUND(PRODUCT(F116:I116),2)</f>
        <v>52.92</v>
      </c>
      <c r="K116" s="30"/>
      <c r="L116" s="30"/>
      <c r="M116" s="30"/>
      <c r="N116" s="30"/>
      <c r="O116" s="30"/>
      <c r="P116" s="30"/>
      <c r="Q116" s="30"/>
      <c r="S116" s="30"/>
    </row>
    <row r="117" spans="1:21" s="32" customFormat="1" x14ac:dyDescent="0.3">
      <c r="A117" s="322"/>
      <c r="B117" s="322"/>
      <c r="C117" s="323"/>
      <c r="D117" s="253" t="s">
        <v>665</v>
      </c>
      <c r="E117" s="245"/>
      <c r="F117" s="30">
        <v>2</v>
      </c>
      <c r="G117" s="30">
        <f>G36</f>
        <v>1245.83</v>
      </c>
      <c r="H117" s="30"/>
      <c r="I117" s="30"/>
      <c r="J117" s="34">
        <f t="shared" si="12"/>
        <v>2491.66</v>
      </c>
      <c r="K117" s="30"/>
      <c r="L117" s="30"/>
      <c r="M117" s="30"/>
      <c r="N117" s="30"/>
      <c r="O117" s="30"/>
      <c r="P117" s="30"/>
      <c r="Q117" s="30"/>
      <c r="S117" s="30"/>
      <c r="U117" s="441"/>
    </row>
    <row r="118" spans="1:21" s="32" customFormat="1" x14ac:dyDescent="0.3">
      <c r="A118" s="322"/>
      <c r="B118" s="322"/>
      <c r="C118" s="323"/>
      <c r="D118" s="253"/>
      <c r="E118" s="245"/>
      <c r="F118" s="30">
        <v>2</v>
      </c>
      <c r="G118" s="30">
        <f>G52</f>
        <v>1226.75</v>
      </c>
      <c r="H118" s="30"/>
      <c r="I118" s="30"/>
      <c r="J118" s="34">
        <f t="shared" si="12"/>
        <v>2453.5</v>
      </c>
      <c r="K118" s="30"/>
      <c r="L118" s="30"/>
      <c r="M118" s="30"/>
      <c r="N118" s="30"/>
      <c r="O118" s="30"/>
      <c r="P118" s="30"/>
      <c r="Q118" s="30"/>
      <c r="S118" s="30"/>
      <c r="U118" s="441"/>
    </row>
    <row r="119" spans="1:21" s="25" customFormat="1" x14ac:dyDescent="0.3">
      <c r="A119" s="321"/>
      <c r="B119" s="321"/>
      <c r="C119" s="321"/>
      <c r="D119" s="36" t="str">
        <f>"Total item "&amp;A115</f>
        <v>Total item 5.2</v>
      </c>
      <c r="E119" s="244"/>
      <c r="F119" s="34"/>
      <c r="G119" s="34"/>
      <c r="H119" s="34"/>
      <c r="I119" s="34"/>
      <c r="J119" s="28">
        <f>SUM(J116:J118)</f>
        <v>4998.08</v>
      </c>
      <c r="K119" s="34"/>
      <c r="L119" s="30"/>
      <c r="M119" s="34"/>
      <c r="N119" s="34"/>
      <c r="O119" s="30"/>
      <c r="P119" s="34"/>
      <c r="Q119" s="34"/>
      <c r="S119" s="34"/>
    </row>
    <row r="120" spans="1:21" s="25" customFormat="1" x14ac:dyDescent="0.3">
      <c r="A120" s="320"/>
      <c r="B120" s="321"/>
      <c r="C120" s="321"/>
      <c r="D120" s="36"/>
      <c r="E120" s="244"/>
      <c r="F120" s="34"/>
      <c r="G120" s="34"/>
      <c r="H120" s="34"/>
      <c r="I120" s="34"/>
      <c r="J120" s="37"/>
      <c r="K120" s="34"/>
      <c r="L120" s="30"/>
      <c r="M120" s="34"/>
      <c r="N120" s="34"/>
      <c r="O120" s="30"/>
      <c r="P120" s="34"/>
      <c r="Q120" s="34"/>
      <c r="S120" s="34"/>
      <c r="T120" s="38"/>
    </row>
    <row r="121" spans="1:21" s="32" customFormat="1" ht="55.2" x14ac:dyDescent="0.3">
      <c r="A121" s="322" t="s">
        <v>160</v>
      </c>
      <c r="B121" s="322" t="s">
        <v>35</v>
      </c>
      <c r="C121" s="323" t="s">
        <v>188</v>
      </c>
      <c r="D121" s="201" t="s">
        <v>228</v>
      </c>
      <c r="E121" s="245" t="s">
        <v>88</v>
      </c>
      <c r="F121" s="31"/>
      <c r="G121" s="31" t="s">
        <v>150</v>
      </c>
      <c r="H121" s="31"/>
      <c r="I121" s="31"/>
      <c r="J121" s="31"/>
      <c r="K121" s="30">
        <f>J123</f>
        <v>4998.08</v>
      </c>
      <c r="L121" s="30" t="s">
        <v>749</v>
      </c>
      <c r="M121" s="30">
        <f>ROUND(L121*(1+$N$11),2)</f>
        <v>52.55</v>
      </c>
      <c r="N121" s="30">
        <f>TRUNC($K121*M121,2)</f>
        <v>262649.09999999998</v>
      </c>
      <c r="O121" s="30" t="s">
        <v>750</v>
      </c>
      <c r="P121" s="30">
        <f>ROUND(O121*(1+$Q$11),2)</f>
        <v>52.27</v>
      </c>
      <c r="Q121" s="30">
        <f>TRUNC($K121*P121,2)</f>
        <v>261249.64</v>
      </c>
      <c r="R121" s="25" t="s">
        <v>612</v>
      </c>
      <c r="S121" s="30"/>
    </row>
    <row r="122" spans="1:21" s="32" customFormat="1" x14ac:dyDescent="0.3">
      <c r="A122" s="322"/>
      <c r="B122" s="322"/>
      <c r="C122" s="323"/>
      <c r="D122" s="213" t="s">
        <v>751</v>
      </c>
      <c r="E122" s="245"/>
      <c r="F122" s="30"/>
      <c r="G122" s="30">
        <f>J119</f>
        <v>4998.08</v>
      </c>
      <c r="H122" s="30"/>
      <c r="I122" s="30"/>
      <c r="J122" s="34">
        <f t="shared" ref="J122" si="13">ROUND(PRODUCT(F122:I122),2)</f>
        <v>4998.08</v>
      </c>
      <c r="K122" s="30"/>
      <c r="L122" s="30"/>
      <c r="M122" s="30"/>
      <c r="N122" s="30"/>
      <c r="O122" s="30"/>
      <c r="P122" s="30"/>
      <c r="Q122" s="30"/>
      <c r="S122" s="30"/>
    </row>
    <row r="123" spans="1:21" s="25" customFormat="1" x14ac:dyDescent="0.3">
      <c r="A123" s="321"/>
      <c r="B123" s="321"/>
      <c r="C123" s="321"/>
      <c r="D123" s="36" t="str">
        <f>"Total item "&amp;A121</f>
        <v>Total item 5.3</v>
      </c>
      <c r="E123" s="244"/>
      <c r="F123" s="34"/>
      <c r="G123" s="34"/>
      <c r="H123" s="34"/>
      <c r="I123" s="34"/>
      <c r="J123" s="28">
        <f>SUM(J122:J122)</f>
        <v>4998.08</v>
      </c>
      <c r="K123" s="34"/>
      <c r="L123" s="30"/>
      <c r="M123" s="34"/>
      <c r="N123" s="34"/>
      <c r="O123" s="30"/>
      <c r="P123" s="34"/>
      <c r="Q123" s="34"/>
      <c r="S123" s="34"/>
    </row>
    <row r="124" spans="1:21" s="276" customFormat="1" x14ac:dyDescent="0.3">
      <c r="A124" s="320"/>
      <c r="B124" s="321"/>
      <c r="C124" s="321"/>
      <c r="D124" s="201"/>
      <c r="E124" s="244"/>
      <c r="F124" s="34"/>
      <c r="G124" s="34"/>
      <c r="H124" s="34"/>
      <c r="I124" s="34"/>
      <c r="J124" s="37"/>
      <c r="K124" s="34"/>
      <c r="L124" s="34"/>
      <c r="M124" s="34"/>
      <c r="N124" s="34"/>
      <c r="O124" s="34"/>
      <c r="P124" s="34"/>
      <c r="Q124" s="34"/>
      <c r="R124" s="25"/>
      <c r="S124" s="34"/>
      <c r="T124" s="38"/>
      <c r="U124" s="38"/>
    </row>
    <row r="125" spans="1:21" s="252" customFormat="1" ht="55.2" x14ac:dyDescent="0.3">
      <c r="A125" s="322" t="s">
        <v>229</v>
      </c>
      <c r="B125" s="322" t="s">
        <v>35</v>
      </c>
      <c r="C125" s="323" t="s">
        <v>477</v>
      </c>
      <c r="D125" s="201" t="s">
        <v>476</v>
      </c>
      <c r="E125" s="245" t="s">
        <v>88</v>
      </c>
      <c r="F125" s="31"/>
      <c r="G125" s="31" t="s">
        <v>666</v>
      </c>
      <c r="H125" s="31"/>
      <c r="I125" s="31"/>
      <c r="J125" s="31"/>
      <c r="K125" s="30">
        <f>J127</f>
        <v>1245.83</v>
      </c>
      <c r="L125" s="30" t="s">
        <v>667</v>
      </c>
      <c r="M125" s="30">
        <f>ROUND(L125*(1+$N$11),2)</f>
        <v>119.49</v>
      </c>
      <c r="N125" s="30">
        <f>TRUNC($K125*M125,2)</f>
        <v>148864.22</v>
      </c>
      <c r="O125" s="30" t="s">
        <v>668</v>
      </c>
      <c r="P125" s="30">
        <f>ROUND(O125*(1+$Q$11),2)</f>
        <v>116.46</v>
      </c>
      <c r="Q125" s="30">
        <f>TRUNC($K125*P125,2)</f>
        <v>145089.35999999999</v>
      </c>
      <c r="R125" s="25" t="s">
        <v>612</v>
      </c>
      <c r="S125" s="30"/>
      <c r="T125" s="32"/>
      <c r="U125" s="32"/>
    </row>
    <row r="126" spans="1:21" s="32" customFormat="1" x14ac:dyDescent="0.3">
      <c r="A126" s="322"/>
      <c r="B126" s="322"/>
      <c r="C126" s="323"/>
      <c r="D126" s="253" t="s">
        <v>665</v>
      </c>
      <c r="E126" s="245"/>
      <c r="F126" s="30"/>
      <c r="G126" s="30">
        <f>G36</f>
        <v>1245.83</v>
      </c>
      <c r="H126" s="30"/>
      <c r="I126" s="30"/>
      <c r="J126" s="34">
        <f t="shared" ref="J126" si="14">ROUND(PRODUCT(F126:I126),2)</f>
        <v>1245.83</v>
      </c>
      <c r="K126" s="30"/>
      <c r="L126" s="30"/>
      <c r="M126" s="30"/>
      <c r="N126" s="30"/>
      <c r="O126" s="30"/>
      <c r="P126" s="30"/>
      <c r="Q126" s="30"/>
      <c r="S126" s="30"/>
      <c r="U126" s="441"/>
    </row>
    <row r="127" spans="1:21" s="276" customFormat="1" x14ac:dyDescent="0.3">
      <c r="A127" s="321"/>
      <c r="B127" s="321"/>
      <c r="C127" s="321"/>
      <c r="D127" s="36" t="str">
        <f>"Total item "&amp;A125</f>
        <v>Total item 5.5</v>
      </c>
      <c r="E127" s="244"/>
      <c r="F127" s="34"/>
      <c r="G127" s="34"/>
      <c r="H127" s="34"/>
      <c r="I127" s="34"/>
      <c r="J127" s="28">
        <f>SUM(J126:J126)</f>
        <v>1245.83</v>
      </c>
      <c r="K127" s="34"/>
      <c r="L127" s="34"/>
      <c r="M127" s="34"/>
      <c r="N127" s="34"/>
      <c r="O127" s="34"/>
      <c r="P127" s="34"/>
      <c r="Q127" s="34"/>
      <c r="R127" s="25"/>
      <c r="S127" s="34"/>
      <c r="T127" s="25"/>
      <c r="U127" s="25"/>
    </row>
    <row r="128" spans="1:21" s="220" customFormat="1" x14ac:dyDescent="0.3">
      <c r="A128" s="329"/>
      <c r="B128" s="327"/>
      <c r="C128" s="327"/>
      <c r="D128" s="216"/>
      <c r="E128" s="250"/>
      <c r="F128" s="218"/>
      <c r="G128" s="218"/>
      <c r="H128" s="218"/>
      <c r="I128" s="218"/>
      <c r="J128" s="219"/>
      <c r="K128" s="218"/>
      <c r="L128" s="233"/>
      <c r="M128" s="218"/>
      <c r="N128" s="218"/>
      <c r="O128" s="233"/>
      <c r="P128" s="218"/>
      <c r="Q128" s="218"/>
      <c r="S128" s="218"/>
      <c r="T128" s="221"/>
    </row>
    <row r="129" spans="1:21" s="171" customFormat="1" x14ac:dyDescent="0.3">
      <c r="A129" s="328" t="s">
        <v>15</v>
      </c>
      <c r="B129" s="326"/>
      <c r="C129" s="326"/>
      <c r="D129" s="199" t="s">
        <v>264</v>
      </c>
      <c r="E129" s="243"/>
      <c r="F129" s="28"/>
      <c r="G129" s="28"/>
      <c r="H129" s="28"/>
      <c r="I129" s="28"/>
      <c r="J129" s="28"/>
      <c r="K129" s="28"/>
      <c r="L129" s="28"/>
      <c r="M129" s="28"/>
      <c r="N129" s="28">
        <f>SUM(N130:N146)</f>
        <v>359841.06</v>
      </c>
      <c r="O129" s="28"/>
      <c r="P129" s="28"/>
      <c r="Q129" s="28">
        <f>SUM(Q130:Q146)</f>
        <v>355599.14</v>
      </c>
      <c r="S129" s="28"/>
      <c r="T129" s="202"/>
    </row>
    <row r="130" spans="1:21" s="276" customFormat="1" x14ac:dyDescent="0.3">
      <c r="A130" s="320"/>
      <c r="B130" s="321"/>
      <c r="C130" s="321"/>
      <c r="D130" s="36"/>
      <c r="E130" s="244"/>
      <c r="F130" s="34"/>
      <c r="G130" s="34"/>
      <c r="H130" s="34"/>
      <c r="I130" s="34"/>
      <c r="J130" s="37"/>
      <c r="K130" s="34"/>
      <c r="L130" s="34"/>
      <c r="M130" s="34"/>
      <c r="N130" s="34"/>
      <c r="O130" s="34"/>
      <c r="P130" s="34"/>
      <c r="Q130" s="34"/>
      <c r="R130" s="25"/>
      <c r="S130" s="34"/>
      <c r="T130" s="38"/>
      <c r="U130" s="38"/>
    </row>
    <row r="131" spans="1:21" s="252" customFormat="1" ht="27.6" x14ac:dyDescent="0.3">
      <c r="A131" s="322" t="s">
        <v>138</v>
      </c>
      <c r="B131" s="330" t="s">
        <v>35</v>
      </c>
      <c r="C131" s="323" t="s">
        <v>318</v>
      </c>
      <c r="D131" s="201" t="s">
        <v>455</v>
      </c>
      <c r="E131" s="245" t="s">
        <v>80</v>
      </c>
      <c r="F131" s="31"/>
      <c r="G131" s="31" t="s">
        <v>481</v>
      </c>
      <c r="H131" s="31"/>
      <c r="I131" s="31"/>
      <c r="J131" s="31"/>
      <c r="K131" s="30">
        <f>J133</f>
        <v>53.96</v>
      </c>
      <c r="L131" s="30" t="s">
        <v>648</v>
      </c>
      <c r="M131" s="30">
        <f>ROUND(L131*(1+$N$11),2)</f>
        <v>902.4</v>
      </c>
      <c r="N131" s="30">
        <f>TRUNC($K131*M131,2)</f>
        <v>48693.5</v>
      </c>
      <c r="O131" s="30" t="s">
        <v>649</v>
      </c>
      <c r="P131" s="30">
        <f>ROUND(O131*(1+$Q$11),2)</f>
        <v>886.77</v>
      </c>
      <c r="Q131" s="30">
        <f>TRUNC($K131*P131,2)</f>
        <v>47850.1</v>
      </c>
      <c r="R131" s="25" t="s">
        <v>612</v>
      </c>
      <c r="S131" s="30"/>
      <c r="T131" s="32"/>
      <c r="U131" s="32"/>
    </row>
    <row r="132" spans="1:21" s="252" customFormat="1" x14ac:dyDescent="0.3">
      <c r="A132" s="322"/>
      <c r="B132" s="322"/>
      <c r="C132" s="323"/>
      <c r="D132" s="213" t="s">
        <v>652</v>
      </c>
      <c r="E132" s="248"/>
      <c r="F132" s="34"/>
      <c r="G132" s="30">
        <f>G32</f>
        <v>1798.52</v>
      </c>
      <c r="H132" s="30"/>
      <c r="I132" s="30">
        <v>0.03</v>
      </c>
      <c r="J132" s="34">
        <f t="shared" ref="J132" si="15">ROUND(PRODUCT(F132:I132),2)</f>
        <v>53.96</v>
      </c>
      <c r="K132" s="30"/>
      <c r="L132" s="30"/>
      <c r="M132" s="30"/>
      <c r="N132" s="30"/>
      <c r="O132" s="30"/>
      <c r="P132" s="30"/>
      <c r="Q132" s="30"/>
      <c r="R132" s="32"/>
      <c r="S132" s="30"/>
      <c r="T132" s="32"/>
      <c r="U132" s="32"/>
    </row>
    <row r="133" spans="1:21" s="276" customFormat="1" x14ac:dyDescent="0.3">
      <c r="A133" s="321"/>
      <c r="B133" s="321"/>
      <c r="C133" s="321"/>
      <c r="D133" s="36" t="str">
        <f>"Total item "&amp;A131</f>
        <v>Total item 6.1</v>
      </c>
      <c r="E133" s="244"/>
      <c r="F133" s="34"/>
      <c r="G133" s="34"/>
      <c r="H133" s="34"/>
      <c r="I133" s="34"/>
      <c r="J133" s="28">
        <f>SUM(J132:J132)</f>
        <v>53.96</v>
      </c>
      <c r="K133" s="34"/>
      <c r="L133" s="34"/>
      <c r="M133" s="34"/>
      <c r="N133" s="34"/>
      <c r="O133" s="34"/>
      <c r="P133" s="34"/>
      <c r="Q133" s="34"/>
      <c r="R133" s="25"/>
      <c r="S133" s="34"/>
      <c r="T133" s="25"/>
      <c r="U133" s="25"/>
    </row>
    <row r="134" spans="1:21" s="276" customFormat="1" x14ac:dyDescent="0.3">
      <c r="A134" s="320"/>
      <c r="B134" s="321"/>
      <c r="C134" s="321"/>
      <c r="D134" s="36"/>
      <c r="E134" s="244"/>
      <c r="F134" s="34"/>
      <c r="G134" s="34"/>
      <c r="H134" s="34"/>
      <c r="I134" s="34"/>
      <c r="J134" s="37"/>
      <c r="K134" s="34"/>
      <c r="L134" s="34"/>
      <c r="M134" s="34"/>
      <c r="N134" s="34"/>
      <c r="O134" s="34"/>
      <c r="P134" s="34"/>
      <c r="Q134" s="34"/>
      <c r="R134" s="25"/>
      <c r="S134" s="34"/>
      <c r="T134" s="38"/>
      <c r="U134" s="38"/>
    </row>
    <row r="135" spans="1:21" s="252" customFormat="1" ht="60.6" customHeight="1" x14ac:dyDescent="0.3">
      <c r="A135" s="322" t="s">
        <v>161</v>
      </c>
      <c r="B135" s="322" t="s">
        <v>35</v>
      </c>
      <c r="C135" s="323" t="s">
        <v>319</v>
      </c>
      <c r="D135" s="201" t="s">
        <v>320</v>
      </c>
      <c r="E135" s="245" t="s">
        <v>88</v>
      </c>
      <c r="F135" s="31"/>
      <c r="G135" s="31" t="s">
        <v>481</v>
      </c>
      <c r="H135" s="31"/>
      <c r="I135" s="31"/>
      <c r="J135" s="31"/>
      <c r="K135" s="30">
        <f>J137</f>
        <v>1798.52</v>
      </c>
      <c r="L135" s="30" t="s">
        <v>650</v>
      </c>
      <c r="M135" s="30">
        <f>ROUND(L135*(1+$N$11),2)</f>
        <v>52.83</v>
      </c>
      <c r="N135" s="30">
        <f>TRUNC($K135*M135,2)</f>
        <v>95015.81</v>
      </c>
      <c r="O135" s="30" t="s">
        <v>651</v>
      </c>
      <c r="P135" s="30">
        <f>ROUND(O135*(1+$Q$11),2)</f>
        <v>52.61</v>
      </c>
      <c r="Q135" s="30">
        <f>TRUNC($K135*P135,2)</f>
        <v>94620.13</v>
      </c>
      <c r="R135" s="25" t="s">
        <v>612</v>
      </c>
      <c r="S135" s="30"/>
      <c r="T135" s="32"/>
      <c r="U135" s="32"/>
    </row>
    <row r="136" spans="1:21" s="252" customFormat="1" x14ac:dyDescent="0.3">
      <c r="A136" s="322"/>
      <c r="B136" s="322"/>
      <c r="C136" s="323"/>
      <c r="D136" s="213" t="s">
        <v>652</v>
      </c>
      <c r="E136" s="248"/>
      <c r="F136" s="34"/>
      <c r="G136" s="30">
        <f>G132</f>
        <v>1798.52</v>
      </c>
      <c r="H136" s="30"/>
      <c r="I136" s="30"/>
      <c r="J136" s="34">
        <f>ROUND(PRODUCT(F136:I136),2)</f>
        <v>1798.52</v>
      </c>
      <c r="K136" s="30"/>
      <c r="L136" s="30"/>
      <c r="M136" s="30"/>
      <c r="N136" s="30"/>
      <c r="O136" s="30"/>
      <c r="P136" s="30"/>
      <c r="Q136" s="30"/>
      <c r="R136" s="32"/>
      <c r="S136" s="30"/>
      <c r="T136" s="32"/>
      <c r="U136" s="32"/>
    </row>
    <row r="137" spans="1:21" s="276" customFormat="1" x14ac:dyDescent="0.3">
      <c r="A137" s="321"/>
      <c r="B137" s="321"/>
      <c r="C137" s="321"/>
      <c r="D137" s="36" t="str">
        <f>"Total item "&amp;A135</f>
        <v>Total item 6.2</v>
      </c>
      <c r="E137" s="244"/>
      <c r="F137" s="34"/>
      <c r="G137" s="34"/>
      <c r="H137" s="34"/>
      <c r="I137" s="34"/>
      <c r="J137" s="28">
        <f>SUM(J136:J136)</f>
        <v>1798.52</v>
      </c>
      <c r="K137" s="34"/>
      <c r="L137" s="34"/>
      <c r="M137" s="34"/>
      <c r="N137" s="34"/>
      <c r="O137" s="34"/>
      <c r="P137" s="34"/>
      <c r="Q137" s="34"/>
      <c r="R137" s="25"/>
      <c r="S137" s="34"/>
      <c r="T137" s="25"/>
      <c r="U137" s="25"/>
    </row>
    <row r="138" spans="1:21" s="251" customFormat="1" x14ac:dyDescent="0.3">
      <c r="A138" s="329"/>
      <c r="B138" s="327"/>
      <c r="C138" s="327"/>
      <c r="D138" s="201"/>
      <c r="E138" s="250"/>
      <c r="F138" s="218"/>
      <c r="G138" s="218"/>
      <c r="H138" s="218"/>
      <c r="I138" s="218"/>
      <c r="J138" s="219"/>
      <c r="K138" s="218"/>
      <c r="L138" s="218"/>
      <c r="M138" s="218"/>
      <c r="N138" s="218"/>
      <c r="O138" s="218"/>
      <c r="P138" s="218"/>
      <c r="Q138" s="218"/>
      <c r="R138" s="220"/>
      <c r="S138" s="218"/>
      <c r="T138" s="221"/>
      <c r="U138" s="221"/>
    </row>
    <row r="139" spans="1:21" s="252" customFormat="1" ht="69" x14ac:dyDescent="0.3">
      <c r="A139" s="322" t="s">
        <v>230</v>
      </c>
      <c r="B139" s="322" t="s">
        <v>35</v>
      </c>
      <c r="C139" s="323" t="s">
        <v>821</v>
      </c>
      <c r="D139" s="201" t="s">
        <v>820</v>
      </c>
      <c r="E139" s="245" t="s">
        <v>88</v>
      </c>
      <c r="F139" s="31"/>
      <c r="G139" s="31" t="s">
        <v>481</v>
      </c>
      <c r="H139" s="31"/>
      <c r="I139" s="31"/>
      <c r="J139" s="31"/>
      <c r="K139" s="30">
        <f>J141</f>
        <v>1798.52</v>
      </c>
      <c r="L139" s="30" t="s">
        <v>834</v>
      </c>
      <c r="M139" s="30">
        <f>ROUND(L139*(1+$N$11),2)</f>
        <v>117.19</v>
      </c>
      <c r="N139" s="30">
        <f>TRUNC($K139*M139,2)</f>
        <v>210768.55</v>
      </c>
      <c r="O139" s="30" t="s">
        <v>835</v>
      </c>
      <c r="P139" s="30">
        <f>ROUND(O139*(1+$Q$11),2)</f>
        <v>115.6</v>
      </c>
      <c r="Q139" s="30">
        <f>TRUNC($K139*P139,2)</f>
        <v>207908.91</v>
      </c>
      <c r="R139" s="25" t="s">
        <v>612</v>
      </c>
      <c r="S139" s="30"/>
      <c r="T139" s="32"/>
      <c r="U139" s="32"/>
    </row>
    <row r="140" spans="1:21" s="252" customFormat="1" x14ac:dyDescent="0.3">
      <c r="A140" s="322"/>
      <c r="B140" s="322"/>
      <c r="C140" s="323"/>
      <c r="D140" s="213" t="s">
        <v>652</v>
      </c>
      <c r="E140" s="245"/>
      <c r="F140" s="30"/>
      <c r="G140" s="30">
        <f>G136</f>
        <v>1798.52</v>
      </c>
      <c r="H140" s="30"/>
      <c r="I140" s="30"/>
      <c r="J140" s="34">
        <f>ROUND(PRODUCT(F140:I140),2)</f>
        <v>1798.52</v>
      </c>
      <c r="K140" s="30"/>
      <c r="L140" s="30"/>
      <c r="M140" s="30"/>
      <c r="N140" s="30"/>
      <c r="O140" s="30"/>
      <c r="P140" s="30"/>
      <c r="Q140" s="30"/>
      <c r="R140" s="32"/>
      <c r="S140" s="30"/>
      <c r="T140" s="32"/>
      <c r="U140" s="32"/>
    </row>
    <row r="141" spans="1:21" s="251" customFormat="1" x14ac:dyDescent="0.3">
      <c r="A141" s="321"/>
      <c r="B141" s="321"/>
      <c r="C141" s="321"/>
      <c r="D141" s="36" t="str">
        <f>"Total item "&amp;A139</f>
        <v>Total item 6.3</v>
      </c>
      <c r="E141" s="244"/>
      <c r="F141" s="34"/>
      <c r="G141" s="34"/>
      <c r="H141" s="34"/>
      <c r="I141" s="34"/>
      <c r="J141" s="28">
        <f>SUM(J140:J140)</f>
        <v>1798.52</v>
      </c>
      <c r="K141" s="34"/>
      <c r="L141" s="218"/>
      <c r="M141" s="218"/>
      <c r="N141" s="218"/>
      <c r="O141" s="218"/>
      <c r="P141" s="218"/>
      <c r="Q141" s="218"/>
      <c r="R141" s="220"/>
      <c r="S141" s="218"/>
      <c r="T141" s="220"/>
      <c r="U141" s="220"/>
    </row>
    <row r="142" spans="1:21" s="220" customFormat="1" x14ac:dyDescent="0.3">
      <c r="A142" s="329"/>
      <c r="B142" s="327"/>
      <c r="C142" s="327"/>
      <c r="D142" s="216"/>
      <c r="E142" s="250"/>
      <c r="F142" s="218"/>
      <c r="G142" s="218"/>
      <c r="H142" s="218"/>
      <c r="I142" s="218"/>
      <c r="J142" s="219"/>
      <c r="K142" s="218"/>
      <c r="L142" s="218"/>
      <c r="M142" s="218"/>
      <c r="N142" s="218"/>
      <c r="O142" s="233"/>
      <c r="P142" s="218"/>
      <c r="Q142" s="218"/>
      <c r="S142" s="218"/>
      <c r="T142" s="221"/>
    </row>
    <row r="143" spans="1:21" s="32" customFormat="1" ht="55.2" x14ac:dyDescent="0.3">
      <c r="A143" s="322" t="s">
        <v>231</v>
      </c>
      <c r="B143" s="322" t="s">
        <v>35</v>
      </c>
      <c r="C143" s="323" t="s">
        <v>411</v>
      </c>
      <c r="D143" s="201" t="s">
        <v>483</v>
      </c>
      <c r="E143" s="245" t="s">
        <v>87</v>
      </c>
      <c r="F143" s="31"/>
      <c r="G143" s="31"/>
      <c r="H143" s="31"/>
      <c r="I143" s="31"/>
      <c r="J143" s="31"/>
      <c r="K143" s="30">
        <f>J145</f>
        <v>80</v>
      </c>
      <c r="L143" s="30" t="s">
        <v>669</v>
      </c>
      <c r="M143" s="30">
        <f>ROUND(L143*(1+$N$11),2)</f>
        <v>67.040000000000006</v>
      </c>
      <c r="N143" s="30">
        <f>TRUNC($K143*M143,2)</f>
        <v>5363.2</v>
      </c>
      <c r="O143" s="30" t="s">
        <v>670</v>
      </c>
      <c r="P143" s="30">
        <f>ROUND(O143*(1+$Q$11),2)</f>
        <v>65.25</v>
      </c>
      <c r="Q143" s="30">
        <f>TRUNC($K143*P143,2)</f>
        <v>5220</v>
      </c>
      <c r="R143" s="25" t="s">
        <v>612</v>
      </c>
      <c r="S143" s="30"/>
    </row>
    <row r="144" spans="1:21" s="32" customFormat="1" x14ac:dyDescent="0.3">
      <c r="A144" s="322"/>
      <c r="B144" s="322"/>
      <c r="C144" s="323"/>
      <c r="D144" s="213" t="s">
        <v>482</v>
      </c>
      <c r="E144" s="248"/>
      <c r="F144" s="208"/>
      <c r="G144" s="30">
        <v>80</v>
      </c>
      <c r="H144" s="30"/>
      <c r="I144" s="30"/>
      <c r="J144" s="34">
        <f t="shared" ref="J144" si="16">ROUND(PRODUCT(F144:I144),2)</f>
        <v>80</v>
      </c>
      <c r="K144" s="30"/>
      <c r="L144" s="30"/>
      <c r="M144" s="30"/>
      <c r="N144" s="30"/>
      <c r="O144" s="30"/>
      <c r="P144" s="30"/>
      <c r="Q144" s="30"/>
      <c r="S144" s="30"/>
    </row>
    <row r="145" spans="1:21" s="25" customFormat="1" x14ac:dyDescent="0.3">
      <c r="A145" s="321"/>
      <c r="B145" s="321"/>
      <c r="C145" s="321"/>
      <c r="D145" s="36" t="str">
        <f>"Total item "&amp;A143</f>
        <v>Total item 6.4</v>
      </c>
      <c r="E145" s="244"/>
      <c r="F145" s="34"/>
      <c r="G145" s="34"/>
      <c r="H145" s="34"/>
      <c r="I145" s="34"/>
      <c r="J145" s="28">
        <f>SUM(J144:J144)</f>
        <v>80</v>
      </c>
      <c r="K145" s="34"/>
      <c r="L145" s="34"/>
      <c r="M145" s="34"/>
      <c r="N145" s="34"/>
      <c r="O145" s="34"/>
      <c r="P145" s="34"/>
      <c r="Q145" s="34"/>
      <c r="S145" s="34"/>
    </row>
    <row r="146" spans="1:21" s="25" customFormat="1" x14ac:dyDescent="0.3">
      <c r="A146" s="320"/>
      <c r="B146" s="321"/>
      <c r="C146" s="323"/>
      <c r="D146" s="36"/>
      <c r="E146" s="244"/>
      <c r="F146" s="34"/>
      <c r="G146" s="34"/>
      <c r="H146" s="34"/>
      <c r="I146" s="34"/>
      <c r="J146" s="37"/>
      <c r="K146" s="34"/>
      <c r="L146" s="34"/>
      <c r="M146" s="34"/>
      <c r="N146" s="34"/>
      <c r="O146" s="30"/>
      <c r="P146" s="34"/>
      <c r="Q146" s="34"/>
      <c r="S146" s="34"/>
      <c r="T146" s="38"/>
    </row>
    <row r="147" spans="1:21" s="275" customFormat="1" x14ac:dyDescent="0.3">
      <c r="A147" s="328" t="s">
        <v>21</v>
      </c>
      <c r="B147" s="326"/>
      <c r="C147" s="326"/>
      <c r="D147" s="199" t="s">
        <v>265</v>
      </c>
      <c r="E147" s="243"/>
      <c r="F147" s="28"/>
      <c r="G147" s="28"/>
      <c r="H147" s="28"/>
      <c r="I147" s="28"/>
      <c r="J147" s="28"/>
      <c r="K147" s="28"/>
      <c r="L147" s="28"/>
      <c r="M147" s="28"/>
      <c r="N147" s="28">
        <f>SUM(N148:N179)</f>
        <v>596650.62999999989</v>
      </c>
      <c r="O147" s="28"/>
      <c r="P147" s="28"/>
      <c r="Q147" s="28">
        <f>SUM(Q148:Q179)</f>
        <v>570477.03</v>
      </c>
      <c r="R147" s="171"/>
      <c r="S147" s="28"/>
      <c r="T147" s="202"/>
      <c r="U147" s="202"/>
    </row>
    <row r="148" spans="1:21" s="276" customFormat="1" x14ac:dyDescent="0.3">
      <c r="A148" s="320"/>
      <c r="B148" s="321"/>
      <c r="C148" s="321"/>
      <c r="D148" s="36"/>
      <c r="E148" s="244"/>
      <c r="F148" s="34"/>
      <c r="G148" s="34"/>
      <c r="H148" s="34"/>
      <c r="I148" s="34"/>
      <c r="J148" s="37"/>
      <c r="K148" s="34"/>
      <c r="L148" s="34"/>
      <c r="M148" s="34"/>
      <c r="N148" s="34"/>
      <c r="O148" s="34"/>
      <c r="P148" s="34"/>
      <c r="Q148" s="34"/>
      <c r="R148" s="25"/>
      <c r="S148" s="34"/>
      <c r="T148" s="38"/>
      <c r="U148" s="38"/>
    </row>
    <row r="149" spans="1:21" s="252" customFormat="1" ht="27.6" x14ac:dyDescent="0.3">
      <c r="A149" s="322" t="s">
        <v>139</v>
      </c>
      <c r="B149" s="322" t="s">
        <v>35</v>
      </c>
      <c r="C149" s="323" t="s">
        <v>413</v>
      </c>
      <c r="D149" s="201" t="s">
        <v>412</v>
      </c>
      <c r="E149" s="245" t="s">
        <v>88</v>
      </c>
      <c r="F149" s="31"/>
      <c r="G149" s="31" t="s">
        <v>266</v>
      </c>
      <c r="H149" s="31"/>
      <c r="I149" s="31"/>
      <c r="J149" s="31"/>
      <c r="K149" s="30">
        <f>J152</f>
        <v>1952.66</v>
      </c>
      <c r="L149" s="30" t="s">
        <v>653</v>
      </c>
      <c r="M149" s="30">
        <f>ROUND(L149*(1+$N$11),2)</f>
        <v>257.20999999999998</v>
      </c>
      <c r="N149" s="30">
        <f>TRUNC($K149*M149,2)</f>
        <v>502243.67</v>
      </c>
      <c r="O149" s="30" t="s">
        <v>654</v>
      </c>
      <c r="P149" s="30">
        <f>ROUND(O149*(1+$Q$11),2)</f>
        <v>245.24</v>
      </c>
      <c r="Q149" s="30">
        <f>TRUNC($K149*P149,2)</f>
        <v>478870.33</v>
      </c>
      <c r="R149" s="25" t="s">
        <v>612</v>
      </c>
      <c r="S149" s="30"/>
      <c r="T149" s="32"/>
      <c r="U149" s="32"/>
    </row>
    <row r="150" spans="1:21" s="252" customFormat="1" x14ac:dyDescent="0.3">
      <c r="A150" s="322"/>
      <c r="B150" s="322"/>
      <c r="C150" s="323"/>
      <c r="D150" s="213" t="s">
        <v>343</v>
      </c>
      <c r="E150" s="245"/>
      <c r="F150" s="30"/>
      <c r="G150" s="30">
        <f>G28</f>
        <v>1562.66</v>
      </c>
      <c r="H150" s="30"/>
      <c r="I150" s="30"/>
      <c r="J150" s="34">
        <f t="shared" ref="J150:J151" si="17">ROUND(PRODUCT(F150:I150),2)</f>
        <v>1562.66</v>
      </c>
      <c r="K150" s="30"/>
      <c r="L150" s="30"/>
      <c r="M150" s="30"/>
      <c r="N150" s="30"/>
      <c r="O150" s="30"/>
      <c r="P150" s="30"/>
      <c r="Q150" s="30"/>
      <c r="R150" s="32"/>
      <c r="S150" s="30"/>
      <c r="T150" s="32"/>
      <c r="U150" s="32"/>
    </row>
    <row r="151" spans="1:21" s="252" customFormat="1" x14ac:dyDescent="0.3">
      <c r="A151" s="322"/>
      <c r="B151" s="322"/>
      <c r="C151" s="323"/>
      <c r="D151" s="33" t="s">
        <v>659</v>
      </c>
      <c r="E151" s="245"/>
      <c r="F151" s="30"/>
      <c r="G151" s="30">
        <v>65</v>
      </c>
      <c r="H151" s="30">
        <v>6</v>
      </c>
      <c r="I151" s="30"/>
      <c r="J151" s="34">
        <f t="shared" si="17"/>
        <v>390</v>
      </c>
      <c r="K151" s="30"/>
      <c r="L151" s="30"/>
      <c r="M151" s="30"/>
      <c r="N151" s="30"/>
      <c r="O151" s="30"/>
      <c r="P151" s="30"/>
      <c r="Q151" s="30"/>
      <c r="R151" s="32"/>
      <c r="S151" s="30"/>
      <c r="T151" s="32"/>
      <c r="U151" s="32"/>
    </row>
    <row r="152" spans="1:21" s="276" customFormat="1" x14ac:dyDescent="0.3">
      <c r="A152" s="321"/>
      <c r="B152" s="321"/>
      <c r="C152" s="321"/>
      <c r="D152" s="36" t="str">
        <f>"Total item "&amp;A149</f>
        <v>Total item 7.1</v>
      </c>
      <c r="E152" s="244"/>
      <c r="F152" s="34"/>
      <c r="G152" s="34"/>
      <c r="H152" s="34"/>
      <c r="I152" s="34"/>
      <c r="J152" s="28">
        <f>SUM(J150:J151)</f>
        <v>1952.66</v>
      </c>
      <c r="K152" s="34"/>
      <c r="L152" s="34"/>
      <c r="M152" s="34"/>
      <c r="N152" s="34"/>
      <c r="O152" s="34"/>
      <c r="P152" s="34"/>
      <c r="Q152" s="34"/>
      <c r="R152" s="25"/>
      <c r="S152" s="34"/>
      <c r="T152" s="25"/>
      <c r="U152" s="25"/>
    </row>
    <row r="153" spans="1:21" s="276" customFormat="1" x14ac:dyDescent="0.3">
      <c r="A153" s="320"/>
      <c r="B153" s="321"/>
      <c r="C153" s="321"/>
      <c r="D153" s="36"/>
      <c r="E153" s="244"/>
      <c r="F153" s="34"/>
      <c r="G153" s="34"/>
      <c r="H153" s="34"/>
      <c r="I153" s="34"/>
      <c r="J153" s="37"/>
      <c r="K153" s="34"/>
      <c r="L153" s="34"/>
      <c r="M153" s="34"/>
      <c r="N153" s="34"/>
      <c r="O153" s="34"/>
      <c r="P153" s="34"/>
      <c r="Q153" s="34"/>
      <c r="R153" s="25"/>
      <c r="S153" s="34"/>
      <c r="T153" s="38"/>
      <c r="U153" s="38"/>
    </row>
    <row r="154" spans="1:21" s="252" customFormat="1" x14ac:dyDescent="0.3">
      <c r="A154" s="322" t="s">
        <v>162</v>
      </c>
      <c r="B154" s="322" t="s">
        <v>484</v>
      </c>
      <c r="C154" s="323" t="s">
        <v>415</v>
      </c>
      <c r="D154" s="201" t="s">
        <v>414</v>
      </c>
      <c r="E154" s="245" t="s">
        <v>87</v>
      </c>
      <c r="F154" s="31"/>
      <c r="G154" s="31" t="s">
        <v>191</v>
      </c>
      <c r="H154" s="31"/>
      <c r="I154" s="31"/>
      <c r="J154" s="31"/>
      <c r="K154" s="30">
        <f>J157</f>
        <v>187</v>
      </c>
      <c r="L154" s="30">
        <v>77.73</v>
      </c>
      <c r="M154" s="30">
        <f>ROUND(L154*(1+$N$11),2)</f>
        <v>98.35</v>
      </c>
      <c r="N154" s="30">
        <f>TRUNC($K154*M154,2)</f>
        <v>18391.45</v>
      </c>
      <c r="O154" s="30">
        <v>78.3</v>
      </c>
      <c r="P154" s="30">
        <f>ROUND(O154*(1+$Q$11),2)</f>
        <v>94.35</v>
      </c>
      <c r="Q154" s="30">
        <f>TRUNC($K154*P154,2)</f>
        <v>17643.45</v>
      </c>
      <c r="R154" s="25" t="s">
        <v>612</v>
      </c>
      <c r="S154" s="30"/>
      <c r="T154" s="32"/>
      <c r="U154" s="32"/>
    </row>
    <row r="155" spans="1:21" s="252" customFormat="1" x14ac:dyDescent="0.3">
      <c r="A155" s="322"/>
      <c r="B155" s="322"/>
      <c r="C155" s="323"/>
      <c r="D155" s="213" t="s">
        <v>343</v>
      </c>
      <c r="E155" s="248"/>
      <c r="F155" s="30">
        <v>2</v>
      </c>
      <c r="G155" s="30">
        <v>62</v>
      </c>
      <c r="H155" s="30"/>
      <c r="I155" s="30"/>
      <c r="J155" s="34">
        <f>ROUND(PRODUCT(F155:I155),2)</f>
        <v>124</v>
      </c>
      <c r="K155" s="30"/>
      <c r="L155" s="30"/>
      <c r="M155" s="30"/>
      <c r="N155" s="30"/>
      <c r="O155" s="30"/>
      <c r="P155" s="30"/>
      <c r="Q155" s="30"/>
      <c r="R155" s="32"/>
      <c r="S155" s="30"/>
      <c r="T155" s="32"/>
      <c r="U155" s="32"/>
    </row>
    <row r="156" spans="1:21" s="252" customFormat="1" x14ac:dyDescent="0.3">
      <c r="A156" s="322"/>
      <c r="B156" s="322"/>
      <c r="C156" s="323"/>
      <c r="D156" s="213"/>
      <c r="E156" s="248"/>
      <c r="F156" s="30"/>
      <c r="G156" s="30">
        <v>63</v>
      </c>
      <c r="H156" s="30"/>
      <c r="I156" s="30"/>
      <c r="J156" s="34">
        <f t="shared" ref="J156" si="18">ROUND(PRODUCT(F156:I156),2)</f>
        <v>63</v>
      </c>
      <c r="K156" s="30"/>
      <c r="L156" s="30"/>
      <c r="M156" s="30"/>
      <c r="N156" s="30"/>
      <c r="O156" s="30"/>
      <c r="P156" s="30"/>
      <c r="Q156" s="30"/>
      <c r="R156" s="32"/>
      <c r="S156" s="30"/>
      <c r="T156" s="32"/>
      <c r="U156" s="32"/>
    </row>
    <row r="157" spans="1:21" s="276" customFormat="1" x14ac:dyDescent="0.3">
      <c r="A157" s="321"/>
      <c r="B157" s="321"/>
      <c r="C157" s="321"/>
      <c r="D157" s="36" t="str">
        <f>"Total item "&amp;A154</f>
        <v>Total item 7.2</v>
      </c>
      <c r="E157" s="244"/>
      <c r="F157" s="34"/>
      <c r="G157" s="34"/>
      <c r="H157" s="34"/>
      <c r="I157" s="34"/>
      <c r="J157" s="28">
        <f>SUM(J155:J156)</f>
        <v>187</v>
      </c>
      <c r="K157" s="34"/>
      <c r="L157" s="34"/>
      <c r="M157" s="34"/>
      <c r="N157" s="34"/>
      <c r="O157" s="34"/>
      <c r="P157" s="34"/>
      <c r="Q157" s="34"/>
      <c r="R157" s="25"/>
      <c r="S157" s="34"/>
      <c r="T157" s="25"/>
      <c r="U157" s="25"/>
    </row>
    <row r="158" spans="1:21" s="276" customFormat="1" x14ac:dyDescent="0.3">
      <c r="A158" s="320"/>
      <c r="B158" s="321"/>
      <c r="C158" s="321"/>
      <c r="D158" s="36"/>
      <c r="E158" s="244"/>
      <c r="F158" s="34"/>
      <c r="G158" s="34"/>
      <c r="H158" s="34"/>
      <c r="I158" s="34"/>
      <c r="J158" s="37"/>
      <c r="K158" s="34"/>
      <c r="L158" s="34"/>
      <c r="M158" s="34"/>
      <c r="N158" s="34"/>
      <c r="O158" s="34"/>
      <c r="P158" s="34"/>
      <c r="Q158" s="34"/>
      <c r="R158" s="25"/>
      <c r="S158" s="34"/>
      <c r="T158" s="38"/>
      <c r="U158" s="38"/>
    </row>
    <row r="159" spans="1:21" s="252" customFormat="1" ht="41.4" x14ac:dyDescent="0.3">
      <c r="A159" s="322" t="s">
        <v>218</v>
      </c>
      <c r="B159" s="322" t="s">
        <v>35</v>
      </c>
      <c r="C159" s="323" t="s">
        <v>417</v>
      </c>
      <c r="D159" s="201" t="s">
        <v>416</v>
      </c>
      <c r="E159" s="245" t="s">
        <v>87</v>
      </c>
      <c r="F159" s="31"/>
      <c r="G159" s="31"/>
      <c r="H159" s="31"/>
      <c r="I159" s="31"/>
      <c r="J159" s="31"/>
      <c r="K159" s="30">
        <f>J161</f>
        <v>252</v>
      </c>
      <c r="L159" s="30" t="s">
        <v>656</v>
      </c>
      <c r="M159" s="30">
        <f>ROUND(L159*(1+$N$11),2)</f>
        <v>183.19</v>
      </c>
      <c r="N159" s="30">
        <f>TRUNC($K159*M159,2)</f>
        <v>46163.88</v>
      </c>
      <c r="O159" s="30" t="s">
        <v>657</v>
      </c>
      <c r="P159" s="30">
        <f>ROUND(O159*(1+$Q$11),2)</f>
        <v>177.26</v>
      </c>
      <c r="Q159" s="30">
        <f>TRUNC($K159*P159,2)</f>
        <v>44669.52</v>
      </c>
      <c r="R159" s="25" t="s">
        <v>612</v>
      </c>
      <c r="S159" s="30"/>
      <c r="T159" s="32"/>
      <c r="U159" s="32"/>
    </row>
    <row r="160" spans="1:21" s="252" customFormat="1" x14ac:dyDescent="0.3">
      <c r="A160" s="322"/>
      <c r="B160" s="322"/>
      <c r="C160" s="323"/>
      <c r="D160" s="213" t="s">
        <v>655</v>
      </c>
      <c r="E160" s="248"/>
      <c r="F160" s="30">
        <v>4</v>
      </c>
      <c r="G160" s="30">
        <f>G44</f>
        <v>63</v>
      </c>
      <c r="H160" s="30"/>
      <c r="I160" s="30"/>
      <c r="J160" s="34">
        <f>ROUND(PRODUCT(F160:I160),2)</f>
        <v>252</v>
      </c>
      <c r="K160" s="30"/>
      <c r="L160" s="30"/>
      <c r="M160" s="30"/>
      <c r="N160" s="30"/>
      <c r="O160" s="30"/>
      <c r="P160" s="30"/>
      <c r="Q160" s="30"/>
      <c r="R160" s="32"/>
      <c r="S160" s="30"/>
      <c r="T160" s="32"/>
      <c r="U160" s="32"/>
    </row>
    <row r="161" spans="1:21" s="276" customFormat="1" x14ac:dyDescent="0.3">
      <c r="A161" s="321"/>
      <c r="B161" s="321"/>
      <c r="C161" s="321"/>
      <c r="D161" s="36" t="str">
        <f>"Total item "&amp;A159</f>
        <v>Total item 7.4</v>
      </c>
      <c r="E161" s="244"/>
      <c r="F161" s="34"/>
      <c r="G161" s="34"/>
      <c r="H161" s="34"/>
      <c r="I161" s="34"/>
      <c r="J161" s="28">
        <f>SUM(J160:J160)</f>
        <v>252</v>
      </c>
      <c r="K161" s="34"/>
      <c r="L161" s="34"/>
      <c r="M161" s="34"/>
      <c r="N161" s="34"/>
      <c r="O161" s="34"/>
      <c r="P161" s="34"/>
      <c r="Q161" s="34"/>
      <c r="R161" s="25"/>
      <c r="S161" s="34"/>
      <c r="T161" s="25"/>
      <c r="U161" s="25"/>
    </row>
    <row r="162" spans="1:21" s="276" customFormat="1" x14ac:dyDescent="0.3">
      <c r="A162" s="320"/>
      <c r="B162" s="321"/>
      <c r="C162" s="321"/>
      <c r="D162" s="36"/>
      <c r="E162" s="244"/>
      <c r="F162" s="34"/>
      <c r="G162" s="34"/>
      <c r="H162" s="34"/>
      <c r="I162" s="34"/>
      <c r="J162" s="37"/>
      <c r="K162" s="34"/>
      <c r="L162" s="34"/>
      <c r="M162" s="34"/>
      <c r="N162" s="34"/>
      <c r="O162" s="34"/>
      <c r="P162" s="34"/>
      <c r="Q162" s="34"/>
      <c r="R162" s="25"/>
      <c r="S162" s="34"/>
      <c r="T162" s="38"/>
      <c r="U162" s="38"/>
    </row>
    <row r="163" spans="1:21" s="252" customFormat="1" ht="39.6" customHeight="1" x14ac:dyDescent="0.3">
      <c r="A163" s="322" t="s">
        <v>267</v>
      </c>
      <c r="B163" s="322" t="s">
        <v>35</v>
      </c>
      <c r="C163" s="323" t="s">
        <v>714</v>
      </c>
      <c r="D163" s="201" t="s">
        <v>713</v>
      </c>
      <c r="E163" s="245" t="s">
        <v>87</v>
      </c>
      <c r="F163" s="31"/>
      <c r="G163" s="31" t="s">
        <v>266</v>
      </c>
      <c r="H163" s="31"/>
      <c r="I163" s="31"/>
      <c r="J163" s="31"/>
      <c r="K163" s="30">
        <f>J165</f>
        <v>38.07</v>
      </c>
      <c r="L163" s="30" t="s">
        <v>715</v>
      </c>
      <c r="M163" s="30">
        <f>ROUND(L163*(1+$N$11),2)</f>
        <v>88.75</v>
      </c>
      <c r="N163" s="30">
        <f>TRUNC($K163*M163,2)</f>
        <v>3378.71</v>
      </c>
      <c r="O163" s="30" t="s">
        <v>716</v>
      </c>
      <c r="P163" s="30">
        <f>ROUND(O163*(1+$Q$11),2)</f>
        <v>85.71</v>
      </c>
      <c r="Q163" s="30">
        <f>TRUNC($K163*P163,2)</f>
        <v>3262.97</v>
      </c>
      <c r="R163" s="25" t="s">
        <v>612</v>
      </c>
      <c r="S163" s="30"/>
      <c r="T163" s="32"/>
      <c r="U163" s="32"/>
    </row>
    <row r="164" spans="1:21" s="252" customFormat="1" x14ac:dyDescent="0.3">
      <c r="A164" s="322"/>
      <c r="B164" s="322"/>
      <c r="C164" s="323"/>
      <c r="D164" s="213" t="s">
        <v>681</v>
      </c>
      <c r="E164" s="248"/>
      <c r="F164" s="30"/>
      <c r="G164" s="30">
        <v>38.07</v>
      </c>
      <c r="H164" s="30"/>
      <c r="I164" s="30"/>
      <c r="J164" s="34">
        <f>ROUND(PRODUCT(F164:I164),2)</f>
        <v>38.07</v>
      </c>
      <c r="K164" s="30"/>
      <c r="L164" s="30"/>
      <c r="M164" s="30"/>
      <c r="N164" s="30"/>
      <c r="O164" s="30"/>
      <c r="P164" s="30"/>
      <c r="Q164" s="30"/>
      <c r="R164" s="32"/>
      <c r="S164" s="30"/>
      <c r="T164" s="32"/>
      <c r="U164" s="32"/>
    </row>
    <row r="165" spans="1:21" s="276" customFormat="1" x14ac:dyDescent="0.3">
      <c r="A165" s="321"/>
      <c r="B165" s="321"/>
      <c r="C165" s="321"/>
      <c r="D165" s="36" t="str">
        <f>"Total item "&amp;A163</f>
        <v>Total item 7.5</v>
      </c>
      <c r="E165" s="244"/>
      <c r="F165" s="34"/>
      <c r="G165" s="34"/>
      <c r="H165" s="34"/>
      <c r="I165" s="34"/>
      <c r="J165" s="28">
        <f>SUM(J164:J164)</f>
        <v>38.07</v>
      </c>
      <c r="K165" s="34"/>
      <c r="L165" s="34"/>
      <c r="M165" s="34"/>
      <c r="N165" s="34"/>
      <c r="O165" s="34"/>
      <c r="P165" s="34"/>
      <c r="Q165" s="34"/>
      <c r="R165" s="25"/>
      <c r="S165" s="34"/>
      <c r="T165" s="25"/>
      <c r="U165" s="25"/>
    </row>
    <row r="166" spans="1:21" s="276" customFormat="1" x14ac:dyDescent="0.3">
      <c r="A166" s="320"/>
      <c r="B166" s="321"/>
      <c r="C166" s="321"/>
      <c r="D166" s="36"/>
      <c r="E166" s="244"/>
      <c r="F166" s="34"/>
      <c r="G166" s="34"/>
      <c r="H166" s="34"/>
      <c r="I166" s="34"/>
      <c r="J166" s="37"/>
      <c r="K166" s="34"/>
      <c r="L166" s="34"/>
      <c r="M166" s="34"/>
      <c r="N166" s="34"/>
      <c r="O166" s="34"/>
      <c r="P166" s="34"/>
      <c r="Q166" s="34"/>
      <c r="R166" s="25"/>
      <c r="S166" s="34"/>
      <c r="T166" s="38"/>
      <c r="U166" s="38"/>
    </row>
    <row r="167" spans="1:21" s="252" customFormat="1" ht="33.6" customHeight="1" x14ac:dyDescent="0.3">
      <c r="A167" s="322" t="s">
        <v>268</v>
      </c>
      <c r="B167" s="322" t="s">
        <v>35</v>
      </c>
      <c r="C167" s="323" t="s">
        <v>485</v>
      </c>
      <c r="D167" s="201" t="s">
        <v>486</v>
      </c>
      <c r="E167" s="245" t="s">
        <v>87</v>
      </c>
      <c r="F167" s="31"/>
      <c r="G167" s="31"/>
      <c r="H167" s="31"/>
      <c r="I167" s="31"/>
      <c r="J167" s="31"/>
      <c r="K167" s="30">
        <f>J170</f>
        <v>186.4</v>
      </c>
      <c r="L167" s="30" t="s">
        <v>725</v>
      </c>
      <c r="M167" s="30">
        <f>ROUND(L167*(1+$N$11),2)</f>
        <v>56.62</v>
      </c>
      <c r="N167" s="30">
        <f>TRUNC($K167*M167,2)</f>
        <v>10553.96</v>
      </c>
      <c r="O167" s="30" t="s">
        <v>726</v>
      </c>
      <c r="P167" s="30">
        <f>ROUND(O167*(1+$Q$11),2)</f>
        <v>55.9</v>
      </c>
      <c r="Q167" s="30">
        <f>TRUNC($K167*P167,2)</f>
        <v>10419.76</v>
      </c>
      <c r="R167" s="25" t="s">
        <v>612</v>
      </c>
      <c r="S167" s="30"/>
      <c r="T167" s="32"/>
      <c r="U167" s="32"/>
    </row>
    <row r="168" spans="1:21" s="252" customFormat="1" ht="27.6" x14ac:dyDescent="0.3">
      <c r="A168" s="322"/>
      <c r="B168" s="322"/>
      <c r="C168" s="323"/>
      <c r="D168" s="213" t="s">
        <v>344</v>
      </c>
      <c r="E168" s="248"/>
      <c r="F168" s="30">
        <v>12</v>
      </c>
      <c r="G168" s="30">
        <v>4.7</v>
      </c>
      <c r="H168" s="30"/>
      <c r="I168" s="30"/>
      <c r="J168" s="34">
        <f>ROUND(PRODUCT(F168:I168),2)</f>
        <v>56.4</v>
      </c>
      <c r="K168" s="30"/>
      <c r="L168" s="30"/>
      <c r="M168" s="30"/>
      <c r="N168" s="30"/>
      <c r="O168" s="30"/>
      <c r="P168" s="30"/>
      <c r="Q168" s="30"/>
      <c r="R168" s="32"/>
      <c r="S168" s="30"/>
      <c r="T168" s="32"/>
      <c r="U168" s="32"/>
    </row>
    <row r="169" spans="1:21" s="252" customFormat="1" x14ac:dyDescent="0.3">
      <c r="A169" s="322"/>
      <c r="B169" s="322"/>
      <c r="C169" s="323"/>
      <c r="D169" s="213" t="s">
        <v>272</v>
      </c>
      <c r="E169" s="248"/>
      <c r="F169" s="30">
        <v>2</v>
      </c>
      <c r="G169" s="30">
        <v>65</v>
      </c>
      <c r="H169" s="30"/>
      <c r="I169" s="30"/>
      <c r="J169" s="34">
        <f>ROUND(PRODUCT(F169:I169),2)</f>
        <v>130</v>
      </c>
      <c r="K169" s="30"/>
      <c r="L169" s="30"/>
      <c r="M169" s="30"/>
      <c r="N169" s="30"/>
      <c r="O169" s="30"/>
      <c r="P169" s="30"/>
      <c r="Q169" s="30"/>
      <c r="R169" s="32"/>
      <c r="S169" s="30"/>
      <c r="T169" s="32"/>
      <c r="U169" s="32"/>
    </row>
    <row r="170" spans="1:21" s="276" customFormat="1" x14ac:dyDescent="0.3">
      <c r="A170" s="321"/>
      <c r="B170" s="321"/>
      <c r="C170" s="321"/>
      <c r="D170" s="36" t="str">
        <f>"Total item "&amp;A167</f>
        <v>Total item 7.6</v>
      </c>
      <c r="E170" s="244"/>
      <c r="F170" s="34"/>
      <c r="G170" s="34"/>
      <c r="H170" s="34"/>
      <c r="I170" s="34"/>
      <c r="J170" s="28">
        <f>SUM(J168:J169)</f>
        <v>186.4</v>
      </c>
      <c r="K170" s="34"/>
      <c r="L170" s="34"/>
      <c r="M170" s="34"/>
      <c r="N170" s="34"/>
      <c r="O170" s="34"/>
      <c r="P170" s="34"/>
      <c r="Q170" s="34"/>
      <c r="R170" s="25"/>
      <c r="S170" s="34"/>
      <c r="T170" s="25"/>
      <c r="U170" s="25"/>
    </row>
    <row r="171" spans="1:21" s="276" customFormat="1" x14ac:dyDescent="0.3">
      <c r="A171" s="320"/>
      <c r="B171" s="321"/>
      <c r="C171" s="321"/>
      <c r="D171" s="36"/>
      <c r="E171" s="244"/>
      <c r="F171" s="34"/>
      <c r="G171" s="34"/>
      <c r="H171" s="34"/>
      <c r="I171" s="34"/>
      <c r="J171" s="37"/>
      <c r="K171" s="34"/>
      <c r="L171" s="34"/>
      <c r="M171" s="34"/>
      <c r="N171" s="34"/>
      <c r="O171" s="34"/>
      <c r="P171" s="34"/>
      <c r="Q171" s="34"/>
      <c r="R171" s="25"/>
      <c r="S171" s="34"/>
      <c r="T171" s="38"/>
      <c r="U171" s="38"/>
    </row>
    <row r="172" spans="1:21" s="252" customFormat="1" ht="69" x14ac:dyDescent="0.3">
      <c r="A172" s="322" t="s">
        <v>268</v>
      </c>
      <c r="B172" s="322" t="s">
        <v>35</v>
      </c>
      <c r="C172" s="323" t="s">
        <v>732</v>
      </c>
      <c r="D172" s="201" t="s">
        <v>731</v>
      </c>
      <c r="E172" s="245" t="s">
        <v>87</v>
      </c>
      <c r="F172" s="31"/>
      <c r="G172" s="31"/>
      <c r="H172" s="31"/>
      <c r="I172" s="31"/>
      <c r="J172" s="31"/>
      <c r="K172" s="30">
        <f>J174</f>
        <v>50</v>
      </c>
      <c r="L172" s="30" t="s">
        <v>733</v>
      </c>
      <c r="M172" s="30">
        <f>ROUND(L172*(1+$N$11),2)</f>
        <v>164.4</v>
      </c>
      <c r="N172" s="30">
        <f>TRUNC($K172*M172,2)</f>
        <v>8220</v>
      </c>
      <c r="O172" s="30" t="s">
        <v>734</v>
      </c>
      <c r="P172" s="30">
        <f>ROUND(O172*(1+$Q$11),2)</f>
        <v>158.19999999999999</v>
      </c>
      <c r="Q172" s="30">
        <f>TRUNC($K172*P172,2)</f>
        <v>7910</v>
      </c>
      <c r="R172" s="25" t="s">
        <v>612</v>
      </c>
      <c r="S172" s="30"/>
      <c r="T172" s="32"/>
      <c r="U172" s="32"/>
    </row>
    <row r="173" spans="1:21" s="252" customFormat="1" x14ac:dyDescent="0.3">
      <c r="A173" s="322"/>
      <c r="B173" s="322"/>
      <c r="C173" s="323"/>
      <c r="D173" s="213" t="s">
        <v>272</v>
      </c>
      <c r="E173" s="248"/>
      <c r="F173" s="30"/>
      <c r="G173" s="30">
        <v>50</v>
      </c>
      <c r="H173" s="30"/>
      <c r="I173" s="30"/>
      <c r="J173" s="34">
        <f>ROUND(PRODUCT(F173:I173),2)</f>
        <v>50</v>
      </c>
      <c r="K173" s="30"/>
      <c r="L173" s="30"/>
      <c r="M173" s="30"/>
      <c r="N173" s="30"/>
      <c r="O173" s="30"/>
      <c r="P173" s="30"/>
      <c r="Q173" s="30"/>
      <c r="R173" s="32"/>
      <c r="S173" s="30"/>
      <c r="T173" s="32"/>
      <c r="U173" s="32"/>
    </row>
    <row r="174" spans="1:21" s="276" customFormat="1" x14ac:dyDescent="0.3">
      <c r="A174" s="321"/>
      <c r="B174" s="321"/>
      <c r="C174" s="321"/>
      <c r="D174" s="36" t="str">
        <f>"Total item "&amp;A172</f>
        <v>Total item 7.6</v>
      </c>
      <c r="E174" s="244"/>
      <c r="F174" s="34"/>
      <c r="G174" s="34"/>
      <c r="H174" s="34"/>
      <c r="I174" s="34"/>
      <c r="J174" s="28">
        <f>SUM(J173:J173)</f>
        <v>50</v>
      </c>
      <c r="K174" s="34"/>
      <c r="L174" s="34"/>
      <c r="M174" s="34"/>
      <c r="N174" s="34"/>
      <c r="O174" s="34"/>
      <c r="P174" s="34"/>
      <c r="Q174" s="34"/>
      <c r="R174" s="25"/>
      <c r="S174" s="34"/>
      <c r="T174" s="25"/>
      <c r="U174" s="25"/>
    </row>
    <row r="175" spans="1:21" s="276" customFormat="1" x14ac:dyDescent="0.3">
      <c r="A175" s="320"/>
      <c r="B175" s="321"/>
      <c r="C175" s="321"/>
      <c r="D175" s="36"/>
      <c r="E175" s="244"/>
      <c r="F175" s="34"/>
      <c r="G175" s="34"/>
      <c r="H175" s="34"/>
      <c r="I175" s="34"/>
      <c r="J175" s="37"/>
      <c r="K175" s="34"/>
      <c r="L175" s="34"/>
      <c r="M175" s="34"/>
      <c r="N175" s="34"/>
      <c r="O175" s="34"/>
      <c r="P175" s="34"/>
      <c r="Q175" s="34"/>
      <c r="R175" s="25"/>
      <c r="S175" s="34"/>
      <c r="T175" s="38"/>
      <c r="U175" s="38"/>
    </row>
    <row r="176" spans="1:21" s="252" customFormat="1" ht="55.2" x14ac:dyDescent="0.3">
      <c r="A176" s="322" t="s">
        <v>345</v>
      </c>
      <c r="B176" s="322" t="s">
        <v>35</v>
      </c>
      <c r="C176" s="323" t="s">
        <v>728</v>
      </c>
      <c r="D176" s="201" t="s">
        <v>727</v>
      </c>
      <c r="E176" s="245" t="s">
        <v>86</v>
      </c>
      <c r="F176" s="31"/>
      <c r="G176" s="31"/>
      <c r="H176" s="31"/>
      <c r="I176" s="31"/>
      <c r="J176" s="31"/>
      <c r="K176" s="30">
        <f>J178</f>
        <v>12</v>
      </c>
      <c r="L176" s="30" t="s">
        <v>729</v>
      </c>
      <c r="M176" s="30">
        <f>ROUND(L176*(1+$N$11),2)</f>
        <v>641.58000000000004</v>
      </c>
      <c r="N176" s="30">
        <f>TRUNC($K176*M176,2)</f>
        <v>7698.96</v>
      </c>
      <c r="O176" s="30" t="s">
        <v>730</v>
      </c>
      <c r="P176" s="30">
        <f>ROUND(O176*(1+$Q$11),2)</f>
        <v>641.75</v>
      </c>
      <c r="Q176" s="30">
        <f>TRUNC($K176*P176,2)</f>
        <v>7701</v>
      </c>
      <c r="R176" s="25" t="s">
        <v>612</v>
      </c>
      <c r="S176" s="30"/>
      <c r="T176" s="32"/>
      <c r="U176" s="32"/>
    </row>
    <row r="177" spans="1:21" s="252" customFormat="1" x14ac:dyDescent="0.3">
      <c r="A177" s="322"/>
      <c r="B177" s="322"/>
      <c r="C177" s="323"/>
      <c r="D177" s="213" t="s">
        <v>346</v>
      </c>
      <c r="E177" s="248"/>
      <c r="F177" s="30">
        <v>12</v>
      </c>
      <c r="G177" s="30"/>
      <c r="H177" s="30"/>
      <c r="I177" s="30"/>
      <c r="J177" s="34">
        <f>ROUND(PRODUCT(F177:I177),2)</f>
        <v>12</v>
      </c>
      <c r="K177" s="30"/>
      <c r="L177" s="30"/>
      <c r="M177" s="30"/>
      <c r="N177" s="30"/>
      <c r="O177" s="30"/>
      <c r="P177" s="30"/>
      <c r="Q177" s="30"/>
      <c r="R177" s="32"/>
      <c r="S177" s="30"/>
      <c r="T177" s="32"/>
      <c r="U177" s="32"/>
    </row>
    <row r="178" spans="1:21" s="276" customFormat="1" x14ac:dyDescent="0.3">
      <c r="A178" s="321"/>
      <c r="B178" s="321"/>
      <c r="C178" s="321"/>
      <c r="D178" s="36" t="str">
        <f>"Total item "&amp;A176</f>
        <v>Total item 7.7</v>
      </c>
      <c r="E178" s="244"/>
      <c r="F178" s="34"/>
      <c r="G178" s="34"/>
      <c r="H178" s="34"/>
      <c r="I178" s="34"/>
      <c r="J178" s="28">
        <f>SUM(J177:J177)</f>
        <v>12</v>
      </c>
      <c r="K178" s="34"/>
      <c r="L178" s="34"/>
      <c r="M178" s="34"/>
      <c r="N178" s="34"/>
      <c r="O178" s="34"/>
      <c r="P178" s="34"/>
      <c r="Q178" s="34"/>
      <c r="R178" s="25"/>
      <c r="S178" s="34"/>
      <c r="T178" s="25"/>
      <c r="U178" s="25"/>
    </row>
    <row r="179" spans="1:21" s="251" customFormat="1" x14ac:dyDescent="0.3">
      <c r="A179" s="329"/>
      <c r="B179" s="327"/>
      <c r="C179" s="327"/>
      <c r="D179" s="216"/>
      <c r="E179" s="250"/>
      <c r="F179" s="218"/>
      <c r="G179" s="218"/>
      <c r="H179" s="218"/>
      <c r="I179" s="218"/>
      <c r="J179" s="219"/>
      <c r="K179" s="218"/>
      <c r="L179" s="218"/>
      <c r="M179" s="218"/>
      <c r="N179" s="218"/>
      <c r="O179" s="218"/>
      <c r="P179" s="218"/>
      <c r="Q179" s="218"/>
      <c r="R179" s="220"/>
      <c r="S179" s="218"/>
      <c r="T179" s="221"/>
      <c r="U179" s="221"/>
    </row>
    <row r="180" spans="1:21" s="275" customFormat="1" x14ac:dyDescent="0.3">
      <c r="A180" s="328" t="s">
        <v>22</v>
      </c>
      <c r="B180" s="326"/>
      <c r="C180" s="326"/>
      <c r="D180" s="199" t="s">
        <v>269</v>
      </c>
      <c r="E180" s="243"/>
      <c r="F180" s="28"/>
      <c r="G180" s="28"/>
      <c r="H180" s="28"/>
      <c r="I180" s="28"/>
      <c r="J180" s="28"/>
      <c r="K180" s="28"/>
      <c r="L180" s="28"/>
      <c r="M180" s="28"/>
      <c r="N180" s="28">
        <f>SUM(N181:N227)</f>
        <v>209518.36</v>
      </c>
      <c r="O180" s="28"/>
      <c r="P180" s="28"/>
      <c r="Q180" s="28">
        <f>SUM(Q181:Q227)</f>
        <v>205025.82</v>
      </c>
      <c r="R180" s="171"/>
      <c r="S180" s="28"/>
      <c r="T180" s="202"/>
      <c r="U180" s="202"/>
    </row>
    <row r="181" spans="1:21" s="251" customFormat="1" x14ac:dyDescent="0.3">
      <c r="A181" s="329"/>
      <c r="B181" s="327"/>
      <c r="C181" s="327"/>
      <c r="D181" s="216"/>
      <c r="E181" s="250"/>
      <c r="F181" s="218"/>
      <c r="G181" s="218"/>
      <c r="H181" s="218"/>
      <c r="I181" s="218"/>
      <c r="J181" s="219"/>
      <c r="K181" s="218"/>
      <c r="L181" s="218"/>
      <c r="M181" s="218"/>
      <c r="N181" s="218"/>
      <c r="O181" s="218"/>
      <c r="P181" s="218"/>
      <c r="Q181" s="218"/>
      <c r="R181" s="220"/>
      <c r="S181" s="218"/>
      <c r="T181" s="221"/>
      <c r="U181" s="221"/>
    </row>
    <row r="182" spans="1:21" s="252" customFormat="1" ht="41.4" x14ac:dyDescent="0.3">
      <c r="A182" s="322" t="s">
        <v>140</v>
      </c>
      <c r="B182" s="322" t="s">
        <v>35</v>
      </c>
      <c r="C182" s="323" t="s">
        <v>274</v>
      </c>
      <c r="D182" s="201" t="s">
        <v>273</v>
      </c>
      <c r="E182" s="245" t="s">
        <v>88</v>
      </c>
      <c r="F182" s="31"/>
      <c r="G182" s="31"/>
      <c r="H182" s="31"/>
      <c r="I182" s="31"/>
      <c r="J182" s="31"/>
      <c r="K182" s="30">
        <f>J188</f>
        <v>15.36</v>
      </c>
      <c r="L182" s="30" t="s">
        <v>754</v>
      </c>
      <c r="M182" s="30">
        <f>ROUND(L182*(1+$N$11),2)</f>
        <v>872.74</v>
      </c>
      <c r="N182" s="30">
        <f>TRUNC($K182*M182,2)</f>
        <v>13405.28</v>
      </c>
      <c r="O182" s="30" t="s">
        <v>755</v>
      </c>
      <c r="P182" s="30">
        <f>ROUND(O182*(1+$Q$11),2)</f>
        <v>832.87</v>
      </c>
      <c r="Q182" s="30">
        <f>TRUNC($K182*P182,2)</f>
        <v>12792.88</v>
      </c>
      <c r="R182" s="25" t="s">
        <v>612</v>
      </c>
      <c r="S182" s="30"/>
      <c r="T182" s="32"/>
      <c r="U182" s="32"/>
    </row>
    <row r="183" spans="1:21" s="252" customFormat="1" x14ac:dyDescent="0.3">
      <c r="A183" s="322"/>
      <c r="B183" s="322"/>
      <c r="C183" s="323"/>
      <c r="D183" s="33" t="s">
        <v>763</v>
      </c>
      <c r="E183" s="245"/>
      <c r="F183" s="30"/>
      <c r="G183" s="30">
        <v>0.8</v>
      </c>
      <c r="H183" s="30"/>
      <c r="I183" s="30">
        <v>2.1</v>
      </c>
      <c r="J183" s="34">
        <f t="shared" ref="J183:J184" si="19">ROUND(PRODUCT(F183:I183),2)</f>
        <v>1.68</v>
      </c>
      <c r="K183" s="30"/>
      <c r="L183" s="30"/>
      <c r="M183" s="30"/>
      <c r="N183" s="30"/>
      <c r="O183" s="30"/>
      <c r="P183" s="30"/>
      <c r="Q183" s="30"/>
      <c r="R183" s="32"/>
      <c r="S183" s="30"/>
      <c r="T183" s="32"/>
      <c r="U183" s="32"/>
    </row>
    <row r="184" spans="1:21" s="252" customFormat="1" x14ac:dyDescent="0.3">
      <c r="A184" s="322"/>
      <c r="B184" s="322"/>
      <c r="C184" s="323"/>
      <c r="D184" s="33" t="s">
        <v>764</v>
      </c>
      <c r="E184" s="245"/>
      <c r="F184" s="30"/>
      <c r="G184" s="30">
        <v>0.6</v>
      </c>
      <c r="H184" s="30"/>
      <c r="I184" s="30">
        <v>2.1</v>
      </c>
      <c r="J184" s="34">
        <f t="shared" si="19"/>
        <v>1.26</v>
      </c>
      <c r="K184" s="30"/>
      <c r="L184" s="30"/>
      <c r="M184" s="30"/>
      <c r="N184" s="30"/>
      <c r="O184" s="30"/>
      <c r="P184" s="30"/>
      <c r="Q184" s="30"/>
      <c r="R184" s="32"/>
      <c r="S184" s="30"/>
      <c r="T184" s="32"/>
      <c r="U184" s="32"/>
    </row>
    <row r="185" spans="1:21" s="252" customFormat="1" x14ac:dyDescent="0.3">
      <c r="A185" s="322"/>
      <c r="B185" s="322"/>
      <c r="C185" s="323"/>
      <c r="D185" s="33" t="s">
        <v>756</v>
      </c>
      <c r="E185" s="245"/>
      <c r="F185" s="30">
        <v>2</v>
      </c>
      <c r="G185" s="30">
        <v>0.9</v>
      </c>
      <c r="H185" s="30"/>
      <c r="I185" s="30">
        <v>2.1</v>
      </c>
      <c r="J185" s="34">
        <f t="shared" ref="J185:J187" si="20">ROUND(PRODUCT(F185:I185),2)</f>
        <v>3.78</v>
      </c>
      <c r="K185" s="30"/>
      <c r="L185" s="30"/>
      <c r="M185" s="30"/>
      <c r="N185" s="30"/>
      <c r="O185" s="30"/>
      <c r="P185" s="30"/>
      <c r="Q185" s="30"/>
      <c r="R185" s="32"/>
      <c r="S185" s="30"/>
      <c r="T185" s="32"/>
      <c r="U185" s="32"/>
    </row>
    <row r="186" spans="1:21" s="252" customFormat="1" x14ac:dyDescent="0.3">
      <c r="A186" s="322"/>
      <c r="B186" s="322"/>
      <c r="C186" s="323"/>
      <c r="D186" s="33" t="s">
        <v>757</v>
      </c>
      <c r="E186" s="245"/>
      <c r="F186" s="30">
        <v>2</v>
      </c>
      <c r="G186" s="30">
        <v>0.9</v>
      </c>
      <c r="H186" s="30"/>
      <c r="I186" s="30">
        <v>1.6</v>
      </c>
      <c r="J186" s="34">
        <f t="shared" si="20"/>
        <v>2.88</v>
      </c>
      <c r="K186" s="30"/>
      <c r="L186" s="30"/>
      <c r="M186" s="30"/>
      <c r="N186" s="30"/>
      <c r="O186" s="30"/>
      <c r="P186" s="30"/>
      <c r="Q186" s="30"/>
      <c r="R186" s="32"/>
      <c r="S186" s="30"/>
      <c r="T186" s="32"/>
      <c r="U186" s="32"/>
    </row>
    <row r="187" spans="1:21" s="252" customFormat="1" x14ac:dyDescent="0.3">
      <c r="A187" s="322"/>
      <c r="B187" s="322"/>
      <c r="C187" s="323"/>
      <c r="D187" s="33" t="s">
        <v>758</v>
      </c>
      <c r="E187" s="245"/>
      <c r="F187" s="30">
        <v>6</v>
      </c>
      <c r="G187" s="30">
        <v>0.6</v>
      </c>
      <c r="H187" s="30"/>
      <c r="I187" s="30">
        <v>1.6</v>
      </c>
      <c r="J187" s="34">
        <f t="shared" si="20"/>
        <v>5.76</v>
      </c>
      <c r="K187" s="30"/>
      <c r="L187" s="30"/>
      <c r="M187" s="30"/>
      <c r="N187" s="30"/>
      <c r="O187" s="30"/>
      <c r="P187" s="30"/>
      <c r="Q187" s="30"/>
      <c r="R187" s="32"/>
      <c r="S187" s="30"/>
      <c r="T187" s="32"/>
      <c r="U187" s="32"/>
    </row>
    <row r="188" spans="1:21" s="276" customFormat="1" x14ac:dyDescent="0.3">
      <c r="A188" s="321"/>
      <c r="B188" s="321"/>
      <c r="C188" s="321"/>
      <c r="D188" s="36" t="str">
        <f>"Total item "&amp;A182</f>
        <v>Total item 8.1</v>
      </c>
      <c r="E188" s="244"/>
      <c r="F188" s="34"/>
      <c r="G188" s="34"/>
      <c r="H188" s="34"/>
      <c r="I188" s="34"/>
      <c r="J188" s="28">
        <f>SUM(J183:J187)</f>
        <v>15.36</v>
      </c>
      <c r="K188" s="34"/>
      <c r="L188" s="34"/>
      <c r="M188" s="34"/>
      <c r="N188" s="34"/>
      <c r="O188" s="34"/>
      <c r="P188" s="34"/>
      <c r="Q188" s="34"/>
      <c r="R188" s="25"/>
      <c r="S188" s="34"/>
      <c r="T188" s="25"/>
      <c r="U188" s="25"/>
    </row>
    <row r="189" spans="1:21" s="251" customFormat="1" x14ac:dyDescent="0.3">
      <c r="A189" s="329"/>
      <c r="B189" s="327"/>
      <c r="C189" s="327"/>
      <c r="D189" s="216"/>
      <c r="E189" s="250"/>
      <c r="F189" s="218"/>
      <c r="G189" s="218"/>
      <c r="H189" s="218"/>
      <c r="I189" s="218"/>
      <c r="J189" s="219"/>
      <c r="K189" s="218"/>
      <c r="L189" s="218"/>
      <c r="M189" s="218"/>
      <c r="N189" s="218"/>
      <c r="O189" s="218"/>
      <c r="P189" s="218"/>
      <c r="Q189" s="218"/>
      <c r="R189" s="220"/>
      <c r="S189" s="218"/>
      <c r="T189" s="221"/>
      <c r="U189" s="221"/>
    </row>
    <row r="190" spans="1:21" s="252" customFormat="1" ht="33.6" customHeight="1" x14ac:dyDescent="0.3">
      <c r="A190" s="322" t="s">
        <v>163</v>
      </c>
      <c r="B190" s="322" t="s">
        <v>478</v>
      </c>
      <c r="C190" s="323" t="s">
        <v>760</v>
      </c>
      <c r="D190" s="201" t="s">
        <v>759</v>
      </c>
      <c r="E190" s="245" t="s">
        <v>86</v>
      </c>
      <c r="F190" s="31"/>
      <c r="G190" s="31"/>
      <c r="H190" s="31"/>
      <c r="I190" s="31"/>
      <c r="J190" s="31"/>
      <c r="K190" s="30">
        <f>J200</f>
        <v>63.97</v>
      </c>
      <c r="L190" s="446">
        <v>356.32</v>
      </c>
      <c r="M190" s="30">
        <f>ROUND(L190*(1+$N$11),2)</f>
        <v>450.85</v>
      </c>
      <c r="N190" s="30">
        <f>TRUNC($K190*M190,2)</f>
        <v>28840.87</v>
      </c>
      <c r="O190" s="30">
        <v>356.32</v>
      </c>
      <c r="P190" s="30">
        <f>ROUND(O190*(1+$Q$11),2)</f>
        <v>429.37</v>
      </c>
      <c r="Q190" s="30">
        <f>TRUNC($K190*P190,2)</f>
        <v>27466.79</v>
      </c>
      <c r="R190" s="25" t="s">
        <v>612</v>
      </c>
      <c r="S190" s="30"/>
      <c r="T190" s="32"/>
      <c r="U190" s="32"/>
    </row>
    <row r="191" spans="1:21" s="252" customFormat="1" x14ac:dyDescent="0.3">
      <c r="A191" s="322"/>
      <c r="B191" s="322"/>
      <c r="C191" s="323"/>
      <c r="D191" s="33" t="s">
        <v>418</v>
      </c>
      <c r="E191" s="245"/>
      <c r="F191" s="30"/>
      <c r="G191" s="30">
        <v>3.1</v>
      </c>
      <c r="H191" s="30"/>
      <c r="I191" s="30">
        <v>2.7</v>
      </c>
      <c r="J191" s="34">
        <f t="shared" ref="J191:J199" si="21">ROUND(PRODUCT(F191:I191),2)</f>
        <v>8.3699999999999992</v>
      </c>
      <c r="K191" s="30"/>
      <c r="L191" s="30"/>
      <c r="M191" s="30"/>
      <c r="N191" s="30"/>
      <c r="O191" s="30"/>
      <c r="P191" s="30"/>
      <c r="Q191" s="30"/>
      <c r="R191" s="32"/>
      <c r="S191" s="30"/>
      <c r="T191" s="32"/>
      <c r="U191" s="32"/>
    </row>
    <row r="192" spans="1:21" s="252" customFormat="1" x14ac:dyDescent="0.3">
      <c r="A192" s="322"/>
      <c r="B192" s="322"/>
      <c r="C192" s="323"/>
      <c r="D192" s="33" t="s">
        <v>347</v>
      </c>
      <c r="E192" s="245"/>
      <c r="F192" s="30"/>
      <c r="G192" s="30">
        <v>1.9</v>
      </c>
      <c r="H192" s="30"/>
      <c r="I192" s="30">
        <v>2.7</v>
      </c>
      <c r="J192" s="34">
        <f t="shared" si="21"/>
        <v>5.13</v>
      </c>
      <c r="K192" s="30"/>
      <c r="L192" s="30"/>
      <c r="M192" s="30"/>
      <c r="N192" s="30"/>
      <c r="O192" s="30"/>
      <c r="P192" s="30"/>
      <c r="Q192" s="30"/>
      <c r="R192" s="32"/>
      <c r="S192" s="30"/>
      <c r="T192" s="32"/>
      <c r="U192" s="32"/>
    </row>
    <row r="193" spans="1:21" s="252" customFormat="1" x14ac:dyDescent="0.3">
      <c r="A193" s="322"/>
      <c r="B193" s="322"/>
      <c r="C193" s="323"/>
      <c r="D193" s="33" t="s">
        <v>348</v>
      </c>
      <c r="E193" s="245"/>
      <c r="F193" s="30"/>
      <c r="G193" s="30">
        <v>2.65</v>
      </c>
      <c r="H193" s="30"/>
      <c r="I193" s="30">
        <v>2.7</v>
      </c>
      <c r="J193" s="34">
        <f t="shared" si="21"/>
        <v>7.16</v>
      </c>
      <c r="K193" s="30"/>
      <c r="L193" s="30"/>
      <c r="M193" s="30"/>
      <c r="N193" s="30"/>
      <c r="O193" s="30"/>
      <c r="P193" s="30"/>
      <c r="Q193" s="30"/>
      <c r="R193" s="32"/>
      <c r="S193" s="30"/>
      <c r="T193" s="32"/>
      <c r="U193" s="32"/>
    </row>
    <row r="194" spans="1:21" s="252" customFormat="1" x14ac:dyDescent="0.3">
      <c r="A194" s="322"/>
      <c r="B194" s="322"/>
      <c r="C194" s="323"/>
      <c r="D194" s="33" t="s">
        <v>487</v>
      </c>
      <c r="E194" s="245"/>
      <c r="F194" s="30"/>
      <c r="G194" s="30">
        <v>3</v>
      </c>
      <c r="H194" s="30"/>
      <c r="I194" s="30">
        <v>2.7</v>
      </c>
      <c r="J194" s="34">
        <f t="shared" si="21"/>
        <v>8.1</v>
      </c>
      <c r="K194" s="30"/>
      <c r="L194" s="30"/>
      <c r="M194" s="30"/>
      <c r="N194" s="30"/>
      <c r="O194" s="30"/>
      <c r="P194" s="30"/>
      <c r="Q194" s="30"/>
      <c r="R194" s="32"/>
      <c r="S194" s="30"/>
      <c r="T194" s="32"/>
      <c r="U194" s="32"/>
    </row>
    <row r="195" spans="1:21" s="252" customFormat="1" x14ac:dyDescent="0.3">
      <c r="A195" s="322"/>
      <c r="B195" s="322"/>
      <c r="C195" s="323"/>
      <c r="D195" s="33" t="s">
        <v>488</v>
      </c>
      <c r="E195" s="245"/>
      <c r="F195" s="30">
        <v>2</v>
      </c>
      <c r="G195" s="30">
        <v>3.2</v>
      </c>
      <c r="H195" s="30"/>
      <c r="I195" s="30">
        <v>2.7</v>
      </c>
      <c r="J195" s="34">
        <f t="shared" si="21"/>
        <v>17.28</v>
      </c>
      <c r="K195" s="30"/>
      <c r="L195" s="30"/>
      <c r="M195" s="30"/>
      <c r="N195" s="30"/>
      <c r="O195" s="30"/>
      <c r="P195" s="30"/>
      <c r="Q195" s="30"/>
      <c r="R195" s="32"/>
      <c r="S195" s="30"/>
      <c r="T195" s="32"/>
      <c r="U195" s="32"/>
    </row>
    <row r="196" spans="1:21" s="252" customFormat="1" x14ac:dyDescent="0.3">
      <c r="A196" s="322"/>
      <c r="B196" s="322"/>
      <c r="C196" s="323"/>
      <c r="D196" s="33" t="s">
        <v>761</v>
      </c>
      <c r="E196" s="245"/>
      <c r="F196" s="30"/>
      <c r="G196" s="30">
        <v>2.85</v>
      </c>
      <c r="H196" s="30"/>
      <c r="I196" s="30">
        <v>2.7</v>
      </c>
      <c r="J196" s="34">
        <f t="shared" si="21"/>
        <v>7.7</v>
      </c>
      <c r="K196" s="30"/>
      <c r="L196" s="30"/>
      <c r="M196" s="30"/>
      <c r="N196" s="30"/>
      <c r="O196" s="30"/>
      <c r="P196" s="30"/>
      <c r="Q196" s="30"/>
      <c r="R196" s="32"/>
      <c r="S196" s="30"/>
      <c r="T196" s="32"/>
      <c r="U196" s="32"/>
    </row>
    <row r="197" spans="1:21" s="252" customFormat="1" x14ac:dyDescent="0.3">
      <c r="A197" s="322"/>
      <c r="B197" s="322"/>
      <c r="C197" s="323"/>
      <c r="D197" s="33" t="s">
        <v>762</v>
      </c>
      <c r="E197" s="245"/>
      <c r="F197" s="30"/>
      <c r="G197" s="30">
        <v>2.7</v>
      </c>
      <c r="H197" s="30"/>
      <c r="I197" s="30">
        <v>2.7</v>
      </c>
      <c r="J197" s="34">
        <f t="shared" si="21"/>
        <v>7.29</v>
      </c>
      <c r="K197" s="30"/>
      <c r="L197" s="30"/>
      <c r="M197" s="30"/>
      <c r="N197" s="30"/>
      <c r="O197" s="30"/>
      <c r="P197" s="30"/>
      <c r="Q197" s="30"/>
      <c r="R197" s="32"/>
      <c r="S197" s="30"/>
      <c r="T197" s="32"/>
      <c r="U197" s="32"/>
    </row>
    <row r="198" spans="1:21" s="252" customFormat="1" x14ac:dyDescent="0.3">
      <c r="A198" s="322"/>
      <c r="B198" s="322"/>
      <c r="C198" s="323"/>
      <c r="D198" s="33" t="s">
        <v>763</v>
      </c>
      <c r="E198" s="245"/>
      <c r="F198" s="30"/>
      <c r="G198" s="30">
        <v>0.8</v>
      </c>
      <c r="H198" s="30"/>
      <c r="I198" s="30">
        <v>2.1</v>
      </c>
      <c r="J198" s="34">
        <f t="shared" si="21"/>
        <v>1.68</v>
      </c>
      <c r="K198" s="30"/>
      <c r="L198" s="30"/>
      <c r="M198" s="30"/>
      <c r="N198" s="30"/>
      <c r="O198" s="30"/>
      <c r="P198" s="30"/>
      <c r="Q198" s="30"/>
      <c r="R198" s="32"/>
      <c r="S198" s="30"/>
      <c r="T198" s="32"/>
      <c r="U198" s="32"/>
    </row>
    <row r="199" spans="1:21" s="252" customFormat="1" x14ac:dyDescent="0.3">
      <c r="A199" s="322"/>
      <c r="B199" s="322"/>
      <c r="C199" s="323"/>
      <c r="D199" s="33" t="s">
        <v>764</v>
      </c>
      <c r="E199" s="245"/>
      <c r="F199" s="30"/>
      <c r="G199" s="30">
        <v>0.6</v>
      </c>
      <c r="H199" s="30"/>
      <c r="I199" s="30">
        <v>2.1</v>
      </c>
      <c r="J199" s="34">
        <f t="shared" si="21"/>
        <v>1.26</v>
      </c>
      <c r="K199" s="30"/>
      <c r="L199" s="30"/>
      <c r="M199" s="30"/>
      <c r="N199" s="30"/>
      <c r="O199" s="30"/>
      <c r="P199" s="30"/>
      <c r="Q199" s="30"/>
      <c r="R199" s="32"/>
      <c r="S199" s="30"/>
      <c r="T199" s="32"/>
      <c r="U199" s="32"/>
    </row>
    <row r="200" spans="1:21" s="276" customFormat="1" x14ac:dyDescent="0.3">
      <c r="A200" s="321"/>
      <c r="B200" s="321"/>
      <c r="C200" s="321"/>
      <c r="D200" s="36" t="str">
        <f>"Total item "&amp;A190</f>
        <v>Total item 8.2</v>
      </c>
      <c r="E200" s="244"/>
      <c r="F200" s="34"/>
      <c r="G200" s="34"/>
      <c r="H200" s="34"/>
      <c r="I200" s="34"/>
      <c r="J200" s="28">
        <f>SUM(J191:J199)</f>
        <v>63.97</v>
      </c>
      <c r="K200" s="34"/>
      <c r="L200" s="34"/>
      <c r="M200" s="34"/>
      <c r="N200" s="34"/>
      <c r="O200" s="34"/>
      <c r="P200" s="34"/>
      <c r="Q200" s="34"/>
      <c r="R200" s="25"/>
      <c r="S200" s="34"/>
      <c r="T200" s="25"/>
      <c r="U200" s="25"/>
    </row>
    <row r="201" spans="1:21" s="251" customFormat="1" x14ac:dyDescent="0.3">
      <c r="A201" s="329"/>
      <c r="B201" s="327"/>
      <c r="C201" s="327"/>
      <c r="D201" s="216"/>
      <c r="E201" s="250"/>
      <c r="F201" s="218"/>
      <c r="G201" s="218"/>
      <c r="H201" s="218"/>
      <c r="I201" s="218"/>
      <c r="J201" s="219"/>
      <c r="K201" s="218"/>
      <c r="L201" s="218"/>
      <c r="M201" s="218"/>
      <c r="N201" s="218"/>
      <c r="O201" s="218"/>
      <c r="P201" s="218"/>
      <c r="Q201" s="218"/>
      <c r="R201" s="220"/>
      <c r="S201" s="218"/>
      <c r="T201" s="221"/>
      <c r="U201" s="221"/>
    </row>
    <row r="202" spans="1:21" s="252" customFormat="1" ht="27.6" x14ac:dyDescent="0.3">
      <c r="A202" s="322" t="s">
        <v>164</v>
      </c>
      <c r="B202" s="322" t="s">
        <v>35</v>
      </c>
      <c r="C202" s="323" t="s">
        <v>270</v>
      </c>
      <c r="D202" s="201" t="s">
        <v>271</v>
      </c>
      <c r="E202" s="245" t="s">
        <v>88</v>
      </c>
      <c r="F202" s="31"/>
      <c r="G202" s="31"/>
      <c r="H202" s="31"/>
      <c r="I202" s="31"/>
      <c r="J202" s="31"/>
      <c r="K202" s="30">
        <f>J205</f>
        <v>3.96</v>
      </c>
      <c r="L202" s="446" t="s">
        <v>765</v>
      </c>
      <c r="M202" s="30">
        <f>ROUND(L202*(1+$N$11),2)</f>
        <v>880.67</v>
      </c>
      <c r="N202" s="30">
        <f>TRUNC($K202*M202,2)</f>
        <v>3487.45</v>
      </c>
      <c r="O202" s="446" t="s">
        <v>766</v>
      </c>
      <c r="P202" s="30">
        <f>ROUND(O202*(1+$Q$11),2)</f>
        <v>840.64</v>
      </c>
      <c r="Q202" s="30">
        <f>TRUNC($K202*P202,2)</f>
        <v>3328.93</v>
      </c>
      <c r="R202" s="25" t="s">
        <v>612</v>
      </c>
      <c r="S202" s="30"/>
      <c r="T202" s="32"/>
      <c r="U202" s="32"/>
    </row>
    <row r="203" spans="1:21" s="252" customFormat="1" x14ac:dyDescent="0.3">
      <c r="A203" s="322"/>
      <c r="B203" s="322"/>
      <c r="C203" s="323"/>
      <c r="D203" s="33" t="s">
        <v>763</v>
      </c>
      <c r="E203" s="245"/>
      <c r="F203" s="30"/>
      <c r="G203" s="30">
        <v>1</v>
      </c>
      <c r="H203" s="30"/>
      <c r="I203" s="30">
        <v>2.2000000000000002</v>
      </c>
      <c r="J203" s="34">
        <f t="shared" ref="J203:J204" si="22">ROUND(PRODUCT(F203:I203),2)</f>
        <v>2.2000000000000002</v>
      </c>
      <c r="K203" s="30"/>
      <c r="L203" s="30"/>
      <c r="M203" s="30"/>
      <c r="N203" s="30"/>
      <c r="O203" s="30"/>
      <c r="P203" s="30"/>
      <c r="Q203" s="30"/>
      <c r="R203" s="25"/>
      <c r="S203" s="30"/>
      <c r="T203" s="32"/>
      <c r="U203" s="32"/>
    </row>
    <row r="204" spans="1:21" s="252" customFormat="1" x14ac:dyDescent="0.3">
      <c r="A204" s="322"/>
      <c r="B204" s="322"/>
      <c r="C204" s="323"/>
      <c r="D204" s="33" t="s">
        <v>764</v>
      </c>
      <c r="E204" s="245"/>
      <c r="F204" s="30"/>
      <c r="G204" s="30">
        <v>0.8</v>
      </c>
      <c r="H204" s="30"/>
      <c r="I204" s="30">
        <v>2.2000000000000002</v>
      </c>
      <c r="J204" s="34">
        <f t="shared" si="22"/>
        <v>1.76</v>
      </c>
      <c r="K204" s="30"/>
      <c r="L204" s="30"/>
      <c r="M204" s="30"/>
      <c r="N204" s="30"/>
      <c r="O204" s="30"/>
      <c r="P204" s="30"/>
      <c r="Q204" s="30"/>
      <c r="R204" s="25"/>
      <c r="S204" s="30"/>
      <c r="T204" s="32"/>
      <c r="U204" s="32"/>
    </row>
    <row r="205" spans="1:21" s="276" customFormat="1" x14ac:dyDescent="0.3">
      <c r="A205" s="321"/>
      <c r="B205" s="321"/>
      <c r="C205" s="321"/>
      <c r="D205" s="36" t="str">
        <f>"Total item "&amp;A202</f>
        <v>Total item 8.3</v>
      </c>
      <c r="E205" s="244"/>
      <c r="F205" s="34"/>
      <c r="G205" s="34"/>
      <c r="H205" s="34"/>
      <c r="I205" s="34"/>
      <c r="J205" s="28">
        <f>SUM(J203:J204)</f>
        <v>3.96</v>
      </c>
      <c r="K205" s="34"/>
      <c r="L205" s="34"/>
      <c r="M205" s="34"/>
      <c r="N205" s="34"/>
      <c r="O205" s="34"/>
      <c r="P205" s="34"/>
      <c r="Q205" s="34"/>
      <c r="R205" s="25"/>
      <c r="S205" s="34"/>
      <c r="T205" s="25"/>
      <c r="U205" s="25"/>
    </row>
    <row r="206" spans="1:21" s="251" customFormat="1" x14ac:dyDescent="0.3">
      <c r="A206" s="329"/>
      <c r="B206" s="327"/>
      <c r="C206" s="327"/>
      <c r="D206" s="216"/>
      <c r="E206" s="250"/>
      <c r="F206" s="218"/>
      <c r="G206" s="218"/>
      <c r="H206" s="218"/>
      <c r="I206" s="218"/>
      <c r="J206" s="219"/>
      <c r="K206" s="218"/>
      <c r="L206" s="218"/>
      <c r="M206" s="218"/>
      <c r="N206" s="218"/>
      <c r="O206" s="218"/>
      <c r="P206" s="218"/>
      <c r="Q206" s="218"/>
      <c r="R206" s="220"/>
      <c r="S206" s="218"/>
      <c r="T206" s="221"/>
      <c r="U206" s="221"/>
    </row>
    <row r="207" spans="1:21" s="252" customFormat="1" ht="96.6" x14ac:dyDescent="0.3">
      <c r="A207" s="322" t="s">
        <v>165</v>
      </c>
      <c r="B207" s="322" t="s">
        <v>35</v>
      </c>
      <c r="C207" s="323" t="s">
        <v>596</v>
      </c>
      <c r="D207" s="201" t="s">
        <v>767</v>
      </c>
      <c r="E207" s="245" t="s">
        <v>88</v>
      </c>
      <c r="F207" s="31"/>
      <c r="G207" s="31"/>
      <c r="H207" s="31"/>
      <c r="I207" s="31"/>
      <c r="J207" s="31"/>
      <c r="K207" s="30">
        <f>J209</f>
        <v>4.95</v>
      </c>
      <c r="L207" s="446">
        <v>233.75</v>
      </c>
      <c r="M207" s="30">
        <f>ROUND(L207*(1+$N$11),2)</f>
        <v>295.76</v>
      </c>
      <c r="N207" s="30">
        <f>TRUNC($K207*M207,2)</f>
        <v>1464.01</v>
      </c>
      <c r="O207" s="446">
        <v>234.73</v>
      </c>
      <c r="P207" s="30">
        <f>ROUND(O207*(1+$Q$11),2)</f>
        <v>282.85000000000002</v>
      </c>
      <c r="Q207" s="30">
        <f>TRUNC($K207*P207,2)</f>
        <v>1400.1</v>
      </c>
      <c r="R207" s="25" t="s">
        <v>612</v>
      </c>
      <c r="S207" s="30"/>
      <c r="T207" s="32"/>
      <c r="U207" s="32"/>
    </row>
    <row r="208" spans="1:21" s="252" customFormat="1" x14ac:dyDescent="0.3">
      <c r="A208" s="322"/>
      <c r="B208" s="322"/>
      <c r="C208" s="323"/>
      <c r="D208" s="33" t="s">
        <v>768</v>
      </c>
      <c r="E208" s="245"/>
      <c r="F208" s="30">
        <v>3</v>
      </c>
      <c r="G208" s="30">
        <v>1.65</v>
      </c>
      <c r="H208" s="30"/>
      <c r="I208" s="30">
        <v>1</v>
      </c>
      <c r="J208" s="34">
        <f t="shared" ref="J208" si="23">ROUND(PRODUCT(F208:I208),2)</f>
        <v>4.95</v>
      </c>
      <c r="K208" s="30"/>
      <c r="L208" s="30"/>
      <c r="M208" s="30"/>
      <c r="N208" s="30"/>
      <c r="O208" s="30"/>
      <c r="P208" s="30"/>
      <c r="Q208" s="30"/>
      <c r="R208" s="32"/>
      <c r="S208" s="30"/>
      <c r="T208" s="32"/>
      <c r="U208" s="32"/>
    </row>
    <row r="209" spans="1:21" s="276" customFormat="1" x14ac:dyDescent="0.3">
      <c r="A209" s="321"/>
      <c r="B209" s="321"/>
      <c r="C209" s="321"/>
      <c r="D209" s="36" t="str">
        <f>"Total item "&amp;A207</f>
        <v>Total item 8.4</v>
      </c>
      <c r="E209" s="244"/>
      <c r="F209" s="34"/>
      <c r="G209" s="34"/>
      <c r="H209" s="34"/>
      <c r="I209" s="34"/>
      <c r="J209" s="28">
        <f>SUM(J208:J208)</f>
        <v>4.95</v>
      </c>
      <c r="K209" s="34"/>
      <c r="L209" s="34"/>
      <c r="M209" s="34"/>
      <c r="N209" s="34"/>
      <c r="O209" s="34"/>
      <c r="P209" s="34"/>
      <c r="Q209" s="34"/>
      <c r="R209" s="25"/>
      <c r="S209" s="34"/>
      <c r="T209" s="25"/>
      <c r="U209" s="25"/>
    </row>
    <row r="210" spans="1:21" s="251" customFormat="1" x14ac:dyDescent="0.3">
      <c r="A210" s="329"/>
      <c r="B210" s="327"/>
      <c r="C210" s="327"/>
      <c r="D210" s="216"/>
      <c r="E210" s="250"/>
      <c r="F210" s="218"/>
      <c r="G210" s="218"/>
      <c r="H210" s="218"/>
      <c r="I210" s="218"/>
      <c r="J210" s="219"/>
      <c r="K210" s="218"/>
      <c r="L210" s="218"/>
      <c r="M210" s="218"/>
      <c r="N210" s="218"/>
      <c r="O210" s="218"/>
      <c r="P210" s="218"/>
      <c r="Q210" s="218"/>
      <c r="R210" s="220"/>
      <c r="S210" s="218"/>
      <c r="T210" s="221"/>
      <c r="U210" s="221"/>
    </row>
    <row r="211" spans="1:21" s="252" customFormat="1" ht="42" customHeight="1" x14ac:dyDescent="0.3">
      <c r="A211" s="322" t="s">
        <v>247</v>
      </c>
      <c r="B211" s="322" t="s">
        <v>35</v>
      </c>
      <c r="C211" s="323" t="s">
        <v>420</v>
      </c>
      <c r="D211" s="201" t="s">
        <v>419</v>
      </c>
      <c r="E211" s="245" t="s">
        <v>86</v>
      </c>
      <c r="F211" s="31"/>
      <c r="G211" s="31"/>
      <c r="H211" s="31"/>
      <c r="I211" s="31"/>
      <c r="J211" s="31"/>
      <c r="K211" s="30">
        <f>J217</f>
        <v>12</v>
      </c>
      <c r="L211" s="446" t="s">
        <v>769</v>
      </c>
      <c r="M211" s="30">
        <f>ROUND(L211*(1+$N$11),2)</f>
        <v>133.86000000000001</v>
      </c>
      <c r="N211" s="30">
        <f>TRUNC($K211*M211,2)</f>
        <v>1606.32</v>
      </c>
      <c r="O211" s="446" t="s">
        <v>770</v>
      </c>
      <c r="P211" s="30">
        <f>ROUND(O211*(1+$Q$11),2)</f>
        <v>130.94999999999999</v>
      </c>
      <c r="Q211" s="30">
        <f>TRUNC($K211*P211,2)</f>
        <v>1571.4</v>
      </c>
      <c r="R211" s="25" t="s">
        <v>612</v>
      </c>
      <c r="S211" s="30"/>
      <c r="T211" s="32"/>
      <c r="U211" s="32"/>
    </row>
    <row r="212" spans="1:21" s="252" customFormat="1" x14ac:dyDescent="0.3">
      <c r="A212" s="322"/>
      <c r="B212" s="322"/>
      <c r="C212" s="323"/>
      <c r="D212" s="33" t="s">
        <v>763</v>
      </c>
      <c r="E212" s="245"/>
      <c r="F212" s="30">
        <v>1</v>
      </c>
      <c r="G212" s="30"/>
      <c r="H212" s="30"/>
      <c r="I212" s="30"/>
      <c r="J212" s="34">
        <f t="shared" ref="J212:J216" si="24">ROUND(PRODUCT(F212:I212),2)</f>
        <v>1</v>
      </c>
      <c r="K212" s="30"/>
      <c r="L212" s="30"/>
      <c r="M212" s="30"/>
      <c r="N212" s="30"/>
      <c r="O212" s="30"/>
      <c r="P212" s="30"/>
      <c r="Q212" s="30"/>
      <c r="R212" s="32"/>
      <c r="S212" s="30"/>
      <c r="T212" s="32"/>
      <c r="U212" s="32"/>
    </row>
    <row r="213" spans="1:21" s="252" customFormat="1" x14ac:dyDescent="0.3">
      <c r="A213" s="322"/>
      <c r="B213" s="322"/>
      <c r="C213" s="323"/>
      <c r="D213" s="33" t="s">
        <v>764</v>
      </c>
      <c r="E213" s="245"/>
      <c r="F213" s="30">
        <v>1</v>
      </c>
      <c r="G213" s="30"/>
      <c r="H213" s="30"/>
      <c r="I213" s="30"/>
      <c r="J213" s="34">
        <f t="shared" si="24"/>
        <v>1</v>
      </c>
      <c r="K213" s="30"/>
      <c r="L213" s="30"/>
      <c r="M213" s="30"/>
      <c r="N213" s="30"/>
      <c r="O213" s="30"/>
      <c r="P213" s="30"/>
      <c r="Q213" s="30"/>
      <c r="R213" s="32"/>
      <c r="S213" s="30"/>
      <c r="T213" s="32"/>
      <c r="U213" s="32"/>
    </row>
    <row r="214" spans="1:21" s="252" customFormat="1" x14ac:dyDescent="0.3">
      <c r="A214" s="322"/>
      <c r="B214" s="322"/>
      <c r="C214" s="323"/>
      <c r="D214" s="33" t="s">
        <v>756</v>
      </c>
      <c r="E214" s="245"/>
      <c r="F214" s="30">
        <v>2</v>
      </c>
      <c r="G214" s="30"/>
      <c r="H214" s="30"/>
      <c r="I214" s="30"/>
      <c r="J214" s="34">
        <f t="shared" si="24"/>
        <v>2</v>
      </c>
      <c r="K214" s="30"/>
      <c r="L214" s="30"/>
      <c r="M214" s="30"/>
      <c r="N214" s="30"/>
      <c r="O214" s="30"/>
      <c r="P214" s="30"/>
      <c r="Q214" s="30"/>
      <c r="R214" s="32"/>
      <c r="S214" s="30"/>
      <c r="T214" s="32"/>
      <c r="U214" s="32"/>
    </row>
    <row r="215" spans="1:21" s="252" customFormat="1" x14ac:dyDescent="0.3">
      <c r="A215" s="322"/>
      <c r="B215" s="322"/>
      <c r="C215" s="323"/>
      <c r="D215" s="33" t="s">
        <v>757</v>
      </c>
      <c r="E215" s="245"/>
      <c r="F215" s="30">
        <v>2</v>
      </c>
      <c r="G215" s="30"/>
      <c r="H215" s="30"/>
      <c r="I215" s="30"/>
      <c r="J215" s="34">
        <f t="shared" si="24"/>
        <v>2</v>
      </c>
      <c r="K215" s="30"/>
      <c r="L215" s="30"/>
      <c r="M215" s="30"/>
      <c r="N215" s="30"/>
      <c r="O215" s="30"/>
      <c r="P215" s="30"/>
      <c r="Q215" s="30"/>
      <c r="R215" s="32"/>
      <c r="S215" s="30"/>
      <c r="T215" s="32"/>
      <c r="U215" s="32"/>
    </row>
    <row r="216" spans="1:21" s="252" customFormat="1" x14ac:dyDescent="0.3">
      <c r="A216" s="322"/>
      <c r="B216" s="322"/>
      <c r="C216" s="323"/>
      <c r="D216" s="33" t="s">
        <v>758</v>
      </c>
      <c r="E216" s="245"/>
      <c r="F216" s="30">
        <v>6</v>
      </c>
      <c r="G216" s="30"/>
      <c r="H216" s="30"/>
      <c r="I216" s="30"/>
      <c r="J216" s="34">
        <f t="shared" si="24"/>
        <v>6</v>
      </c>
      <c r="K216" s="30"/>
      <c r="L216" s="30"/>
      <c r="M216" s="30"/>
      <c r="N216" s="30"/>
      <c r="O216" s="30"/>
      <c r="P216" s="30"/>
      <c r="Q216" s="30"/>
      <c r="R216" s="32"/>
      <c r="S216" s="30"/>
      <c r="T216" s="32"/>
      <c r="U216" s="32"/>
    </row>
    <row r="217" spans="1:21" s="276" customFormat="1" x14ac:dyDescent="0.3">
      <c r="A217" s="321"/>
      <c r="B217" s="321"/>
      <c r="C217" s="321"/>
      <c r="D217" s="36" t="str">
        <f>"Total item "&amp;A211</f>
        <v>Total item 8.5</v>
      </c>
      <c r="E217" s="244"/>
      <c r="F217" s="34"/>
      <c r="G217" s="34"/>
      <c r="H217" s="34"/>
      <c r="I217" s="34"/>
      <c r="J217" s="28">
        <f>SUM(J212:J216)</f>
        <v>12</v>
      </c>
      <c r="K217" s="34"/>
      <c r="L217" s="34"/>
      <c r="M217" s="34"/>
      <c r="N217" s="34"/>
      <c r="O217" s="34"/>
      <c r="P217" s="34"/>
      <c r="Q217" s="34"/>
      <c r="R217" s="25"/>
      <c r="S217" s="34"/>
      <c r="T217" s="25"/>
      <c r="U217" s="25"/>
    </row>
    <row r="218" spans="1:21" s="251" customFormat="1" x14ac:dyDescent="0.3">
      <c r="A218" s="329"/>
      <c r="B218" s="327"/>
      <c r="C218" s="327"/>
      <c r="D218" s="216"/>
      <c r="E218" s="250"/>
      <c r="F218" s="218"/>
      <c r="G218" s="218"/>
      <c r="H218" s="218"/>
      <c r="I218" s="218"/>
      <c r="J218" s="219"/>
      <c r="K218" s="218"/>
      <c r="L218" s="218"/>
      <c r="M218" s="218"/>
      <c r="N218" s="218"/>
      <c r="O218" s="218"/>
      <c r="P218" s="218"/>
      <c r="Q218" s="218"/>
      <c r="R218" s="220"/>
      <c r="S218" s="218"/>
      <c r="T218" s="221"/>
      <c r="U218" s="221"/>
    </row>
    <row r="219" spans="1:21" s="252" customFormat="1" ht="27.6" x14ac:dyDescent="0.3">
      <c r="A219" s="322" t="s">
        <v>248</v>
      </c>
      <c r="B219" s="322" t="s">
        <v>478</v>
      </c>
      <c r="C219" s="323" t="s">
        <v>772</v>
      </c>
      <c r="D219" s="201" t="s">
        <v>771</v>
      </c>
      <c r="E219" s="245" t="s">
        <v>87</v>
      </c>
      <c r="F219" s="31"/>
      <c r="G219" s="31" t="s">
        <v>191</v>
      </c>
      <c r="H219" s="31"/>
      <c r="I219" s="31"/>
      <c r="J219" s="31"/>
      <c r="K219" s="30">
        <f>J222</f>
        <v>1271.6199999999999</v>
      </c>
      <c r="L219" s="446" t="s">
        <v>773</v>
      </c>
      <c r="M219" s="30">
        <f>ROUND(L219*(1+$N$11),2)</f>
        <v>124.95</v>
      </c>
      <c r="N219" s="30">
        <f>TRUNC($K219*M219,2)</f>
        <v>158888.91</v>
      </c>
      <c r="O219" s="446" t="s">
        <v>774</v>
      </c>
      <c r="P219" s="30">
        <f>ROUND(O219*(1+$Q$11),2)</f>
        <v>123.24</v>
      </c>
      <c r="Q219" s="30">
        <f>TRUNC($K219*P219,2)</f>
        <v>156714.44</v>
      </c>
      <c r="R219" s="25" t="s">
        <v>612</v>
      </c>
      <c r="S219" s="30"/>
      <c r="T219" s="32"/>
      <c r="U219" s="32"/>
    </row>
    <row r="220" spans="1:21" s="252" customFormat="1" x14ac:dyDescent="0.3">
      <c r="A220" s="322"/>
      <c r="B220" s="322"/>
      <c r="C220" s="323"/>
      <c r="D220" s="33" t="s">
        <v>802</v>
      </c>
      <c r="E220" s="245"/>
      <c r="F220" s="30"/>
      <c r="G220" s="30">
        <v>397.22</v>
      </c>
      <c r="H220" s="30"/>
      <c r="I220" s="30"/>
      <c r="J220" s="34">
        <f t="shared" ref="J220:J221" si="25">ROUND(PRODUCT(F220:I220),2)</f>
        <v>397.22</v>
      </c>
      <c r="K220" s="30"/>
      <c r="L220" s="30"/>
      <c r="M220" s="30"/>
      <c r="N220" s="30"/>
      <c r="O220" s="30"/>
      <c r="P220" s="30"/>
      <c r="Q220" s="30"/>
      <c r="R220" s="32"/>
      <c r="S220" s="30"/>
      <c r="T220" s="32"/>
      <c r="U220" s="32"/>
    </row>
    <row r="221" spans="1:21" s="252" customFormat="1" x14ac:dyDescent="0.3">
      <c r="A221" s="322"/>
      <c r="B221" s="322"/>
      <c r="C221" s="323"/>
      <c r="D221" s="33" t="s">
        <v>801</v>
      </c>
      <c r="E221" s="245"/>
      <c r="F221" s="30">
        <v>20</v>
      </c>
      <c r="G221" s="30">
        <v>43.72</v>
      </c>
      <c r="H221" s="30"/>
      <c r="I221" s="30"/>
      <c r="J221" s="34">
        <f t="shared" si="25"/>
        <v>874.4</v>
      </c>
      <c r="K221" s="30"/>
      <c r="L221" s="30"/>
      <c r="M221" s="30"/>
      <c r="N221" s="30"/>
      <c r="O221" s="30"/>
      <c r="P221" s="30"/>
      <c r="Q221" s="30"/>
      <c r="R221" s="32"/>
      <c r="S221" s="30"/>
      <c r="T221" s="32"/>
      <c r="U221" s="32"/>
    </row>
    <row r="222" spans="1:21" s="276" customFormat="1" x14ac:dyDescent="0.3">
      <c r="A222" s="321"/>
      <c r="B222" s="321"/>
      <c r="C222" s="321"/>
      <c r="D222" s="36" t="str">
        <f>"Total item "&amp;A219</f>
        <v>Total item 8.6</v>
      </c>
      <c r="E222" s="244"/>
      <c r="F222" s="34"/>
      <c r="G222" s="34"/>
      <c r="H222" s="34"/>
      <c r="I222" s="34"/>
      <c r="J222" s="28">
        <f>SUM(J220:J221)</f>
        <v>1271.6199999999999</v>
      </c>
      <c r="K222" s="34"/>
      <c r="L222" s="34"/>
      <c r="M222" s="34"/>
      <c r="N222" s="34"/>
      <c r="O222" s="34"/>
      <c r="P222" s="34"/>
      <c r="Q222" s="34"/>
      <c r="R222" s="25"/>
      <c r="S222" s="34"/>
      <c r="T222" s="25"/>
      <c r="U222" s="25"/>
    </row>
    <row r="223" spans="1:21" s="251" customFormat="1" x14ac:dyDescent="0.3">
      <c r="A223" s="329"/>
      <c r="B223" s="327"/>
      <c r="C223" s="327"/>
      <c r="D223" s="216"/>
      <c r="E223" s="250"/>
      <c r="F223" s="218"/>
      <c r="G223" s="218"/>
      <c r="H223" s="218"/>
      <c r="I223" s="218"/>
      <c r="J223" s="219"/>
      <c r="K223" s="218"/>
      <c r="L223" s="218"/>
      <c r="M223" s="218"/>
      <c r="N223" s="218"/>
      <c r="O223" s="218"/>
      <c r="P223" s="218"/>
      <c r="Q223" s="218"/>
      <c r="R223" s="220"/>
      <c r="S223" s="218"/>
      <c r="T223" s="221"/>
      <c r="U223" s="221"/>
    </row>
    <row r="224" spans="1:21" s="252" customFormat="1" ht="41.4" x14ac:dyDescent="0.3">
      <c r="A224" s="322" t="s">
        <v>489</v>
      </c>
      <c r="B224" s="322" t="s">
        <v>35</v>
      </c>
      <c r="C224" s="323" t="s">
        <v>259</v>
      </c>
      <c r="D224" s="201" t="s">
        <v>258</v>
      </c>
      <c r="E224" s="245" t="s">
        <v>86</v>
      </c>
      <c r="F224" s="31"/>
      <c r="G224" s="31"/>
      <c r="H224" s="31"/>
      <c r="I224" s="31"/>
      <c r="J224" s="31"/>
      <c r="K224" s="30">
        <f>J226</f>
        <v>4</v>
      </c>
      <c r="L224" s="30" t="s">
        <v>707</v>
      </c>
      <c r="M224" s="30">
        <f>ROUND(L224*(1+$N$11),2)</f>
        <v>456.38</v>
      </c>
      <c r="N224" s="30">
        <f>TRUNC($K224*M224,2)</f>
        <v>1825.52</v>
      </c>
      <c r="O224" s="30" t="s">
        <v>708</v>
      </c>
      <c r="P224" s="30">
        <f>ROUND(O224*(1+$Q$11),2)</f>
        <v>437.82</v>
      </c>
      <c r="Q224" s="30">
        <f>TRUNC($K224*P224,2)</f>
        <v>1751.28</v>
      </c>
      <c r="R224" s="25" t="s">
        <v>612</v>
      </c>
      <c r="S224" s="30"/>
      <c r="T224" s="32"/>
      <c r="U224" s="32"/>
    </row>
    <row r="225" spans="1:21" s="252" customFormat="1" x14ac:dyDescent="0.3">
      <c r="A225" s="322"/>
      <c r="B225" s="322"/>
      <c r="C225" s="323"/>
      <c r="D225" s="33" t="s">
        <v>681</v>
      </c>
      <c r="E225" s="245"/>
      <c r="F225" s="30">
        <v>4</v>
      </c>
      <c r="G225" s="30"/>
      <c r="H225" s="30"/>
      <c r="I225" s="30"/>
      <c r="J225" s="34">
        <f>ROUND(PRODUCT(F225:I225),2)</f>
        <v>4</v>
      </c>
      <c r="K225" s="30"/>
      <c r="L225" s="30"/>
      <c r="M225" s="30"/>
      <c r="N225" s="30"/>
      <c r="O225" s="30"/>
      <c r="P225" s="30"/>
      <c r="Q225" s="30"/>
      <c r="R225" s="32"/>
      <c r="S225" s="30"/>
      <c r="T225" s="32"/>
      <c r="U225" s="32"/>
    </row>
    <row r="226" spans="1:21" s="276" customFormat="1" x14ac:dyDescent="0.3">
      <c r="A226" s="321"/>
      <c r="B226" s="321"/>
      <c r="C226" s="321"/>
      <c r="D226" s="36" t="str">
        <f>"Total item "&amp;A224</f>
        <v>Total item 8.7</v>
      </c>
      <c r="E226" s="244"/>
      <c r="F226" s="34"/>
      <c r="G226" s="34"/>
      <c r="H226" s="34"/>
      <c r="I226" s="34"/>
      <c r="J226" s="28">
        <f>SUM(J225:J225)</f>
        <v>4</v>
      </c>
      <c r="K226" s="34"/>
      <c r="L226" s="34"/>
      <c r="M226" s="34"/>
      <c r="N226" s="34"/>
      <c r="O226" s="34"/>
      <c r="P226" s="34"/>
      <c r="Q226" s="34"/>
      <c r="R226" s="25"/>
      <c r="S226" s="34"/>
      <c r="T226" s="25"/>
      <c r="U226" s="25"/>
    </row>
    <row r="227" spans="1:21" s="251" customFormat="1" x14ac:dyDescent="0.3">
      <c r="A227" s="329"/>
      <c r="B227" s="327"/>
      <c r="C227" s="327"/>
      <c r="D227" s="216"/>
      <c r="E227" s="250"/>
      <c r="F227" s="218"/>
      <c r="G227" s="218"/>
      <c r="H227" s="218"/>
      <c r="I227" s="218"/>
      <c r="J227" s="219"/>
      <c r="K227" s="218"/>
      <c r="L227" s="218"/>
      <c r="M227" s="218"/>
      <c r="N227" s="218"/>
      <c r="O227" s="218"/>
      <c r="P227" s="218"/>
      <c r="Q227" s="218"/>
      <c r="R227" s="220"/>
      <c r="S227" s="218"/>
      <c r="T227" s="221"/>
      <c r="U227" s="221"/>
    </row>
    <row r="228" spans="1:21" s="171" customFormat="1" x14ac:dyDescent="0.3">
      <c r="A228" s="328" t="s">
        <v>23</v>
      </c>
      <c r="B228" s="326"/>
      <c r="C228" s="326"/>
      <c r="D228" s="199" t="s">
        <v>126</v>
      </c>
      <c r="E228" s="243"/>
      <c r="F228" s="28"/>
      <c r="G228" s="28"/>
      <c r="H228" s="28"/>
      <c r="I228" s="28"/>
      <c r="J228" s="28"/>
      <c r="K228" s="28"/>
      <c r="L228" s="28"/>
      <c r="M228" s="28"/>
      <c r="N228" s="28">
        <f>SUM(N229:N252)</f>
        <v>57956.209999999992</v>
      </c>
      <c r="O228" s="28"/>
      <c r="P228" s="28"/>
      <c r="Q228" s="28">
        <f>SUM(Q229:Q252)</f>
        <v>58000.369999999995</v>
      </c>
      <c r="S228" s="28"/>
      <c r="T228" s="202"/>
    </row>
    <row r="229" spans="1:21" s="220" customFormat="1" x14ac:dyDescent="0.3">
      <c r="A229" s="329"/>
      <c r="B229" s="327"/>
      <c r="C229" s="327"/>
      <c r="D229" s="216"/>
      <c r="E229" s="250"/>
      <c r="F229" s="218"/>
      <c r="G229" s="218"/>
      <c r="H229" s="218"/>
      <c r="I229" s="218"/>
      <c r="J229" s="219"/>
      <c r="K229" s="218"/>
      <c r="L229" s="218"/>
      <c r="M229" s="218"/>
      <c r="N229" s="218"/>
      <c r="O229" s="218"/>
      <c r="P229" s="218"/>
      <c r="Q229" s="218"/>
      <c r="S229" s="218"/>
      <c r="T229" s="221"/>
    </row>
    <row r="230" spans="1:21" s="280" customFormat="1" ht="27.6" x14ac:dyDescent="0.3">
      <c r="A230" s="330" t="s">
        <v>184</v>
      </c>
      <c r="B230" s="330" t="s">
        <v>35</v>
      </c>
      <c r="C230" s="323" t="s">
        <v>193</v>
      </c>
      <c r="D230" s="201" t="s">
        <v>421</v>
      </c>
      <c r="E230" s="277" t="s">
        <v>88</v>
      </c>
      <c r="F230" s="278"/>
      <c r="G230" s="31" t="s">
        <v>266</v>
      </c>
      <c r="H230" s="278"/>
      <c r="I230" s="278"/>
      <c r="J230" s="278"/>
      <c r="K230" s="279">
        <f>J232</f>
        <v>1226.75</v>
      </c>
      <c r="L230" s="30" t="s">
        <v>691</v>
      </c>
      <c r="M230" s="279">
        <f>ROUND(L230*(1+$N$11),2)</f>
        <v>5.14</v>
      </c>
      <c r="N230" s="279">
        <f>TRUNC($K230*M230,2)</f>
        <v>6305.49</v>
      </c>
      <c r="O230" s="30" t="s">
        <v>555</v>
      </c>
      <c r="P230" s="279">
        <f>ROUND(O230*(1+$Q$11),2)</f>
        <v>5.1100000000000003</v>
      </c>
      <c r="Q230" s="279">
        <f>TRUNC($K230*P230,2)</f>
        <v>6268.69</v>
      </c>
      <c r="R230" s="25" t="s">
        <v>612</v>
      </c>
      <c r="S230" s="279"/>
      <c r="T230" s="324"/>
    </row>
    <row r="231" spans="1:21" s="32" customFormat="1" x14ac:dyDescent="0.3">
      <c r="A231" s="322"/>
      <c r="B231" s="322"/>
      <c r="C231" s="323"/>
      <c r="D231" s="253" t="s">
        <v>690</v>
      </c>
      <c r="E231" s="245"/>
      <c r="F231" s="30"/>
      <c r="G231" s="30">
        <f>G52</f>
        <v>1226.75</v>
      </c>
      <c r="H231" s="30"/>
      <c r="I231" s="30"/>
      <c r="J231" s="34">
        <f t="shared" ref="J231" si="26">ROUND(PRODUCT(F231:I231),2)</f>
        <v>1226.75</v>
      </c>
      <c r="K231" s="30"/>
      <c r="L231" s="30"/>
      <c r="M231" s="30"/>
      <c r="N231" s="30"/>
      <c r="O231" s="30"/>
      <c r="P231" s="30"/>
      <c r="Q231" s="30"/>
      <c r="S231" s="30"/>
      <c r="U231" s="232"/>
    </row>
    <row r="232" spans="1:21" s="25" customFormat="1" x14ac:dyDescent="0.3">
      <c r="A232" s="321"/>
      <c r="B232" s="321"/>
      <c r="C232" s="321"/>
      <c r="D232" s="36" t="str">
        <f>"Total item "&amp;A230</f>
        <v>Total item 9.1</v>
      </c>
      <c r="E232" s="244"/>
      <c r="F232" s="34"/>
      <c r="G232" s="34"/>
      <c r="H232" s="34"/>
      <c r="I232" s="34"/>
      <c r="J232" s="28">
        <f>SUM(J231:J231)</f>
        <v>1226.75</v>
      </c>
      <c r="K232" s="34"/>
      <c r="L232" s="34"/>
      <c r="M232" s="34"/>
      <c r="N232" s="34"/>
      <c r="O232" s="34"/>
      <c r="P232" s="34"/>
      <c r="Q232" s="34"/>
      <c r="S232" s="34"/>
      <c r="T232" s="38"/>
    </row>
    <row r="233" spans="1:21" s="220" customFormat="1" x14ac:dyDescent="0.3">
      <c r="A233" s="329"/>
      <c r="B233" s="327"/>
      <c r="C233" s="327"/>
      <c r="D233" s="216"/>
      <c r="E233" s="250"/>
      <c r="F233" s="218"/>
      <c r="G233" s="218"/>
      <c r="H233" s="218"/>
      <c r="I233" s="218"/>
      <c r="J233" s="219"/>
      <c r="K233" s="218"/>
      <c r="L233" s="218"/>
      <c r="M233" s="218"/>
      <c r="N233" s="218"/>
      <c r="O233" s="218"/>
      <c r="P233" s="218"/>
      <c r="Q233" s="218"/>
      <c r="S233" s="218"/>
      <c r="T233" s="221"/>
    </row>
    <row r="234" spans="1:21" s="32" customFormat="1" ht="27.6" x14ac:dyDescent="0.3">
      <c r="A234" s="322" t="s">
        <v>166</v>
      </c>
      <c r="B234" s="322" t="s">
        <v>35</v>
      </c>
      <c r="C234" s="323" t="s">
        <v>349</v>
      </c>
      <c r="D234" s="201" t="s">
        <v>422</v>
      </c>
      <c r="E234" s="245" t="s">
        <v>88</v>
      </c>
      <c r="F234" s="31"/>
      <c r="G234" s="31" t="s">
        <v>266</v>
      </c>
      <c r="H234" s="31"/>
      <c r="I234" s="31"/>
      <c r="J234" s="31"/>
      <c r="K234" s="30">
        <f>J236</f>
        <v>1226.75</v>
      </c>
      <c r="L234" s="30" t="s">
        <v>703</v>
      </c>
      <c r="M234" s="30">
        <f>ROUND(L234*(1+$N$11),2)</f>
        <v>20.16</v>
      </c>
      <c r="N234" s="30">
        <f>TRUNC($K234*M234,2)</f>
        <v>24731.279999999999</v>
      </c>
      <c r="O234" s="30" t="s">
        <v>704</v>
      </c>
      <c r="P234" s="30">
        <f>ROUND(O234*(1+$Q$11),2)</f>
        <v>20.420000000000002</v>
      </c>
      <c r="Q234" s="30">
        <f>TRUNC($K234*P234,2)</f>
        <v>25050.23</v>
      </c>
      <c r="R234" s="25" t="s">
        <v>612</v>
      </c>
      <c r="S234" s="30"/>
      <c r="T234" s="281"/>
    </row>
    <row r="235" spans="1:21" s="32" customFormat="1" x14ac:dyDescent="0.3">
      <c r="A235" s="322"/>
      <c r="B235" s="322"/>
      <c r="C235" s="323"/>
      <c r="D235" s="33" t="s">
        <v>423</v>
      </c>
      <c r="E235" s="245"/>
      <c r="F235" s="30"/>
      <c r="G235" s="30">
        <f>J232</f>
        <v>1226.75</v>
      </c>
      <c r="H235" s="30"/>
      <c r="I235" s="30"/>
      <c r="J235" s="34">
        <f t="shared" ref="J235" si="27">ROUND(PRODUCT(F235:I235),2)</f>
        <v>1226.75</v>
      </c>
      <c r="K235" s="30"/>
      <c r="L235" s="30"/>
      <c r="M235" s="30"/>
      <c r="N235" s="30"/>
      <c r="O235" s="30"/>
      <c r="P235" s="30"/>
      <c r="Q235" s="30"/>
      <c r="S235" s="30"/>
      <c r="T235" s="281"/>
    </row>
    <row r="236" spans="1:21" s="25" customFormat="1" x14ac:dyDescent="0.3">
      <c r="A236" s="321"/>
      <c r="B236" s="321"/>
      <c r="C236" s="321"/>
      <c r="D236" s="36" t="str">
        <f>"Total item "&amp;A234</f>
        <v>Total item 9.2</v>
      </c>
      <c r="E236" s="244"/>
      <c r="F236" s="34"/>
      <c r="G236" s="34"/>
      <c r="H236" s="34"/>
      <c r="I236" s="34"/>
      <c r="J236" s="28">
        <f>SUM(J235:J235)</f>
        <v>1226.75</v>
      </c>
      <c r="K236" s="34"/>
      <c r="L236" s="34"/>
      <c r="M236" s="34"/>
      <c r="N236" s="34"/>
      <c r="O236" s="34"/>
      <c r="P236" s="34"/>
      <c r="Q236" s="34"/>
      <c r="S236" s="34"/>
      <c r="T236" s="38"/>
    </row>
    <row r="237" spans="1:21" s="220" customFormat="1" x14ac:dyDescent="0.3">
      <c r="A237" s="329"/>
      <c r="B237" s="327"/>
      <c r="C237" s="327"/>
      <c r="D237" s="216"/>
      <c r="E237" s="250"/>
      <c r="F237" s="218"/>
      <c r="G237" s="218"/>
      <c r="H237" s="218"/>
      <c r="I237" s="218"/>
      <c r="J237" s="219"/>
      <c r="K237" s="218"/>
      <c r="L237" s="218"/>
      <c r="M237" s="218"/>
      <c r="N237" s="218"/>
      <c r="O237" s="218"/>
      <c r="P237" s="218"/>
      <c r="Q237" s="218"/>
      <c r="S237" s="218"/>
      <c r="T237" s="221"/>
    </row>
    <row r="238" spans="1:21" s="32" customFormat="1" ht="27.6" x14ac:dyDescent="0.3">
      <c r="A238" s="322" t="s">
        <v>167</v>
      </c>
      <c r="B238" s="322" t="s">
        <v>35</v>
      </c>
      <c r="C238" s="323" t="s">
        <v>91</v>
      </c>
      <c r="D238" s="201" t="s">
        <v>424</v>
      </c>
      <c r="E238" s="245" t="s">
        <v>88</v>
      </c>
      <c r="F238" s="31"/>
      <c r="G238" s="31" t="s">
        <v>266</v>
      </c>
      <c r="H238" s="31"/>
      <c r="I238" s="31"/>
      <c r="J238" s="31"/>
      <c r="K238" s="30">
        <f>J240</f>
        <v>1226.75</v>
      </c>
      <c r="L238" s="30" t="s">
        <v>705</v>
      </c>
      <c r="M238" s="30">
        <f>ROUND(L238*(1+$N$11),2)</f>
        <v>16.55</v>
      </c>
      <c r="N238" s="30">
        <f>TRUNC($K238*M238,2)</f>
        <v>20302.71</v>
      </c>
      <c r="O238" s="30" t="s">
        <v>706</v>
      </c>
      <c r="P238" s="30">
        <f>ROUND(O238*(1+$Q$11),2)</f>
        <v>16.32</v>
      </c>
      <c r="Q238" s="30">
        <f>TRUNC($K238*P238,2)</f>
        <v>20020.560000000001</v>
      </c>
      <c r="R238" s="25" t="s">
        <v>612</v>
      </c>
      <c r="S238" s="30"/>
      <c r="T238" s="281"/>
    </row>
    <row r="239" spans="1:21" s="32" customFormat="1" x14ac:dyDescent="0.3">
      <c r="A239" s="322"/>
      <c r="B239" s="322"/>
      <c r="C239" s="323"/>
      <c r="D239" s="33" t="s">
        <v>425</v>
      </c>
      <c r="E239" s="245"/>
      <c r="F239" s="30"/>
      <c r="G239" s="30">
        <f>J236</f>
        <v>1226.75</v>
      </c>
      <c r="H239" s="30"/>
      <c r="I239" s="30"/>
      <c r="J239" s="34">
        <f t="shared" ref="J239" si="28">ROUND(PRODUCT(F239:I239),2)</f>
        <v>1226.75</v>
      </c>
      <c r="K239" s="30"/>
      <c r="L239" s="30"/>
      <c r="M239" s="30"/>
      <c r="N239" s="30"/>
      <c r="O239" s="30"/>
      <c r="P239" s="30"/>
      <c r="Q239" s="30"/>
      <c r="S239" s="30"/>
      <c r="U239" s="232"/>
    </row>
    <row r="240" spans="1:21" s="25" customFormat="1" x14ac:dyDescent="0.3">
      <c r="A240" s="321"/>
      <c r="B240" s="321"/>
      <c r="C240" s="321"/>
      <c r="D240" s="36" t="str">
        <f>"Total item "&amp;A238</f>
        <v>Total item 9.3</v>
      </c>
      <c r="E240" s="244"/>
      <c r="F240" s="34"/>
      <c r="G240" s="34"/>
      <c r="H240" s="34"/>
      <c r="I240" s="34"/>
      <c r="J240" s="28">
        <f>SUM(J239:J239)</f>
        <v>1226.75</v>
      </c>
      <c r="K240" s="34"/>
      <c r="L240" s="34"/>
      <c r="M240" s="34"/>
      <c r="N240" s="34"/>
      <c r="O240" s="34"/>
      <c r="P240" s="34"/>
      <c r="Q240" s="34"/>
      <c r="S240" s="34"/>
      <c r="T240" s="38"/>
    </row>
    <row r="241" spans="1:21" s="220" customFormat="1" x14ac:dyDescent="0.3">
      <c r="A241" s="329"/>
      <c r="B241" s="327"/>
      <c r="C241" s="327"/>
      <c r="D241" s="216"/>
      <c r="E241" s="250"/>
      <c r="F241" s="218"/>
      <c r="G241" s="218"/>
      <c r="H241" s="218"/>
      <c r="I241" s="218"/>
      <c r="J241" s="219"/>
      <c r="K241" s="218"/>
      <c r="L241" s="218"/>
      <c r="M241" s="218"/>
      <c r="N241" s="218"/>
      <c r="O241" s="218"/>
      <c r="P241" s="218"/>
      <c r="Q241" s="218"/>
      <c r="S241" s="218"/>
      <c r="T241" s="221"/>
    </row>
    <row r="242" spans="1:21" s="32" customFormat="1" ht="41.4" x14ac:dyDescent="0.3">
      <c r="A242" s="322" t="s">
        <v>168</v>
      </c>
      <c r="B242" s="322" t="s">
        <v>35</v>
      </c>
      <c r="C242" s="323" t="s">
        <v>217</v>
      </c>
      <c r="D242" s="201" t="s">
        <v>216</v>
      </c>
      <c r="E242" s="245" t="s">
        <v>88</v>
      </c>
      <c r="F242" s="31"/>
      <c r="G242" s="31"/>
      <c r="H242" s="31"/>
      <c r="I242" s="31"/>
      <c r="J242" s="31"/>
      <c r="K242" s="30">
        <f>J247</f>
        <v>70.099999999999994</v>
      </c>
      <c r="L242" s="30" t="s">
        <v>775</v>
      </c>
      <c r="M242" s="30">
        <f>ROUND(L242*(1+$N$11),2)</f>
        <v>32.24</v>
      </c>
      <c r="N242" s="30">
        <f>TRUNC($K242*M242,2)</f>
        <v>2260.02</v>
      </c>
      <c r="O242" s="30" t="s">
        <v>776</v>
      </c>
      <c r="P242" s="30">
        <f>ROUND(O242*(1+$Q$11),2)</f>
        <v>32.14</v>
      </c>
      <c r="Q242" s="30">
        <f>TRUNC($K242*P242,2)</f>
        <v>2253.0100000000002</v>
      </c>
      <c r="R242" s="25" t="s">
        <v>612</v>
      </c>
      <c r="S242" s="30"/>
      <c r="T242" s="281"/>
    </row>
    <row r="243" spans="1:21" s="252" customFormat="1" x14ac:dyDescent="0.3">
      <c r="A243" s="322"/>
      <c r="B243" s="322"/>
      <c r="C243" s="323"/>
      <c r="D243" s="33" t="s">
        <v>763</v>
      </c>
      <c r="E243" s="245"/>
      <c r="F243" s="30"/>
      <c r="G243" s="30">
        <v>1</v>
      </c>
      <c r="H243" s="30"/>
      <c r="I243" s="30">
        <v>2.2000000000000002</v>
      </c>
      <c r="J243" s="34">
        <f t="shared" ref="J243:J244" si="29">ROUND(PRODUCT(F243:I243),2)</f>
        <v>2.2000000000000002</v>
      </c>
      <c r="K243" s="30"/>
      <c r="L243" s="30"/>
      <c r="M243" s="30"/>
      <c r="N243" s="30"/>
      <c r="O243" s="30"/>
      <c r="P243" s="30"/>
      <c r="Q243" s="30"/>
      <c r="R243" s="25"/>
      <c r="S243" s="30"/>
      <c r="T243" s="32"/>
      <c r="U243" s="32"/>
    </row>
    <row r="244" spans="1:21" s="252" customFormat="1" x14ac:dyDescent="0.3">
      <c r="A244" s="322"/>
      <c r="B244" s="322"/>
      <c r="C244" s="323"/>
      <c r="D244" s="33" t="s">
        <v>764</v>
      </c>
      <c r="E244" s="245"/>
      <c r="F244" s="30"/>
      <c r="G244" s="30">
        <v>0.8</v>
      </c>
      <c r="H244" s="30"/>
      <c r="I244" s="30">
        <v>2.2000000000000002</v>
      </c>
      <c r="J244" s="34">
        <f t="shared" si="29"/>
        <v>1.76</v>
      </c>
      <c r="K244" s="30"/>
      <c r="L244" s="30"/>
      <c r="M244" s="30"/>
      <c r="N244" s="30"/>
      <c r="O244" s="30"/>
      <c r="P244" s="30"/>
      <c r="Q244" s="30"/>
      <c r="R244" s="25"/>
      <c r="S244" s="30"/>
      <c r="T244" s="32"/>
      <c r="U244" s="32"/>
    </row>
    <row r="245" spans="1:21" s="32" customFormat="1" x14ac:dyDescent="0.3">
      <c r="A245" s="322"/>
      <c r="B245" s="322"/>
      <c r="C245" s="323"/>
      <c r="D245" s="33" t="s">
        <v>802</v>
      </c>
      <c r="E245" s="245"/>
      <c r="F245" s="30"/>
      <c r="G245" s="30">
        <v>397.22</v>
      </c>
      <c r="H245" s="30">
        <v>0.15</v>
      </c>
      <c r="I245" s="30"/>
      <c r="J245" s="34">
        <f t="shared" ref="J245:J246" si="30">ROUND(PRODUCT(F245:I245),2)</f>
        <v>59.58</v>
      </c>
      <c r="K245" s="30"/>
      <c r="L245" s="30"/>
      <c r="M245" s="30"/>
      <c r="N245" s="30"/>
      <c r="O245" s="30"/>
      <c r="P245" s="30"/>
      <c r="Q245" s="30"/>
      <c r="S245" s="30"/>
      <c r="T245" s="281"/>
    </row>
    <row r="246" spans="1:21" s="32" customFormat="1" x14ac:dyDescent="0.3">
      <c r="A246" s="322"/>
      <c r="B246" s="322"/>
      <c r="C246" s="323"/>
      <c r="D246" s="33" t="s">
        <v>801</v>
      </c>
      <c r="E246" s="245"/>
      <c r="F246" s="30"/>
      <c r="G246" s="30">
        <v>43.72</v>
      </c>
      <c r="H246" s="30">
        <v>0.15</v>
      </c>
      <c r="I246" s="30"/>
      <c r="J246" s="34">
        <f t="shared" si="30"/>
        <v>6.56</v>
      </c>
      <c r="K246" s="30"/>
      <c r="L246" s="30"/>
      <c r="M246" s="30"/>
      <c r="N246" s="30"/>
      <c r="O246" s="30"/>
      <c r="P246" s="30"/>
      <c r="Q246" s="30"/>
      <c r="S246" s="30"/>
      <c r="T246" s="281"/>
    </row>
    <row r="247" spans="1:21" s="25" customFormat="1" x14ac:dyDescent="0.3">
      <c r="A247" s="321"/>
      <c r="B247" s="321"/>
      <c r="C247" s="321"/>
      <c r="D247" s="36" t="str">
        <f>"Total item "&amp;A242</f>
        <v>Total item 9.4</v>
      </c>
      <c r="E247" s="244"/>
      <c r="F247" s="34"/>
      <c r="G247" s="34"/>
      <c r="H247" s="34"/>
      <c r="I247" s="34"/>
      <c r="J247" s="28">
        <f>SUM(J243:J246)</f>
        <v>70.099999999999994</v>
      </c>
      <c r="K247" s="34"/>
      <c r="L247" s="34"/>
      <c r="M247" s="34"/>
      <c r="N247" s="34"/>
      <c r="O247" s="34"/>
      <c r="P247" s="34"/>
      <c r="Q247" s="34"/>
      <c r="S247" s="34"/>
      <c r="T247" s="38"/>
    </row>
    <row r="248" spans="1:21" s="25" customFormat="1" x14ac:dyDescent="0.3">
      <c r="A248" s="320"/>
      <c r="B248" s="321"/>
      <c r="C248" s="321"/>
      <c r="D248" s="36"/>
      <c r="E248" s="244"/>
      <c r="F248" s="34"/>
      <c r="G248" s="34"/>
      <c r="H248" s="34"/>
      <c r="I248" s="34"/>
      <c r="J248" s="37"/>
      <c r="K248" s="34"/>
      <c r="L248" s="34"/>
      <c r="M248" s="34"/>
      <c r="N248" s="34"/>
      <c r="O248" s="34"/>
      <c r="P248" s="34"/>
      <c r="Q248" s="34"/>
      <c r="S248" s="34"/>
      <c r="T248" s="38"/>
    </row>
    <row r="249" spans="1:21" s="32" customFormat="1" ht="55.2" x14ac:dyDescent="0.3">
      <c r="A249" s="322" t="s">
        <v>192</v>
      </c>
      <c r="B249" s="322" t="s">
        <v>35</v>
      </c>
      <c r="C249" s="323" t="s">
        <v>134</v>
      </c>
      <c r="D249" s="201" t="s">
        <v>133</v>
      </c>
      <c r="E249" s="245" t="s">
        <v>88</v>
      </c>
      <c r="F249" s="31"/>
      <c r="G249" s="31"/>
      <c r="H249" s="31"/>
      <c r="I249" s="31"/>
      <c r="J249" s="31"/>
      <c r="K249" s="30">
        <f>J251</f>
        <v>70.099999999999994</v>
      </c>
      <c r="L249" s="30" t="s">
        <v>777</v>
      </c>
      <c r="M249" s="30">
        <f>ROUND(L249*(1+$N$11),2)</f>
        <v>62.15</v>
      </c>
      <c r="N249" s="30">
        <f>TRUNC($K249*M249,2)</f>
        <v>4356.71</v>
      </c>
      <c r="O249" s="30" t="s">
        <v>778</v>
      </c>
      <c r="P249" s="30">
        <f>ROUND(O249*(1+$Q$11),2)</f>
        <v>62.88</v>
      </c>
      <c r="Q249" s="30">
        <f>TRUNC($K249*P249,2)</f>
        <v>4407.88</v>
      </c>
      <c r="R249" s="25" t="s">
        <v>612</v>
      </c>
      <c r="S249" s="30"/>
      <c r="T249" s="281"/>
    </row>
    <row r="250" spans="1:21" s="32" customFormat="1" x14ac:dyDescent="0.3">
      <c r="A250" s="322"/>
      <c r="B250" s="322"/>
      <c r="C250" s="323"/>
      <c r="D250" s="249" t="s">
        <v>423</v>
      </c>
      <c r="E250" s="245"/>
      <c r="F250" s="30"/>
      <c r="G250" s="30">
        <f>J247</f>
        <v>70.099999999999994</v>
      </c>
      <c r="H250" s="30"/>
      <c r="I250" s="30"/>
      <c r="J250" s="34">
        <f t="shared" ref="J250" si="31">ROUND(PRODUCT(F250:I250),2)</f>
        <v>70.099999999999994</v>
      </c>
      <c r="K250" s="30"/>
      <c r="L250" s="30"/>
      <c r="M250" s="30"/>
      <c r="N250" s="30"/>
      <c r="O250" s="30"/>
      <c r="P250" s="30"/>
      <c r="Q250" s="30"/>
      <c r="S250" s="30"/>
      <c r="T250" s="281"/>
    </row>
    <row r="251" spans="1:21" s="25" customFormat="1" x14ac:dyDescent="0.3">
      <c r="A251" s="321"/>
      <c r="B251" s="321"/>
      <c r="C251" s="321"/>
      <c r="D251" s="36" t="str">
        <f>"Total item "&amp;A249</f>
        <v>Total item 9.5</v>
      </c>
      <c r="E251" s="244"/>
      <c r="F251" s="34"/>
      <c r="G251" s="34"/>
      <c r="H251" s="34"/>
      <c r="I251" s="34"/>
      <c r="J251" s="28">
        <f>SUM(J250:J250)</f>
        <v>70.099999999999994</v>
      </c>
      <c r="K251" s="34"/>
      <c r="L251" s="34"/>
      <c r="M251" s="34"/>
      <c r="N251" s="34"/>
      <c r="O251" s="34"/>
      <c r="P251" s="34"/>
      <c r="Q251" s="34"/>
      <c r="S251" s="34"/>
      <c r="T251" s="38"/>
    </row>
    <row r="252" spans="1:21" s="220" customFormat="1" x14ac:dyDescent="0.3">
      <c r="A252" s="329"/>
      <c r="B252" s="327"/>
      <c r="C252" s="327"/>
      <c r="D252" s="216"/>
      <c r="E252" s="250"/>
      <c r="F252" s="218"/>
      <c r="G252" s="218"/>
      <c r="H252" s="218"/>
      <c r="I252" s="218"/>
      <c r="J252" s="219"/>
      <c r="K252" s="218"/>
      <c r="L252" s="218"/>
      <c r="M252" s="218"/>
      <c r="N252" s="218"/>
      <c r="O252" s="218"/>
      <c r="P252" s="218"/>
      <c r="Q252" s="218"/>
      <c r="S252" s="218"/>
      <c r="T252" s="221"/>
    </row>
    <row r="253" spans="1:21" s="171" customFormat="1" x14ac:dyDescent="0.3">
      <c r="A253" s="328" t="s">
        <v>24</v>
      </c>
      <c r="B253" s="326"/>
      <c r="C253" s="326"/>
      <c r="D253" s="199" t="s">
        <v>232</v>
      </c>
      <c r="E253" s="243"/>
      <c r="F253" s="28"/>
      <c r="G253" s="28"/>
      <c r="H253" s="28"/>
      <c r="I253" s="28"/>
      <c r="J253" s="28"/>
      <c r="K253" s="28"/>
      <c r="L253" s="28"/>
      <c r="M253" s="28"/>
      <c r="N253" s="28">
        <f>SUM(N254:N322)</f>
        <v>113040.3</v>
      </c>
      <c r="O253" s="28"/>
      <c r="P253" s="28"/>
      <c r="Q253" s="28">
        <f>SUM(Q254:Q322)</f>
        <v>110449.45000000001</v>
      </c>
      <c r="S253" s="28"/>
      <c r="T253" s="202"/>
    </row>
    <row r="254" spans="1:21" s="25" customFormat="1" x14ac:dyDescent="0.3">
      <c r="A254" s="320"/>
      <c r="B254" s="321"/>
      <c r="C254" s="321"/>
      <c r="D254" s="36"/>
      <c r="E254" s="244"/>
      <c r="F254" s="34"/>
      <c r="G254" s="34"/>
      <c r="H254" s="34"/>
      <c r="I254" s="34"/>
      <c r="J254" s="37"/>
      <c r="K254" s="34"/>
      <c r="L254" s="34"/>
      <c r="M254" s="34"/>
      <c r="N254" s="34"/>
      <c r="O254" s="34"/>
      <c r="P254" s="34"/>
      <c r="Q254" s="34"/>
      <c r="S254" s="34"/>
      <c r="T254" s="38"/>
    </row>
    <row r="255" spans="1:21" s="32" customFormat="1" ht="55.2" x14ac:dyDescent="0.3">
      <c r="A255" s="322" t="s">
        <v>147</v>
      </c>
      <c r="B255" s="322" t="s">
        <v>143</v>
      </c>
      <c r="C255" s="323" t="s">
        <v>155</v>
      </c>
      <c r="D255" s="201" t="s">
        <v>151</v>
      </c>
      <c r="E255" s="245" t="s">
        <v>86</v>
      </c>
      <c r="F255" s="31"/>
      <c r="G255" s="31"/>
      <c r="H255" s="31"/>
      <c r="I255" s="31"/>
      <c r="J255" s="31"/>
      <c r="K255" s="30">
        <f>J258</f>
        <v>121</v>
      </c>
      <c r="L255" s="30">
        <f>COMPOSIÇÕES!H74</f>
        <v>129.52000000000001</v>
      </c>
      <c r="M255" s="30">
        <f>ROUND(L255*(1+$N$11),2)</f>
        <v>163.88</v>
      </c>
      <c r="N255" s="30">
        <f>TRUNC($K255*M255,2)</f>
        <v>19829.48</v>
      </c>
      <c r="O255" s="30">
        <f>COMPOSIÇÕES!J74</f>
        <v>138.53</v>
      </c>
      <c r="P255" s="30">
        <f>ROUND(O255*(1+$Q$11),2)</f>
        <v>166.93</v>
      </c>
      <c r="Q255" s="30">
        <f>TRUNC($K255*P255,2)</f>
        <v>20198.53</v>
      </c>
      <c r="R255" s="25" t="s">
        <v>612</v>
      </c>
      <c r="S255" s="30"/>
    </row>
    <row r="256" spans="1:21" s="32" customFormat="1" x14ac:dyDescent="0.3">
      <c r="A256" s="322"/>
      <c r="B256" s="322"/>
      <c r="C256" s="323"/>
      <c r="D256" s="33" t="s">
        <v>810</v>
      </c>
      <c r="E256" s="245"/>
      <c r="F256" s="30">
        <v>110</v>
      </c>
      <c r="G256" s="30"/>
      <c r="H256" s="30"/>
      <c r="I256" s="30"/>
      <c r="J256" s="34">
        <f t="shared" ref="J256:J257" si="32">ROUND(PRODUCT(F256:I256),2)</f>
        <v>110</v>
      </c>
      <c r="K256" s="30"/>
      <c r="L256" s="30"/>
      <c r="M256" s="30"/>
      <c r="N256" s="30"/>
      <c r="O256" s="30"/>
      <c r="P256" s="30"/>
      <c r="Q256" s="30"/>
      <c r="S256" s="30"/>
    </row>
    <row r="257" spans="1:20" s="32" customFormat="1" x14ac:dyDescent="0.3">
      <c r="A257" s="322"/>
      <c r="B257" s="322"/>
      <c r="C257" s="323"/>
      <c r="D257" s="213" t="s">
        <v>788</v>
      </c>
      <c r="E257" s="245"/>
      <c r="F257" s="30">
        <v>11</v>
      </c>
      <c r="G257" s="30"/>
      <c r="H257" s="30"/>
      <c r="I257" s="30"/>
      <c r="J257" s="34">
        <f t="shared" si="32"/>
        <v>11</v>
      </c>
      <c r="K257" s="30"/>
      <c r="L257" s="30"/>
      <c r="M257" s="30"/>
      <c r="N257" s="30"/>
      <c r="O257" s="30"/>
      <c r="P257" s="30"/>
      <c r="Q257" s="30"/>
      <c r="S257" s="30"/>
    </row>
    <row r="258" spans="1:20" s="25" customFormat="1" x14ac:dyDescent="0.3">
      <c r="A258" s="321"/>
      <c r="B258" s="321"/>
      <c r="C258" s="321"/>
      <c r="D258" s="36" t="str">
        <f>"Total item "&amp;A255</f>
        <v>Total item 10.1</v>
      </c>
      <c r="E258" s="244"/>
      <c r="F258" s="34"/>
      <c r="G258" s="34"/>
      <c r="H258" s="34"/>
      <c r="I258" s="34"/>
      <c r="J258" s="28">
        <f>SUM(J256:J257)</f>
        <v>121</v>
      </c>
      <c r="K258" s="34"/>
      <c r="L258" s="34"/>
      <c r="M258" s="34"/>
      <c r="N258" s="34"/>
      <c r="O258" s="34"/>
      <c r="P258" s="34"/>
      <c r="Q258" s="34"/>
      <c r="S258" s="34"/>
    </row>
    <row r="259" spans="1:20" s="25" customFormat="1" x14ac:dyDescent="0.3">
      <c r="A259" s="320"/>
      <c r="B259" s="321"/>
      <c r="C259" s="321"/>
      <c r="D259" s="36"/>
      <c r="E259" s="244"/>
      <c r="F259" s="34"/>
      <c r="G259" s="34"/>
      <c r="H259" s="34"/>
      <c r="I259" s="34"/>
      <c r="J259" s="37"/>
      <c r="K259" s="34"/>
      <c r="L259" s="34"/>
      <c r="M259" s="34"/>
      <c r="N259" s="34"/>
      <c r="O259" s="34"/>
      <c r="P259" s="34"/>
      <c r="Q259" s="34"/>
      <c r="S259" s="34"/>
      <c r="T259" s="38"/>
    </row>
    <row r="260" spans="1:20" s="32" customFormat="1" ht="27.6" x14ac:dyDescent="0.3">
      <c r="A260" s="322" t="s">
        <v>169</v>
      </c>
      <c r="B260" s="322" t="s">
        <v>143</v>
      </c>
      <c r="C260" s="323" t="s">
        <v>156</v>
      </c>
      <c r="D260" s="201" t="s">
        <v>236</v>
      </c>
      <c r="E260" s="245" t="s">
        <v>86</v>
      </c>
      <c r="F260" s="31"/>
      <c r="G260" s="31"/>
      <c r="H260" s="31"/>
      <c r="I260" s="31"/>
      <c r="J260" s="31"/>
      <c r="K260" s="30">
        <f>J262</f>
        <v>8</v>
      </c>
      <c r="L260" s="30">
        <f>COMPOSIÇÕES!H92</f>
        <v>105.33</v>
      </c>
      <c r="M260" s="30">
        <f>ROUND(L260*(1+$N$11),2)</f>
        <v>133.27000000000001</v>
      </c>
      <c r="N260" s="30">
        <f>TRUNC($K260*M260,2)</f>
        <v>1066.1600000000001</v>
      </c>
      <c r="O260" s="30">
        <f>COMPOSIÇÕES!J92</f>
        <v>106.92</v>
      </c>
      <c r="P260" s="30">
        <f>ROUND(O260*(1+$Q$11),2)</f>
        <v>128.84</v>
      </c>
      <c r="Q260" s="30">
        <f>TRUNC($K260*P260,2)</f>
        <v>1030.72</v>
      </c>
      <c r="R260" s="25" t="s">
        <v>612</v>
      </c>
      <c r="S260" s="30"/>
    </row>
    <row r="261" spans="1:20" s="32" customFormat="1" x14ac:dyDescent="0.3">
      <c r="A261" s="322"/>
      <c r="B261" s="322"/>
      <c r="C261" s="323"/>
      <c r="D261" s="33" t="s">
        <v>798</v>
      </c>
      <c r="E261" s="248"/>
      <c r="F261" s="30">
        <v>8</v>
      </c>
      <c r="G261" s="31"/>
      <c r="H261" s="31"/>
      <c r="I261" s="31"/>
      <c r="J261" s="34">
        <f t="shared" ref="J261" si="33">ROUND(PRODUCT(F261:I261),2)</f>
        <v>8</v>
      </c>
      <c r="K261" s="30"/>
      <c r="L261" s="30"/>
      <c r="M261" s="30"/>
      <c r="N261" s="30"/>
      <c r="O261" s="30"/>
      <c r="P261" s="30"/>
      <c r="Q261" s="30"/>
      <c r="S261" s="30"/>
    </row>
    <row r="262" spans="1:20" s="25" customFormat="1" x14ac:dyDescent="0.3">
      <c r="A262" s="321"/>
      <c r="B262" s="321"/>
      <c r="C262" s="321"/>
      <c r="D262" s="36" t="str">
        <f>"Total item "&amp;A260</f>
        <v>Total item 10.2</v>
      </c>
      <c r="E262" s="244"/>
      <c r="F262" s="34"/>
      <c r="G262" s="34"/>
      <c r="H262" s="34"/>
      <c r="I262" s="34"/>
      <c r="J262" s="28">
        <f>SUM(J261:J261)</f>
        <v>8</v>
      </c>
      <c r="K262" s="34"/>
      <c r="L262" s="34"/>
      <c r="M262" s="34"/>
      <c r="N262" s="34"/>
      <c r="O262" s="34"/>
      <c r="P262" s="34"/>
      <c r="Q262" s="34"/>
      <c r="S262" s="34"/>
    </row>
    <row r="263" spans="1:20" s="25" customFormat="1" x14ac:dyDescent="0.3">
      <c r="A263" s="320"/>
      <c r="B263" s="321"/>
      <c r="C263" s="321"/>
      <c r="D263" s="36"/>
      <c r="E263" s="244"/>
      <c r="F263" s="34"/>
      <c r="G263" s="34"/>
      <c r="H263" s="34"/>
      <c r="I263" s="34"/>
      <c r="J263" s="37"/>
      <c r="K263" s="34"/>
      <c r="L263" s="34"/>
      <c r="M263" s="34"/>
      <c r="N263" s="34"/>
      <c r="O263" s="34"/>
      <c r="P263" s="34"/>
      <c r="Q263" s="34"/>
      <c r="S263" s="34"/>
      <c r="T263" s="38"/>
    </row>
    <row r="264" spans="1:20" s="32" customFormat="1" ht="41.4" x14ac:dyDescent="0.3">
      <c r="A264" s="322" t="s">
        <v>170</v>
      </c>
      <c r="B264" s="322" t="s">
        <v>143</v>
      </c>
      <c r="C264" s="323" t="s">
        <v>175</v>
      </c>
      <c r="D264" s="201" t="s">
        <v>153</v>
      </c>
      <c r="E264" s="245" t="s">
        <v>86</v>
      </c>
      <c r="F264" s="31"/>
      <c r="G264" s="31"/>
      <c r="H264" s="31"/>
      <c r="I264" s="31"/>
      <c r="J264" s="31"/>
      <c r="K264" s="30">
        <f>J268</f>
        <v>129</v>
      </c>
      <c r="L264" s="30">
        <f>COMPOSIÇÕES!H112</f>
        <v>74.23</v>
      </c>
      <c r="M264" s="30">
        <f>ROUND(L264*(1+$N$11),2)</f>
        <v>93.92</v>
      </c>
      <c r="N264" s="30">
        <f>TRUNC($K264*M264,2)</f>
        <v>12115.68</v>
      </c>
      <c r="O264" s="30">
        <f>COMPOSIÇÕES!J112</f>
        <v>76.81</v>
      </c>
      <c r="P264" s="30">
        <f>ROUND(O264*(1+$Q$11),2)</f>
        <v>92.56</v>
      </c>
      <c r="Q264" s="30">
        <f>TRUNC($K264*P264,2)</f>
        <v>11940.24</v>
      </c>
      <c r="R264" s="25" t="s">
        <v>612</v>
      </c>
      <c r="S264" s="30"/>
    </row>
    <row r="265" spans="1:20" s="32" customFormat="1" x14ac:dyDescent="0.3">
      <c r="A265" s="322"/>
      <c r="B265" s="322"/>
      <c r="C265" s="323"/>
      <c r="D265" s="33" t="s">
        <v>798</v>
      </c>
      <c r="E265" s="245"/>
      <c r="F265" s="30">
        <v>8</v>
      </c>
      <c r="G265" s="31"/>
      <c r="H265" s="31"/>
      <c r="I265" s="31"/>
      <c r="J265" s="34">
        <f t="shared" ref="J265:J267" si="34">ROUND(PRODUCT(F265:I265),2)</f>
        <v>8</v>
      </c>
      <c r="K265" s="30"/>
      <c r="L265" s="30"/>
      <c r="M265" s="30"/>
      <c r="N265" s="30"/>
      <c r="O265" s="30"/>
      <c r="P265" s="30"/>
      <c r="Q265" s="30"/>
      <c r="S265" s="30"/>
    </row>
    <row r="266" spans="1:20" s="32" customFormat="1" x14ac:dyDescent="0.3">
      <c r="A266" s="322"/>
      <c r="B266" s="322"/>
      <c r="C266" s="323"/>
      <c r="D266" s="213" t="s">
        <v>235</v>
      </c>
      <c r="E266" s="245"/>
      <c r="F266" s="30">
        <v>113</v>
      </c>
      <c r="G266" s="30"/>
      <c r="H266" s="30"/>
      <c r="I266" s="30"/>
      <c r="J266" s="34">
        <f t="shared" si="34"/>
        <v>113</v>
      </c>
      <c r="K266" s="30"/>
      <c r="L266" s="30"/>
      <c r="M266" s="30"/>
      <c r="N266" s="30"/>
      <c r="O266" s="30"/>
      <c r="P266" s="30"/>
      <c r="Q266" s="30"/>
      <c r="S266" s="30"/>
    </row>
    <row r="267" spans="1:20" s="32" customFormat="1" x14ac:dyDescent="0.3">
      <c r="A267" s="322"/>
      <c r="B267" s="322"/>
      <c r="C267" s="323"/>
      <c r="D267" s="213" t="s">
        <v>250</v>
      </c>
      <c r="E267" s="245"/>
      <c r="F267" s="30">
        <v>8</v>
      </c>
      <c r="G267" s="30"/>
      <c r="H267" s="30"/>
      <c r="I267" s="30"/>
      <c r="J267" s="34">
        <f t="shared" si="34"/>
        <v>8</v>
      </c>
      <c r="K267" s="30"/>
      <c r="L267" s="30"/>
      <c r="M267" s="30"/>
      <c r="N267" s="30"/>
      <c r="O267" s="30"/>
      <c r="P267" s="30"/>
      <c r="Q267" s="30"/>
      <c r="S267" s="30"/>
    </row>
    <row r="268" spans="1:20" s="25" customFormat="1" x14ac:dyDescent="0.3">
      <c r="A268" s="321"/>
      <c r="B268" s="321"/>
      <c r="C268" s="321"/>
      <c r="D268" s="36" t="str">
        <f>"Total item "&amp;A264</f>
        <v>Total item 10.3</v>
      </c>
      <c r="E268" s="244"/>
      <c r="F268" s="34"/>
      <c r="G268" s="34"/>
      <c r="H268" s="34"/>
      <c r="I268" s="34"/>
      <c r="J268" s="28">
        <f>SUM(J265:J267)</f>
        <v>129</v>
      </c>
      <c r="K268" s="34"/>
      <c r="L268" s="34"/>
      <c r="M268" s="34"/>
      <c r="N268" s="34"/>
      <c r="O268" s="34"/>
      <c r="P268" s="34"/>
      <c r="Q268" s="34"/>
      <c r="S268" s="34"/>
    </row>
    <row r="269" spans="1:20" s="25" customFormat="1" x14ac:dyDescent="0.3">
      <c r="A269" s="320"/>
      <c r="B269" s="321"/>
      <c r="C269" s="321"/>
      <c r="D269" s="36"/>
      <c r="E269" s="244"/>
      <c r="F269" s="34"/>
      <c r="G269" s="34"/>
      <c r="H269" s="34"/>
      <c r="I269" s="34"/>
      <c r="J269" s="37"/>
      <c r="K269" s="34"/>
      <c r="L269" s="34"/>
      <c r="M269" s="34"/>
      <c r="N269" s="34"/>
      <c r="O269" s="34"/>
      <c r="P269" s="34"/>
      <c r="Q269" s="34"/>
      <c r="S269" s="34"/>
      <c r="T269" s="38"/>
    </row>
    <row r="270" spans="1:20" s="32" customFormat="1" ht="27.6" x14ac:dyDescent="0.3">
      <c r="A270" s="322" t="s">
        <v>287</v>
      </c>
      <c r="B270" s="322" t="s">
        <v>35</v>
      </c>
      <c r="C270" s="323" t="s">
        <v>146</v>
      </c>
      <c r="D270" s="201" t="s">
        <v>145</v>
      </c>
      <c r="E270" s="245" t="s">
        <v>86</v>
      </c>
      <c r="F270" s="31"/>
      <c r="G270" s="31"/>
      <c r="H270" s="31"/>
      <c r="I270" s="31"/>
      <c r="J270" s="31"/>
      <c r="K270" s="30">
        <f>J272</f>
        <v>8</v>
      </c>
      <c r="L270" s="30" t="s">
        <v>807</v>
      </c>
      <c r="M270" s="30">
        <f>ROUND(L270*(1+$N$11),2)</f>
        <v>570.32000000000005</v>
      </c>
      <c r="N270" s="30">
        <f>TRUNC($K270*M270,2)</f>
        <v>4562.5600000000004</v>
      </c>
      <c r="O270" s="30" t="s">
        <v>808</v>
      </c>
      <c r="P270" s="30">
        <f>ROUND(O270*(1+$Q$11),2)</f>
        <v>546.16999999999996</v>
      </c>
      <c r="Q270" s="30">
        <f>TRUNC($K270*P270,2)</f>
        <v>4369.3599999999997</v>
      </c>
      <c r="R270" s="25" t="s">
        <v>612</v>
      </c>
      <c r="S270" s="30"/>
    </row>
    <row r="271" spans="1:20" s="32" customFormat="1" x14ac:dyDescent="0.3">
      <c r="A271" s="322"/>
      <c r="B271" s="322"/>
      <c r="C271" s="323"/>
      <c r="D271" s="33" t="s">
        <v>809</v>
      </c>
      <c r="E271" s="248"/>
      <c r="F271" s="30">
        <v>8</v>
      </c>
      <c r="G271" s="31"/>
      <c r="H271" s="31"/>
      <c r="I271" s="31"/>
      <c r="J271" s="34">
        <f t="shared" ref="J271" si="35">ROUND(PRODUCT(F271:I271),2)</f>
        <v>8</v>
      </c>
      <c r="K271" s="30"/>
      <c r="L271" s="30"/>
      <c r="M271" s="30"/>
      <c r="N271" s="30"/>
      <c r="O271" s="30"/>
      <c r="P271" s="30"/>
      <c r="Q271" s="30"/>
      <c r="S271" s="30"/>
    </row>
    <row r="272" spans="1:20" s="25" customFormat="1" x14ac:dyDescent="0.3">
      <c r="A272" s="321"/>
      <c r="B272" s="321"/>
      <c r="C272" s="321"/>
      <c r="D272" s="36" t="str">
        <f>"Total item "&amp;A270</f>
        <v>Total item 10.4</v>
      </c>
      <c r="E272" s="244"/>
      <c r="F272" s="34"/>
      <c r="G272" s="34"/>
      <c r="H272" s="34"/>
      <c r="I272" s="34"/>
      <c r="J272" s="28">
        <f>SUM(J271:J271)</f>
        <v>8</v>
      </c>
      <c r="K272" s="34"/>
      <c r="L272" s="34"/>
      <c r="M272" s="34"/>
      <c r="N272" s="34"/>
      <c r="O272" s="34"/>
      <c r="P272" s="34"/>
      <c r="Q272" s="34"/>
      <c r="S272" s="34"/>
    </row>
    <row r="273" spans="1:20" s="25" customFormat="1" x14ac:dyDescent="0.3">
      <c r="A273" s="320"/>
      <c r="B273" s="321"/>
      <c r="C273" s="321"/>
      <c r="D273" s="36"/>
      <c r="E273" s="244"/>
      <c r="F273" s="34"/>
      <c r="G273" s="34"/>
      <c r="H273" s="34"/>
      <c r="I273" s="34"/>
      <c r="J273" s="37"/>
      <c r="K273" s="34"/>
      <c r="L273" s="34"/>
      <c r="M273" s="34"/>
      <c r="N273" s="34"/>
      <c r="O273" s="34"/>
      <c r="P273" s="34"/>
      <c r="Q273" s="34"/>
      <c r="S273" s="34"/>
      <c r="T273" s="38"/>
    </row>
    <row r="274" spans="1:20" s="32" customFormat="1" ht="69" x14ac:dyDescent="0.3">
      <c r="A274" s="322" t="s">
        <v>288</v>
      </c>
      <c r="B274" s="322" t="s">
        <v>35</v>
      </c>
      <c r="C274" s="323" t="s">
        <v>442</v>
      </c>
      <c r="D274" s="201" t="s">
        <v>441</v>
      </c>
      <c r="E274" s="245" t="s">
        <v>86</v>
      </c>
      <c r="F274" s="31"/>
      <c r="G274" s="31"/>
      <c r="H274" s="31"/>
      <c r="I274" s="31"/>
      <c r="J274" s="31"/>
      <c r="K274" s="30">
        <f>J276</f>
        <v>111</v>
      </c>
      <c r="L274" s="30" t="s">
        <v>811</v>
      </c>
      <c r="M274" s="30">
        <f>ROUND(L274*(1+$N$11),2)</f>
        <v>336.42</v>
      </c>
      <c r="N274" s="30">
        <f>TRUNC($K274*M274,2)</f>
        <v>37342.620000000003</v>
      </c>
      <c r="O274" s="30" t="s">
        <v>812</v>
      </c>
      <c r="P274" s="30">
        <f>ROUND(O274*(1+$Q$11),2)</f>
        <v>323.54000000000002</v>
      </c>
      <c r="Q274" s="30">
        <f>TRUNC($K274*P274,2)</f>
        <v>35912.94</v>
      </c>
      <c r="R274" s="25" t="s">
        <v>612</v>
      </c>
      <c r="S274" s="30"/>
    </row>
    <row r="275" spans="1:20" s="32" customFormat="1" x14ac:dyDescent="0.3">
      <c r="A275" s="322"/>
      <c r="B275" s="322"/>
      <c r="C275" s="323"/>
      <c r="D275" s="33" t="s">
        <v>810</v>
      </c>
      <c r="E275" s="248"/>
      <c r="F275" s="30">
        <v>111</v>
      </c>
      <c r="G275" s="30"/>
      <c r="H275" s="30"/>
      <c r="I275" s="30"/>
      <c r="J275" s="34">
        <f t="shared" ref="J275" si="36">ROUND(PRODUCT(F275:I275),2)</f>
        <v>111</v>
      </c>
      <c r="K275" s="30"/>
      <c r="L275" s="30"/>
      <c r="M275" s="30"/>
      <c r="N275" s="30"/>
      <c r="O275" s="30"/>
      <c r="P275" s="30"/>
      <c r="Q275" s="30"/>
      <c r="S275" s="30"/>
    </row>
    <row r="276" spans="1:20" s="25" customFormat="1" x14ac:dyDescent="0.3">
      <c r="A276" s="321"/>
      <c r="B276" s="321"/>
      <c r="C276" s="321"/>
      <c r="D276" s="36" t="str">
        <f>"Total item "&amp;A274</f>
        <v>Total item 10.5</v>
      </c>
      <c r="E276" s="244"/>
      <c r="F276" s="34"/>
      <c r="G276" s="34"/>
      <c r="H276" s="34"/>
      <c r="I276" s="34"/>
      <c r="J276" s="28">
        <f>SUM(J275:J275)</f>
        <v>111</v>
      </c>
      <c r="K276" s="34"/>
      <c r="L276" s="34"/>
      <c r="M276" s="34"/>
      <c r="N276" s="34"/>
      <c r="O276" s="34"/>
      <c r="P276" s="34"/>
      <c r="Q276" s="34"/>
      <c r="S276" s="34"/>
    </row>
    <row r="277" spans="1:20" s="25" customFormat="1" x14ac:dyDescent="0.3">
      <c r="A277" s="320"/>
      <c r="B277" s="321"/>
      <c r="C277" s="321"/>
      <c r="D277" s="36"/>
      <c r="E277" s="244"/>
      <c r="F277" s="34"/>
      <c r="G277" s="34"/>
      <c r="H277" s="34"/>
      <c r="I277" s="34"/>
      <c r="J277" s="37"/>
      <c r="K277" s="34"/>
      <c r="L277" s="34"/>
      <c r="M277" s="34"/>
      <c r="N277" s="34"/>
      <c r="O277" s="34"/>
      <c r="P277" s="34"/>
      <c r="Q277" s="34"/>
      <c r="S277" s="34"/>
      <c r="T277" s="38"/>
    </row>
    <row r="278" spans="1:20" s="32" customFormat="1" ht="27.6" x14ac:dyDescent="0.3">
      <c r="A278" s="322" t="s">
        <v>289</v>
      </c>
      <c r="B278" s="322" t="s">
        <v>143</v>
      </c>
      <c r="C278" s="323" t="s">
        <v>194</v>
      </c>
      <c r="D278" s="201" t="s">
        <v>359</v>
      </c>
      <c r="E278" s="245" t="s">
        <v>86</v>
      </c>
      <c r="F278" s="31"/>
      <c r="G278" s="31"/>
      <c r="H278" s="31"/>
      <c r="I278" s="31"/>
      <c r="J278" s="31"/>
      <c r="K278" s="30">
        <f>J281</f>
        <v>2</v>
      </c>
      <c r="L278" s="30">
        <f>COMPOSIÇÕES!H128</f>
        <v>199.75</v>
      </c>
      <c r="M278" s="30">
        <f>ROUND(L278*(1+$N$11),2)</f>
        <v>252.74</v>
      </c>
      <c r="N278" s="30">
        <f>TRUNC($K278*M278,2)</f>
        <v>505.48</v>
      </c>
      <c r="O278" s="30">
        <f>COMPOSIÇÕES!J128</f>
        <v>200.94</v>
      </c>
      <c r="P278" s="30">
        <f>ROUND(O278*(1+$Q$11),2)</f>
        <v>242.13</v>
      </c>
      <c r="Q278" s="30">
        <f>TRUNC($K278*P278,2)</f>
        <v>484.26</v>
      </c>
      <c r="R278" s="25" t="s">
        <v>612</v>
      </c>
      <c r="S278" s="30"/>
    </row>
    <row r="279" spans="1:20" s="32" customFormat="1" x14ac:dyDescent="0.3">
      <c r="A279" s="322"/>
      <c r="B279" s="322"/>
      <c r="C279" s="323"/>
      <c r="D279" s="249" t="s">
        <v>249</v>
      </c>
      <c r="E279" s="245"/>
      <c r="F279" s="31"/>
      <c r="G279" s="31"/>
      <c r="H279" s="31"/>
      <c r="I279" s="31"/>
      <c r="J279" s="34"/>
      <c r="K279" s="30"/>
      <c r="L279" s="30"/>
      <c r="M279" s="30"/>
      <c r="N279" s="30"/>
      <c r="O279" s="30"/>
      <c r="P279" s="30"/>
      <c r="Q279" s="30"/>
      <c r="S279" s="30"/>
    </row>
    <row r="280" spans="1:20" s="32" customFormat="1" x14ac:dyDescent="0.3">
      <c r="A280" s="322"/>
      <c r="B280" s="322"/>
      <c r="C280" s="323"/>
      <c r="D280" s="213" t="s">
        <v>531</v>
      </c>
      <c r="E280" s="245"/>
      <c r="F280" s="30">
        <v>2</v>
      </c>
      <c r="G280" s="30"/>
      <c r="H280" s="30"/>
      <c r="I280" s="30"/>
      <c r="J280" s="34">
        <f t="shared" ref="J280" si="37">ROUND(PRODUCT(F280:I280),2)</f>
        <v>2</v>
      </c>
      <c r="K280" s="30"/>
      <c r="L280" s="30"/>
      <c r="M280" s="30"/>
      <c r="N280" s="30"/>
      <c r="O280" s="30"/>
      <c r="P280" s="30"/>
      <c r="Q280" s="30"/>
      <c r="S280" s="30"/>
    </row>
    <row r="281" spans="1:20" s="25" customFormat="1" x14ac:dyDescent="0.3">
      <c r="A281" s="321"/>
      <c r="B281" s="321"/>
      <c r="C281" s="321"/>
      <c r="D281" s="36" t="str">
        <f>"Total item "&amp;A278</f>
        <v>Total item 10.6</v>
      </c>
      <c r="E281" s="244"/>
      <c r="F281" s="34"/>
      <c r="G281" s="34"/>
      <c r="H281" s="34"/>
      <c r="I281" s="34"/>
      <c r="J281" s="28">
        <f>SUM(J279:J280)</f>
        <v>2</v>
      </c>
      <c r="K281" s="34"/>
      <c r="L281" s="34"/>
      <c r="M281" s="34"/>
      <c r="N281" s="34"/>
      <c r="O281" s="34"/>
      <c r="P281" s="34"/>
      <c r="Q281" s="34"/>
      <c r="S281" s="34"/>
    </row>
    <row r="282" spans="1:20" s="25" customFormat="1" x14ac:dyDescent="0.3">
      <c r="A282" s="320"/>
      <c r="B282" s="321"/>
      <c r="C282" s="321"/>
      <c r="D282" s="36"/>
      <c r="E282" s="244"/>
      <c r="F282" s="34"/>
      <c r="G282" s="34"/>
      <c r="H282" s="34"/>
      <c r="I282" s="34"/>
      <c r="J282" s="37"/>
      <c r="K282" s="34"/>
      <c r="L282" s="34"/>
      <c r="M282" s="34"/>
      <c r="N282" s="34"/>
      <c r="O282" s="34"/>
      <c r="P282" s="34"/>
      <c r="Q282" s="34"/>
      <c r="S282" s="34"/>
      <c r="T282" s="38"/>
    </row>
    <row r="283" spans="1:20" s="32" customFormat="1" ht="30.75" customHeight="1" x14ac:dyDescent="0.3">
      <c r="A283" s="322" t="s">
        <v>290</v>
      </c>
      <c r="B283" s="322" t="s">
        <v>35</v>
      </c>
      <c r="C283" s="323" t="s">
        <v>361</v>
      </c>
      <c r="D283" s="201" t="s">
        <v>532</v>
      </c>
      <c r="E283" s="245" t="s">
        <v>86</v>
      </c>
      <c r="F283" s="31"/>
      <c r="G283" s="31"/>
      <c r="H283" s="31"/>
      <c r="I283" s="31"/>
      <c r="J283" s="31"/>
      <c r="K283" s="30">
        <f>J285</f>
        <v>2</v>
      </c>
      <c r="L283" s="30" t="s">
        <v>816</v>
      </c>
      <c r="M283" s="30">
        <f>ROUND(L283*(1+$N$11),2)</f>
        <v>202.32</v>
      </c>
      <c r="N283" s="30">
        <f>TRUNC($K283*M283,2)</f>
        <v>404.64</v>
      </c>
      <c r="O283" s="30" t="s">
        <v>817</v>
      </c>
      <c r="P283" s="30">
        <f>ROUND(O283*(1+$Q$11),2)</f>
        <v>193</v>
      </c>
      <c r="Q283" s="30">
        <f>TRUNC($K283*P283,2)</f>
        <v>386</v>
      </c>
      <c r="R283" s="25" t="s">
        <v>612</v>
      </c>
      <c r="S283" s="30"/>
    </row>
    <row r="284" spans="1:20" s="32" customFormat="1" x14ac:dyDescent="0.3">
      <c r="A284" s="322"/>
      <c r="B284" s="322"/>
      <c r="C284" s="323"/>
      <c r="D284" s="33" t="s">
        <v>815</v>
      </c>
      <c r="E284" s="245"/>
      <c r="F284" s="30">
        <v>2</v>
      </c>
      <c r="G284" s="30"/>
      <c r="H284" s="30"/>
      <c r="I284" s="30"/>
      <c r="J284" s="34">
        <f t="shared" ref="J284" si="38">ROUND(PRODUCT(F284:I284),2)</f>
        <v>2</v>
      </c>
      <c r="K284" s="30"/>
      <c r="L284" s="30"/>
      <c r="M284" s="30"/>
      <c r="N284" s="30"/>
      <c r="O284" s="30"/>
      <c r="P284" s="30"/>
      <c r="Q284" s="30"/>
      <c r="S284" s="30"/>
    </row>
    <row r="285" spans="1:20" s="25" customFormat="1" x14ac:dyDescent="0.3">
      <c r="A285" s="321"/>
      <c r="B285" s="321"/>
      <c r="C285" s="321"/>
      <c r="D285" s="36" t="str">
        <f>"Total item "&amp;A283</f>
        <v>Total item 10.7</v>
      </c>
      <c r="E285" s="244"/>
      <c r="F285" s="34"/>
      <c r="G285" s="34"/>
      <c r="H285" s="34"/>
      <c r="I285" s="34"/>
      <c r="J285" s="28">
        <f>SUM(J284:J284)</f>
        <v>2</v>
      </c>
      <c r="K285" s="34"/>
      <c r="L285" s="34"/>
      <c r="M285" s="34"/>
      <c r="N285" s="34"/>
      <c r="O285" s="34"/>
      <c r="P285" s="34"/>
      <c r="Q285" s="34"/>
      <c r="S285" s="34"/>
    </row>
    <row r="286" spans="1:20" s="25" customFormat="1" x14ac:dyDescent="0.3">
      <c r="A286" s="320"/>
      <c r="B286" s="321"/>
      <c r="C286" s="321"/>
      <c r="D286" s="36"/>
      <c r="E286" s="244"/>
      <c r="F286" s="34"/>
      <c r="G286" s="34"/>
      <c r="H286" s="34"/>
      <c r="I286" s="34"/>
      <c r="J286" s="37"/>
      <c r="K286" s="34"/>
      <c r="L286" s="34"/>
      <c r="M286" s="34"/>
      <c r="N286" s="34"/>
      <c r="O286" s="34"/>
      <c r="P286" s="34"/>
      <c r="Q286" s="34"/>
      <c r="S286" s="34"/>
      <c r="T286" s="38"/>
    </row>
    <row r="287" spans="1:20" s="32" customFormat="1" ht="41.4" x14ac:dyDescent="0.3">
      <c r="A287" s="322" t="s">
        <v>291</v>
      </c>
      <c r="B287" s="322" t="s">
        <v>35</v>
      </c>
      <c r="C287" s="323" t="s">
        <v>252</v>
      </c>
      <c r="D287" s="201" t="s">
        <v>251</v>
      </c>
      <c r="E287" s="245" t="s">
        <v>86</v>
      </c>
      <c r="F287" s="31"/>
      <c r="G287" s="31"/>
      <c r="H287" s="31"/>
      <c r="I287" s="31"/>
      <c r="J287" s="31"/>
      <c r="K287" s="30">
        <f>J291</f>
        <v>114</v>
      </c>
      <c r="L287" s="30" t="s">
        <v>818</v>
      </c>
      <c r="M287" s="30">
        <f>ROUND(L287*(1+$N$11),2)</f>
        <v>125.23</v>
      </c>
      <c r="N287" s="30">
        <f>TRUNC($K287*M287,2)</f>
        <v>14276.22</v>
      </c>
      <c r="O287" s="30" t="s">
        <v>819</v>
      </c>
      <c r="P287" s="30">
        <f>ROUND(O287*(1+$Q$11),2)</f>
        <v>120.34</v>
      </c>
      <c r="Q287" s="30">
        <f>TRUNC($K287*P287,2)</f>
        <v>13718.76</v>
      </c>
      <c r="R287" s="25" t="s">
        <v>612</v>
      </c>
      <c r="S287" s="30"/>
    </row>
    <row r="288" spans="1:20" s="32" customFormat="1" x14ac:dyDescent="0.3">
      <c r="A288" s="322"/>
      <c r="B288" s="322"/>
      <c r="C288" s="323"/>
      <c r="D288" s="33" t="s">
        <v>798</v>
      </c>
      <c r="E288" s="245"/>
      <c r="F288" s="30">
        <v>3</v>
      </c>
      <c r="G288" s="30"/>
      <c r="H288" s="30"/>
      <c r="I288" s="30"/>
      <c r="J288" s="34">
        <f t="shared" ref="J288:J290" si="39">ROUND(PRODUCT(F288:I288),2)</f>
        <v>3</v>
      </c>
      <c r="K288" s="30"/>
      <c r="L288" s="30"/>
      <c r="M288" s="30"/>
      <c r="N288" s="30"/>
      <c r="O288" s="30"/>
      <c r="P288" s="30"/>
      <c r="Q288" s="30"/>
      <c r="S288" s="30"/>
    </row>
    <row r="289" spans="1:20" s="32" customFormat="1" x14ac:dyDescent="0.3">
      <c r="A289" s="322"/>
      <c r="B289" s="322"/>
      <c r="C289" s="323"/>
      <c r="D289" s="33" t="s">
        <v>810</v>
      </c>
      <c r="E289" s="245"/>
      <c r="F289" s="30">
        <v>110</v>
      </c>
      <c r="G289" s="30"/>
      <c r="H289" s="30"/>
      <c r="I289" s="30"/>
      <c r="J289" s="34">
        <f t="shared" si="39"/>
        <v>110</v>
      </c>
      <c r="K289" s="30"/>
      <c r="L289" s="30"/>
      <c r="M289" s="30"/>
      <c r="N289" s="30"/>
      <c r="O289" s="30"/>
      <c r="P289" s="30"/>
      <c r="Q289" s="30"/>
      <c r="S289" s="30"/>
    </row>
    <row r="290" spans="1:20" s="32" customFormat="1" x14ac:dyDescent="0.3">
      <c r="A290" s="322"/>
      <c r="B290" s="322"/>
      <c r="C290" s="323"/>
      <c r="D290" s="213" t="s">
        <v>533</v>
      </c>
      <c r="E290" s="245"/>
      <c r="F290" s="30">
        <v>1</v>
      </c>
      <c r="G290" s="30"/>
      <c r="H290" s="30"/>
      <c r="I290" s="30"/>
      <c r="J290" s="34">
        <f t="shared" si="39"/>
        <v>1</v>
      </c>
      <c r="K290" s="30"/>
      <c r="L290" s="30"/>
      <c r="M290" s="30"/>
      <c r="N290" s="30"/>
      <c r="O290" s="30"/>
      <c r="P290" s="30"/>
      <c r="Q290" s="30"/>
      <c r="S290" s="30"/>
    </row>
    <row r="291" spans="1:20" s="25" customFormat="1" x14ac:dyDescent="0.3">
      <c r="A291" s="321"/>
      <c r="B291" s="321"/>
      <c r="C291" s="321"/>
      <c r="D291" s="36" t="str">
        <f>"Total item "&amp;A287</f>
        <v>Total item 10.8</v>
      </c>
      <c r="E291" s="244"/>
      <c r="F291" s="34"/>
      <c r="G291" s="34"/>
      <c r="H291" s="34"/>
      <c r="I291" s="34"/>
      <c r="J291" s="28">
        <f>SUM(J288:J290)</f>
        <v>114</v>
      </c>
      <c r="K291" s="34"/>
      <c r="L291" s="34"/>
      <c r="M291" s="34"/>
      <c r="N291" s="34"/>
      <c r="O291" s="34"/>
      <c r="P291" s="34"/>
      <c r="Q291" s="34"/>
      <c r="S291" s="34"/>
    </row>
    <row r="292" spans="1:20" s="25" customFormat="1" x14ac:dyDescent="0.3">
      <c r="A292" s="320"/>
      <c r="B292" s="321"/>
      <c r="C292" s="321"/>
      <c r="D292" s="201"/>
      <c r="E292" s="244"/>
      <c r="F292" s="34"/>
      <c r="G292" s="34"/>
      <c r="H292" s="34"/>
      <c r="I292" s="34"/>
      <c r="J292" s="37"/>
      <c r="K292" s="34"/>
      <c r="L292" s="34"/>
      <c r="M292" s="34"/>
      <c r="N292" s="34"/>
      <c r="O292" s="34"/>
      <c r="P292" s="34"/>
      <c r="Q292" s="34"/>
      <c r="S292" s="34"/>
      <c r="T292" s="38"/>
    </row>
    <row r="293" spans="1:20" s="32" customFormat="1" ht="27.6" x14ac:dyDescent="0.3">
      <c r="A293" s="322" t="s">
        <v>292</v>
      </c>
      <c r="B293" s="322" t="s">
        <v>35</v>
      </c>
      <c r="C293" s="323" t="s">
        <v>142</v>
      </c>
      <c r="D293" s="201" t="s">
        <v>141</v>
      </c>
      <c r="E293" s="245" t="s">
        <v>86</v>
      </c>
      <c r="F293" s="31"/>
      <c r="G293" s="31"/>
      <c r="H293" s="31"/>
      <c r="I293" s="31"/>
      <c r="J293" s="31"/>
      <c r="K293" s="30">
        <f>J296</f>
        <v>8</v>
      </c>
      <c r="L293" s="30" t="s">
        <v>822</v>
      </c>
      <c r="M293" s="30">
        <f>ROUND(L293*(1+$N$11),2)</f>
        <v>41.01</v>
      </c>
      <c r="N293" s="30">
        <f>TRUNC($K293*M293,2)</f>
        <v>328.08</v>
      </c>
      <c r="O293" s="30" t="s">
        <v>823</v>
      </c>
      <c r="P293" s="30">
        <f>ROUND(O293*(1+$Q$11),2)</f>
        <v>39.58</v>
      </c>
      <c r="Q293" s="30">
        <f>TRUNC($K293*P293,2)</f>
        <v>316.64</v>
      </c>
      <c r="R293" s="25" t="s">
        <v>612</v>
      </c>
      <c r="S293" s="30"/>
    </row>
    <row r="294" spans="1:20" s="32" customFormat="1" x14ac:dyDescent="0.3">
      <c r="A294" s="322"/>
      <c r="B294" s="322"/>
      <c r="C294" s="323"/>
      <c r="D294" s="249" t="s">
        <v>233</v>
      </c>
      <c r="E294" s="245"/>
      <c r="F294" s="31"/>
      <c r="G294" s="31"/>
      <c r="H294" s="31"/>
      <c r="I294" s="31"/>
      <c r="J294" s="34"/>
      <c r="K294" s="30"/>
      <c r="L294" s="30"/>
      <c r="M294" s="30"/>
      <c r="N294" s="30"/>
      <c r="O294" s="30"/>
      <c r="P294" s="30"/>
      <c r="Q294" s="30"/>
      <c r="S294" s="30"/>
    </row>
    <row r="295" spans="1:20" s="32" customFormat="1" x14ac:dyDescent="0.3">
      <c r="A295" s="322"/>
      <c r="B295" s="322"/>
      <c r="C295" s="323"/>
      <c r="D295" s="213" t="s">
        <v>234</v>
      </c>
      <c r="E295" s="245"/>
      <c r="F295" s="30">
        <v>8</v>
      </c>
      <c r="G295" s="30"/>
      <c r="H295" s="30"/>
      <c r="I295" s="30"/>
      <c r="J295" s="34">
        <f t="shared" ref="J295" si="40">ROUND(PRODUCT(F295:I295),2)</f>
        <v>8</v>
      </c>
      <c r="K295" s="30"/>
      <c r="L295" s="30"/>
      <c r="M295" s="30"/>
      <c r="N295" s="30"/>
      <c r="O295" s="30"/>
      <c r="P295" s="30"/>
      <c r="Q295" s="30"/>
      <c r="S295" s="30"/>
    </row>
    <row r="296" spans="1:20" s="25" customFormat="1" x14ac:dyDescent="0.3">
      <c r="A296" s="321"/>
      <c r="B296" s="321"/>
      <c r="C296" s="321"/>
      <c r="D296" s="36" t="str">
        <f>"Total item "&amp;A293</f>
        <v>Total item 10.9</v>
      </c>
      <c r="E296" s="244"/>
      <c r="F296" s="34"/>
      <c r="G296" s="34"/>
      <c r="H296" s="34"/>
      <c r="I296" s="34"/>
      <c r="J296" s="28">
        <f>SUM(J294:J295)</f>
        <v>8</v>
      </c>
      <c r="K296" s="34"/>
      <c r="L296" s="34"/>
      <c r="M296" s="34"/>
      <c r="N296" s="34"/>
      <c r="O296" s="34"/>
      <c r="P296" s="34"/>
      <c r="Q296" s="34"/>
      <c r="S296" s="34"/>
    </row>
    <row r="297" spans="1:20" s="25" customFormat="1" x14ac:dyDescent="0.3">
      <c r="A297" s="320"/>
      <c r="B297" s="321"/>
      <c r="C297" s="321"/>
      <c r="D297" s="36"/>
      <c r="E297" s="244"/>
      <c r="F297" s="34"/>
      <c r="G297" s="34"/>
      <c r="H297" s="34"/>
      <c r="I297" s="34"/>
      <c r="J297" s="37"/>
      <c r="K297" s="34"/>
      <c r="L297" s="34"/>
      <c r="M297" s="34"/>
      <c r="N297" s="34"/>
      <c r="O297" s="34"/>
      <c r="P297" s="34"/>
      <c r="Q297" s="34"/>
      <c r="S297" s="34"/>
      <c r="T297" s="38"/>
    </row>
    <row r="298" spans="1:20" s="32" customFormat="1" ht="27.6" x14ac:dyDescent="0.3">
      <c r="A298" s="322" t="s">
        <v>293</v>
      </c>
      <c r="B298" s="322" t="s">
        <v>35</v>
      </c>
      <c r="C298" s="323">
        <v>95545</v>
      </c>
      <c r="D298" s="201" t="s">
        <v>253</v>
      </c>
      <c r="E298" s="245" t="s">
        <v>86</v>
      </c>
      <c r="F298" s="31"/>
      <c r="G298" s="31"/>
      <c r="H298" s="31"/>
      <c r="I298" s="31"/>
      <c r="J298" s="31"/>
      <c r="K298" s="30">
        <f>J300</f>
        <v>4</v>
      </c>
      <c r="L298" s="30" t="s">
        <v>826</v>
      </c>
      <c r="M298" s="30">
        <f>ROUND(L298*(1+$N$11),2)</f>
        <v>102.89</v>
      </c>
      <c r="N298" s="30">
        <f>TRUNC($K298*M298,2)</f>
        <v>411.56</v>
      </c>
      <c r="O298" s="30" t="s">
        <v>827</v>
      </c>
      <c r="P298" s="30">
        <f>ROUND(O298*(1+$Q$11),2)</f>
        <v>99.06</v>
      </c>
      <c r="Q298" s="30">
        <f>TRUNC($K298*P298,2)</f>
        <v>396.24</v>
      </c>
      <c r="R298" s="25" t="s">
        <v>612</v>
      </c>
      <c r="S298" s="30"/>
    </row>
    <row r="299" spans="1:20" s="32" customFormat="1" x14ac:dyDescent="0.3">
      <c r="A299" s="322"/>
      <c r="B299" s="322"/>
      <c r="C299" s="323"/>
      <c r="D299" s="249" t="s">
        <v>233</v>
      </c>
      <c r="E299" s="245"/>
      <c r="F299" s="30">
        <v>4</v>
      </c>
      <c r="G299" s="31"/>
      <c r="H299" s="31"/>
      <c r="I299" s="31"/>
      <c r="J299" s="34">
        <f t="shared" ref="J299" si="41">ROUND(PRODUCT(F299:I299),2)</f>
        <v>4</v>
      </c>
      <c r="K299" s="30"/>
      <c r="L299" s="30"/>
      <c r="M299" s="30"/>
      <c r="N299" s="30"/>
      <c r="O299" s="30"/>
      <c r="P299" s="30"/>
      <c r="Q299" s="30"/>
      <c r="S299" s="30"/>
    </row>
    <row r="300" spans="1:20" s="25" customFormat="1" x14ac:dyDescent="0.3">
      <c r="A300" s="321"/>
      <c r="B300" s="321"/>
      <c r="C300" s="321"/>
      <c r="D300" s="36" t="str">
        <f>"Total item "&amp;A298</f>
        <v>Total item 10.10</v>
      </c>
      <c r="E300" s="244"/>
      <c r="F300" s="34"/>
      <c r="G300" s="34"/>
      <c r="H300" s="34"/>
      <c r="I300" s="34"/>
      <c r="J300" s="28">
        <f>SUM(J299:J299)</f>
        <v>4</v>
      </c>
      <c r="K300" s="34"/>
      <c r="L300" s="34"/>
      <c r="M300" s="34"/>
      <c r="N300" s="34"/>
      <c r="O300" s="34"/>
      <c r="P300" s="34"/>
      <c r="Q300" s="34"/>
      <c r="S300" s="34"/>
    </row>
    <row r="301" spans="1:20" s="25" customFormat="1" x14ac:dyDescent="0.3">
      <c r="A301" s="320"/>
      <c r="B301" s="321"/>
      <c r="C301" s="321"/>
      <c r="D301" s="36"/>
      <c r="E301" s="244"/>
      <c r="F301" s="34"/>
      <c r="G301" s="34"/>
      <c r="H301" s="34"/>
      <c r="I301" s="34"/>
      <c r="J301" s="37"/>
      <c r="K301" s="34"/>
      <c r="L301" s="34"/>
      <c r="M301" s="34"/>
      <c r="N301" s="34"/>
      <c r="O301" s="34"/>
      <c r="P301" s="34"/>
      <c r="Q301" s="34"/>
      <c r="S301" s="34"/>
      <c r="T301" s="38"/>
    </row>
    <row r="302" spans="1:20" s="32" customFormat="1" ht="27.6" x14ac:dyDescent="0.3">
      <c r="A302" s="322" t="s">
        <v>294</v>
      </c>
      <c r="B302" s="322" t="s">
        <v>35</v>
      </c>
      <c r="C302" s="323" t="s">
        <v>255</v>
      </c>
      <c r="D302" s="201" t="s">
        <v>254</v>
      </c>
      <c r="E302" s="245" t="s">
        <v>86</v>
      </c>
      <c r="F302" s="31"/>
      <c r="G302" s="31"/>
      <c r="H302" s="31"/>
      <c r="I302" s="31"/>
      <c r="J302" s="31"/>
      <c r="K302" s="30">
        <f>J304</f>
        <v>4</v>
      </c>
      <c r="L302" s="30" t="s">
        <v>828</v>
      </c>
      <c r="M302" s="30">
        <f>ROUND(L302*(1+$N$11),2)</f>
        <v>105.22</v>
      </c>
      <c r="N302" s="30">
        <f>TRUNC($K302*M302,2)</f>
        <v>420.88</v>
      </c>
      <c r="O302" s="30" t="s">
        <v>829</v>
      </c>
      <c r="P302" s="30">
        <f>ROUND(O302*(1+$Q$11),2)</f>
        <v>101.28</v>
      </c>
      <c r="Q302" s="30">
        <f>TRUNC($K302*P302,2)</f>
        <v>405.12</v>
      </c>
      <c r="R302" s="25" t="s">
        <v>612</v>
      </c>
      <c r="S302" s="30"/>
    </row>
    <row r="303" spans="1:20" s="32" customFormat="1" x14ac:dyDescent="0.3">
      <c r="A303" s="322"/>
      <c r="B303" s="322"/>
      <c r="C303" s="323"/>
      <c r="D303" s="249" t="s">
        <v>233</v>
      </c>
      <c r="E303" s="245"/>
      <c r="F303" s="30">
        <v>4</v>
      </c>
      <c r="G303" s="31"/>
      <c r="H303" s="31"/>
      <c r="I303" s="31"/>
      <c r="J303" s="34">
        <f t="shared" ref="J303" si="42">ROUND(PRODUCT(F303:I303),2)</f>
        <v>4</v>
      </c>
      <c r="K303" s="30"/>
      <c r="L303" s="30"/>
      <c r="M303" s="30"/>
      <c r="N303" s="30"/>
      <c r="O303" s="30"/>
      <c r="P303" s="30"/>
      <c r="Q303" s="30"/>
      <c r="S303" s="30"/>
    </row>
    <row r="304" spans="1:20" s="25" customFormat="1" x14ac:dyDescent="0.3">
      <c r="A304" s="321"/>
      <c r="B304" s="321"/>
      <c r="C304" s="321"/>
      <c r="D304" s="36" t="str">
        <f>"Total item "&amp;A302</f>
        <v>Total item 10.11</v>
      </c>
      <c r="E304" s="244"/>
      <c r="F304" s="34"/>
      <c r="G304" s="34"/>
      <c r="H304" s="34"/>
      <c r="I304" s="34"/>
      <c r="J304" s="28">
        <f>SUM(J303:J303)</f>
        <v>4</v>
      </c>
      <c r="K304" s="34"/>
      <c r="L304" s="34"/>
      <c r="M304" s="34"/>
      <c r="N304" s="34"/>
      <c r="O304" s="34"/>
      <c r="P304" s="34"/>
      <c r="Q304" s="34"/>
      <c r="S304" s="34"/>
    </row>
    <row r="305" spans="1:21" s="25" customFormat="1" x14ac:dyDescent="0.3">
      <c r="A305" s="320"/>
      <c r="B305" s="321"/>
      <c r="C305" s="321"/>
      <c r="D305" s="36"/>
      <c r="E305" s="244"/>
      <c r="F305" s="34"/>
      <c r="G305" s="34"/>
      <c r="H305" s="34"/>
      <c r="I305" s="34"/>
      <c r="J305" s="37"/>
      <c r="K305" s="34"/>
      <c r="L305" s="34"/>
      <c r="M305" s="34"/>
      <c r="N305" s="34"/>
      <c r="O305" s="34"/>
      <c r="P305" s="34"/>
      <c r="Q305" s="34"/>
      <c r="S305" s="34"/>
      <c r="T305" s="38"/>
    </row>
    <row r="306" spans="1:21" s="32" customFormat="1" ht="27.6" x14ac:dyDescent="0.3">
      <c r="A306" s="322" t="s">
        <v>295</v>
      </c>
      <c r="B306" s="322" t="s">
        <v>35</v>
      </c>
      <c r="C306" s="323" t="s">
        <v>257</v>
      </c>
      <c r="D306" s="201" t="s">
        <v>256</v>
      </c>
      <c r="E306" s="245" t="s">
        <v>86</v>
      </c>
      <c r="F306" s="31"/>
      <c r="G306" s="31"/>
      <c r="H306" s="31"/>
      <c r="I306" s="31"/>
      <c r="J306" s="31"/>
      <c r="K306" s="30">
        <f>J308</f>
        <v>4</v>
      </c>
      <c r="L306" s="30" t="s">
        <v>830</v>
      </c>
      <c r="M306" s="30">
        <f>ROUND(L306*(1+$N$11),2)</f>
        <v>135.58000000000001</v>
      </c>
      <c r="N306" s="30">
        <f>TRUNC($K306*M306,2)</f>
        <v>542.32000000000005</v>
      </c>
      <c r="O306" s="30" t="s">
        <v>831</v>
      </c>
      <c r="P306" s="30">
        <f>ROUND(O306*(1+$Q$11),2)</f>
        <v>131.25</v>
      </c>
      <c r="Q306" s="30">
        <f>TRUNC($K306*P306,2)</f>
        <v>525</v>
      </c>
      <c r="R306" s="25" t="s">
        <v>612</v>
      </c>
      <c r="S306" s="30"/>
    </row>
    <row r="307" spans="1:21" s="32" customFormat="1" x14ac:dyDescent="0.3">
      <c r="A307" s="322"/>
      <c r="B307" s="322"/>
      <c r="C307" s="323"/>
      <c r="D307" s="249" t="s">
        <v>233</v>
      </c>
      <c r="E307" s="245"/>
      <c r="F307" s="30">
        <v>4</v>
      </c>
      <c r="G307" s="31"/>
      <c r="H307" s="31"/>
      <c r="I307" s="31"/>
      <c r="J307" s="34">
        <f t="shared" ref="J307" si="43">ROUND(PRODUCT(F307:I307),2)</f>
        <v>4</v>
      </c>
      <c r="K307" s="30"/>
      <c r="L307" s="30"/>
      <c r="M307" s="30"/>
      <c r="N307" s="30"/>
      <c r="O307" s="30"/>
      <c r="P307" s="30"/>
      <c r="Q307" s="30"/>
      <c r="S307" s="30"/>
    </row>
    <row r="308" spans="1:21" s="25" customFormat="1" x14ac:dyDescent="0.3">
      <c r="A308" s="321"/>
      <c r="B308" s="321"/>
      <c r="C308" s="321"/>
      <c r="D308" s="36" t="str">
        <f>"Total item "&amp;A306</f>
        <v>Total item 10.12</v>
      </c>
      <c r="E308" s="244"/>
      <c r="F308" s="34"/>
      <c r="G308" s="34"/>
      <c r="H308" s="34"/>
      <c r="I308" s="34"/>
      <c r="J308" s="28">
        <f>SUM(J307:J307)</f>
        <v>4</v>
      </c>
      <c r="K308" s="34"/>
      <c r="L308" s="34"/>
      <c r="M308" s="34"/>
      <c r="N308" s="34"/>
      <c r="O308" s="34"/>
      <c r="P308" s="34"/>
      <c r="Q308" s="34"/>
      <c r="S308" s="34"/>
    </row>
    <row r="309" spans="1:21" s="25" customFormat="1" x14ac:dyDescent="0.3">
      <c r="A309" s="320"/>
      <c r="B309" s="321"/>
      <c r="C309" s="321"/>
      <c r="D309" s="36"/>
      <c r="E309" s="244"/>
      <c r="F309" s="34"/>
      <c r="G309" s="34"/>
      <c r="H309" s="34"/>
      <c r="I309" s="34"/>
      <c r="J309" s="37"/>
      <c r="K309" s="34"/>
      <c r="L309" s="34"/>
      <c r="M309" s="34"/>
      <c r="N309" s="34"/>
      <c r="O309" s="34"/>
      <c r="P309" s="34"/>
      <c r="Q309" s="34"/>
      <c r="S309" s="34"/>
      <c r="T309" s="38"/>
    </row>
    <row r="310" spans="1:21" s="32" customFormat="1" ht="69" x14ac:dyDescent="0.3">
      <c r="A310" s="322" t="s">
        <v>296</v>
      </c>
      <c r="B310" s="322" t="s">
        <v>143</v>
      </c>
      <c r="C310" s="323" t="s">
        <v>195</v>
      </c>
      <c r="D310" s="201" t="s">
        <v>550</v>
      </c>
      <c r="E310" s="245" t="s">
        <v>86</v>
      </c>
      <c r="F310" s="31"/>
      <c r="G310" s="31"/>
      <c r="H310" s="31"/>
      <c r="I310" s="31"/>
      <c r="J310" s="31"/>
      <c r="K310" s="30">
        <f>J312</f>
        <v>1</v>
      </c>
      <c r="L310" s="30">
        <f>COMPOSIÇÕES!H145</f>
        <v>9162.51</v>
      </c>
      <c r="M310" s="30">
        <f>ROUND(L310*(1+$N$11),2)</f>
        <v>11593.32</v>
      </c>
      <c r="N310" s="30">
        <f>TRUNC($K310*M310,2)</f>
        <v>11593.32</v>
      </c>
      <c r="O310" s="30">
        <f>COMPOSIÇÕES!J145</f>
        <v>9162.51</v>
      </c>
      <c r="P310" s="30">
        <f>ROUND(O310*(1+$Q$11),2)</f>
        <v>11040.82</v>
      </c>
      <c r="Q310" s="30">
        <f>TRUNC($K310*P310,2)</f>
        <v>11040.82</v>
      </c>
      <c r="R310" s="25" t="s">
        <v>612</v>
      </c>
      <c r="S310" s="30"/>
    </row>
    <row r="311" spans="1:21" s="32" customFormat="1" x14ac:dyDescent="0.3">
      <c r="A311" s="322"/>
      <c r="B311" s="322"/>
      <c r="C311" s="323"/>
      <c r="D311" s="253" t="s">
        <v>551</v>
      </c>
      <c r="E311" s="245"/>
      <c r="F311" s="30">
        <v>1</v>
      </c>
      <c r="G311" s="31"/>
      <c r="H311" s="31"/>
      <c r="I311" s="31"/>
      <c r="J311" s="34">
        <f t="shared" ref="J311" si="44">ROUND(PRODUCT(F311:I311),2)</f>
        <v>1</v>
      </c>
      <c r="K311" s="30"/>
      <c r="L311" s="30"/>
      <c r="M311" s="30"/>
      <c r="N311" s="30"/>
      <c r="O311" s="30"/>
      <c r="P311" s="30"/>
      <c r="Q311" s="30"/>
      <c r="S311" s="30"/>
    </row>
    <row r="312" spans="1:21" s="25" customFormat="1" x14ac:dyDescent="0.3">
      <c r="A312" s="321"/>
      <c r="B312" s="321"/>
      <c r="C312" s="321"/>
      <c r="D312" s="36" t="str">
        <f>"Total item "&amp;A310</f>
        <v>Total item 10.13</v>
      </c>
      <c r="E312" s="244"/>
      <c r="F312" s="34"/>
      <c r="G312" s="34"/>
      <c r="H312" s="34"/>
      <c r="I312" s="34"/>
      <c r="J312" s="28">
        <f>SUM(J311:J311)</f>
        <v>1</v>
      </c>
      <c r="K312" s="34"/>
      <c r="L312" s="34"/>
      <c r="M312" s="34"/>
      <c r="N312" s="34"/>
      <c r="O312" s="34"/>
      <c r="P312" s="34"/>
      <c r="Q312" s="34"/>
      <c r="S312" s="34"/>
    </row>
    <row r="313" spans="1:21" s="276" customFormat="1" x14ac:dyDescent="0.3">
      <c r="A313" s="352"/>
      <c r="B313" s="35"/>
      <c r="C313" s="35"/>
      <c r="D313" s="36"/>
      <c r="E313" s="353"/>
      <c r="F313" s="34"/>
      <c r="G313" s="34"/>
      <c r="H313" s="34"/>
      <c r="I313" s="34"/>
      <c r="J313" s="37"/>
      <c r="K313" s="34"/>
      <c r="L313" s="34"/>
      <c r="M313" s="34"/>
      <c r="N313" s="34"/>
      <c r="O313" s="34"/>
      <c r="P313" s="34"/>
      <c r="Q313" s="34"/>
      <c r="R313" s="25"/>
      <c r="S313" s="34"/>
      <c r="T313" s="38"/>
      <c r="U313" s="38"/>
    </row>
    <row r="314" spans="1:21" s="252" customFormat="1" ht="41.4" x14ac:dyDescent="0.3">
      <c r="A314" s="322" t="s">
        <v>297</v>
      </c>
      <c r="B314" s="322" t="s">
        <v>35</v>
      </c>
      <c r="C314" s="323" t="s">
        <v>599</v>
      </c>
      <c r="D314" s="201" t="s">
        <v>600</v>
      </c>
      <c r="E314" s="245" t="s">
        <v>87</v>
      </c>
      <c r="F314" s="31"/>
      <c r="G314" s="31"/>
      <c r="H314" s="31"/>
      <c r="I314" s="31"/>
      <c r="J314" s="31"/>
      <c r="K314" s="30">
        <f>J317</f>
        <v>200</v>
      </c>
      <c r="L314" s="30" t="s">
        <v>832</v>
      </c>
      <c r="M314" s="30">
        <f>ROUND(L314*(1+$N$11),2)</f>
        <v>37.9</v>
      </c>
      <c r="N314" s="30">
        <f>TRUNC($K314*M314,2)</f>
        <v>7580</v>
      </c>
      <c r="O314" s="30" t="s">
        <v>833</v>
      </c>
      <c r="P314" s="30">
        <f>ROUND(O314*(1+$Q$11),2)</f>
        <v>38.32</v>
      </c>
      <c r="Q314" s="30">
        <f>TRUNC($K314*P314,2)</f>
        <v>7664</v>
      </c>
      <c r="R314" s="25" t="s">
        <v>612</v>
      </c>
      <c r="S314" s="30"/>
      <c r="T314" s="32"/>
      <c r="U314" s="32"/>
    </row>
    <row r="315" spans="1:21" s="252" customFormat="1" ht="27.6" x14ac:dyDescent="0.3">
      <c r="A315" s="322"/>
      <c r="B315" s="322"/>
      <c r="C315" s="323"/>
      <c r="D315" s="213" t="s">
        <v>601</v>
      </c>
      <c r="E315" s="245"/>
      <c r="F315" s="30">
        <v>200</v>
      </c>
      <c r="G315" s="30"/>
      <c r="H315" s="30"/>
      <c r="I315" s="30"/>
      <c r="J315" s="34">
        <f t="shared" ref="J315:J316" si="45">ROUND(PRODUCT(F315:I315),2)</f>
        <v>200</v>
      </c>
      <c r="K315" s="30"/>
      <c r="L315" s="30"/>
      <c r="M315" s="30"/>
      <c r="N315" s="30"/>
      <c r="O315" s="30"/>
      <c r="P315" s="30"/>
      <c r="Q315" s="30"/>
      <c r="R315" s="32"/>
      <c r="S315" s="30"/>
      <c r="T315" s="32"/>
      <c r="U315" s="32"/>
    </row>
    <row r="316" spans="1:21" s="252" customFormat="1" ht="27.6" x14ac:dyDescent="0.3">
      <c r="A316" s="322"/>
      <c r="B316" s="322"/>
      <c r="C316" s="323"/>
      <c r="D316" s="213" t="s">
        <v>602</v>
      </c>
      <c r="E316" s="245"/>
      <c r="F316" s="30"/>
      <c r="G316" s="30"/>
      <c r="H316" s="30"/>
      <c r="I316" s="30"/>
      <c r="J316" s="34">
        <f t="shared" si="45"/>
        <v>0</v>
      </c>
      <c r="K316" s="30"/>
      <c r="L316" s="30"/>
      <c r="M316" s="30"/>
      <c r="N316" s="30"/>
      <c r="O316" s="30"/>
      <c r="P316" s="30"/>
      <c r="Q316" s="30"/>
      <c r="R316" s="32"/>
      <c r="S316" s="30"/>
      <c r="T316" s="32"/>
      <c r="U316" s="32"/>
    </row>
    <row r="317" spans="1:21" s="276" customFormat="1" x14ac:dyDescent="0.3">
      <c r="A317" s="322"/>
      <c r="B317" s="322"/>
      <c r="C317" s="323"/>
      <c r="D317" s="36" t="str">
        <f>"Total item "&amp;A314</f>
        <v>Total item 10.14</v>
      </c>
      <c r="E317" s="245"/>
      <c r="F317" s="34"/>
      <c r="G317" s="34"/>
      <c r="H317" s="34"/>
      <c r="I317" s="34"/>
      <c r="J317" s="28">
        <f>SUM(J315:J316)</f>
        <v>200</v>
      </c>
      <c r="K317" s="34"/>
      <c r="L317" s="34"/>
      <c r="M317" s="34"/>
      <c r="N317" s="34"/>
      <c r="O317" s="34"/>
      <c r="P317" s="34"/>
      <c r="Q317" s="34"/>
      <c r="R317" s="25"/>
      <c r="S317" s="34"/>
      <c r="T317" s="25"/>
      <c r="U317" s="25"/>
    </row>
    <row r="318" spans="1:21" s="276" customFormat="1" x14ac:dyDescent="0.3">
      <c r="A318" s="322"/>
      <c r="B318" s="322"/>
      <c r="C318" s="323"/>
      <c r="D318" s="36"/>
      <c r="E318" s="245"/>
      <c r="F318" s="34"/>
      <c r="G318" s="34"/>
      <c r="H318" s="34"/>
      <c r="I318" s="34"/>
      <c r="J318" s="37"/>
      <c r="K318" s="34"/>
      <c r="L318" s="34"/>
      <c r="M318" s="34"/>
      <c r="N318" s="34"/>
      <c r="O318" s="34"/>
      <c r="P318" s="34"/>
      <c r="Q318" s="34"/>
      <c r="R318" s="25"/>
      <c r="S318" s="34"/>
      <c r="T318" s="38"/>
      <c r="U318" s="38"/>
    </row>
    <row r="319" spans="1:21" s="252" customFormat="1" ht="55.2" x14ac:dyDescent="0.3">
      <c r="A319" s="322" t="s">
        <v>298</v>
      </c>
      <c r="B319" s="322" t="s">
        <v>35</v>
      </c>
      <c r="C319" s="323" t="s">
        <v>597</v>
      </c>
      <c r="D319" s="201" t="s">
        <v>598</v>
      </c>
      <c r="E319" s="245" t="s">
        <v>86</v>
      </c>
      <c r="F319" s="31"/>
      <c r="G319" s="31"/>
      <c r="H319" s="31"/>
      <c r="I319" s="31"/>
      <c r="J319" s="31"/>
      <c r="K319" s="30">
        <f>J321</f>
        <v>6</v>
      </c>
      <c r="L319" s="30" t="s">
        <v>709</v>
      </c>
      <c r="M319" s="30">
        <f>ROUND(L319*(1+$N$11),2)</f>
        <v>343.55</v>
      </c>
      <c r="N319" s="30">
        <f>TRUNC($K319*M319,2)</f>
        <v>2061.3000000000002</v>
      </c>
      <c r="O319" s="30" t="s">
        <v>710</v>
      </c>
      <c r="P319" s="30">
        <f>ROUND(O319*(1+$Q$11),2)</f>
        <v>343.47</v>
      </c>
      <c r="Q319" s="30">
        <f>TRUNC($K319*P319,2)</f>
        <v>2060.8200000000002</v>
      </c>
      <c r="R319" s="25" t="s">
        <v>612</v>
      </c>
      <c r="S319" s="30"/>
      <c r="T319" s="32"/>
      <c r="U319" s="32"/>
    </row>
    <row r="320" spans="1:21" s="252" customFormat="1" x14ac:dyDescent="0.3">
      <c r="A320" s="322"/>
      <c r="B320" s="322"/>
      <c r="C320" s="200"/>
      <c r="D320" s="213" t="s">
        <v>720</v>
      </c>
      <c r="E320" s="245"/>
      <c r="F320" s="30">
        <v>6</v>
      </c>
      <c r="G320" s="30"/>
      <c r="H320" s="30"/>
      <c r="I320" s="30"/>
      <c r="J320" s="34">
        <f t="shared" ref="J320" si="46">ROUND(PRODUCT(F320:I320),2)</f>
        <v>6</v>
      </c>
      <c r="K320" s="30"/>
      <c r="L320" s="30"/>
      <c r="M320" s="30"/>
      <c r="N320" s="30"/>
      <c r="O320" s="30"/>
      <c r="P320" s="30"/>
      <c r="Q320" s="30"/>
      <c r="R320" s="32"/>
      <c r="S320" s="30"/>
      <c r="T320" s="32"/>
      <c r="U320" s="32"/>
    </row>
    <row r="321" spans="1:21" s="276" customFormat="1" x14ac:dyDescent="0.3">
      <c r="A321" s="322"/>
      <c r="B321" s="322"/>
      <c r="C321" s="35"/>
      <c r="D321" s="36" t="str">
        <f>"Total item "&amp;A319</f>
        <v>Total item 10.15</v>
      </c>
      <c r="E321" s="245"/>
      <c r="F321" s="34"/>
      <c r="G321" s="34"/>
      <c r="H321" s="34"/>
      <c r="I321" s="34"/>
      <c r="J321" s="28">
        <f>SUM(J320:J320)</f>
        <v>6</v>
      </c>
      <c r="K321" s="34"/>
      <c r="L321" s="34"/>
      <c r="M321" s="34"/>
      <c r="N321" s="34"/>
      <c r="O321" s="34"/>
      <c r="P321" s="34"/>
      <c r="Q321" s="34"/>
      <c r="R321" s="25"/>
      <c r="S321" s="34"/>
      <c r="T321" s="25"/>
      <c r="U321" s="25"/>
    </row>
    <row r="322" spans="1:21" s="276" customFormat="1" x14ac:dyDescent="0.3">
      <c r="A322" s="322"/>
      <c r="B322" s="322"/>
      <c r="C322" s="35"/>
      <c r="D322" s="36"/>
      <c r="E322" s="245"/>
      <c r="F322" s="34"/>
      <c r="G322" s="34"/>
      <c r="H322" s="34"/>
      <c r="I322" s="34"/>
      <c r="J322" s="37"/>
      <c r="K322" s="34"/>
      <c r="L322" s="34"/>
      <c r="M322" s="34"/>
      <c r="N322" s="34"/>
      <c r="O322" s="34"/>
      <c r="P322" s="34"/>
      <c r="Q322" s="34"/>
      <c r="R322" s="25"/>
      <c r="S322" s="34"/>
      <c r="T322" s="38"/>
      <c r="U322" s="38"/>
    </row>
    <row r="323" spans="1:21" s="171" customFormat="1" x14ac:dyDescent="0.3">
      <c r="A323" s="328" t="s">
        <v>25</v>
      </c>
      <c r="B323" s="326"/>
      <c r="C323" s="326"/>
      <c r="D323" s="199" t="s">
        <v>152</v>
      </c>
      <c r="E323" s="243"/>
      <c r="F323" s="28"/>
      <c r="G323" s="28"/>
      <c r="H323" s="28"/>
      <c r="I323" s="28"/>
      <c r="J323" s="28"/>
      <c r="K323" s="28"/>
      <c r="L323" s="28"/>
      <c r="M323" s="28"/>
      <c r="N323" s="28">
        <f>SUM(N324:N386)</f>
        <v>97306.73</v>
      </c>
      <c r="O323" s="28"/>
      <c r="P323" s="28"/>
      <c r="Q323" s="28">
        <f>SUM(Q324:Q386)</f>
        <v>92712.38</v>
      </c>
      <c r="S323" s="28"/>
      <c r="T323" s="202"/>
    </row>
    <row r="324" spans="1:21" s="276" customFormat="1" x14ac:dyDescent="0.3">
      <c r="A324" s="320"/>
      <c r="B324" s="321"/>
      <c r="C324" s="321"/>
      <c r="D324" s="36"/>
      <c r="E324" s="244"/>
      <c r="F324" s="34"/>
      <c r="G324" s="34"/>
      <c r="H324" s="34"/>
      <c r="I324" s="34"/>
      <c r="J324" s="37"/>
      <c r="K324" s="34"/>
      <c r="L324" s="34"/>
      <c r="M324" s="34"/>
      <c r="N324" s="34"/>
      <c r="O324" s="34"/>
      <c r="P324" s="34"/>
      <c r="Q324" s="34"/>
      <c r="R324" s="25"/>
      <c r="S324" s="34"/>
      <c r="T324" s="38"/>
      <c r="U324" s="38"/>
    </row>
    <row r="325" spans="1:21" s="252" customFormat="1" ht="41.4" x14ac:dyDescent="0.3">
      <c r="A325" s="322" t="s">
        <v>148</v>
      </c>
      <c r="B325" s="322" t="s">
        <v>143</v>
      </c>
      <c r="C325" s="323" t="s">
        <v>215</v>
      </c>
      <c r="D325" s="201" t="s">
        <v>431</v>
      </c>
      <c r="E325" s="245" t="s">
        <v>86</v>
      </c>
      <c r="F325" s="31"/>
      <c r="G325" s="31"/>
      <c r="H325" s="31"/>
      <c r="I325" s="31"/>
      <c r="J325" s="31"/>
      <c r="K325" s="30">
        <f>J327</f>
        <v>1</v>
      </c>
      <c r="L325" s="30">
        <f>COMPOSIÇÕES!H159</f>
        <v>997.15</v>
      </c>
      <c r="M325" s="30">
        <f>ROUND(L325*(1+$N$11),2)</f>
        <v>1261.69</v>
      </c>
      <c r="N325" s="30">
        <f>TRUNC($K325*M325,2)</f>
        <v>1261.69</v>
      </c>
      <c r="O325" s="30">
        <f>COMPOSIÇÕES!J159</f>
        <v>1008.86</v>
      </c>
      <c r="P325" s="30">
        <f>ROUND(O325*(1+$Q$11),2)</f>
        <v>1215.68</v>
      </c>
      <c r="Q325" s="30">
        <f>TRUNC($K325*P325,2)</f>
        <v>1215.68</v>
      </c>
      <c r="R325" s="25" t="s">
        <v>612</v>
      </c>
      <c r="S325" s="30"/>
      <c r="T325" s="32"/>
      <c r="U325" s="32"/>
    </row>
    <row r="326" spans="1:21" s="252" customFormat="1" x14ac:dyDescent="0.3">
      <c r="A326" s="322"/>
      <c r="B326" s="322"/>
      <c r="C326" s="323"/>
      <c r="D326" s="33" t="s">
        <v>435</v>
      </c>
      <c r="E326" s="245"/>
      <c r="F326" s="30">
        <v>1</v>
      </c>
      <c r="G326" s="30"/>
      <c r="H326" s="30"/>
      <c r="I326" s="30"/>
      <c r="J326" s="34">
        <f t="shared" ref="J326" si="47">ROUND(PRODUCT(F326:I326),2)</f>
        <v>1</v>
      </c>
      <c r="K326" s="30"/>
      <c r="L326" s="30"/>
      <c r="M326" s="30"/>
      <c r="N326" s="30"/>
      <c r="O326" s="30"/>
      <c r="P326" s="30"/>
      <c r="Q326" s="30"/>
      <c r="R326" s="32"/>
      <c r="S326" s="30"/>
      <c r="T326" s="32"/>
      <c r="U326" s="32"/>
    </row>
    <row r="327" spans="1:21" s="276" customFormat="1" x14ac:dyDescent="0.3">
      <c r="A327" s="321"/>
      <c r="B327" s="321"/>
      <c r="C327" s="321"/>
      <c r="D327" s="36" t="str">
        <f>"Total item "&amp;A325</f>
        <v>Total item 11.1</v>
      </c>
      <c r="E327" s="244"/>
      <c r="F327" s="34"/>
      <c r="G327" s="34"/>
      <c r="H327" s="34"/>
      <c r="I327" s="34"/>
      <c r="J327" s="28">
        <f>SUM(J326:J326)</f>
        <v>1</v>
      </c>
      <c r="K327" s="34"/>
      <c r="L327" s="34"/>
      <c r="M327" s="34"/>
      <c r="N327" s="34"/>
      <c r="O327" s="34"/>
      <c r="P327" s="34"/>
      <c r="Q327" s="34"/>
      <c r="R327" s="25"/>
      <c r="S327" s="34"/>
      <c r="T327" s="25"/>
      <c r="U327" s="25"/>
    </row>
    <row r="328" spans="1:21" s="25" customFormat="1" x14ac:dyDescent="0.3">
      <c r="A328" s="352"/>
      <c r="B328" s="35"/>
      <c r="C328" s="35"/>
      <c r="D328" s="36"/>
      <c r="E328" s="353"/>
      <c r="F328" s="34"/>
      <c r="G328" s="34"/>
      <c r="H328" s="34"/>
      <c r="I328" s="34"/>
      <c r="J328" s="37"/>
      <c r="K328" s="34"/>
      <c r="L328" s="34"/>
      <c r="M328" s="34"/>
      <c r="N328" s="34"/>
      <c r="O328" s="34"/>
      <c r="P328" s="34"/>
      <c r="Q328" s="34"/>
      <c r="S328" s="34"/>
      <c r="T328" s="38"/>
    </row>
    <row r="329" spans="1:21" s="32" customFormat="1" ht="41.4" x14ac:dyDescent="0.3">
      <c r="A329" s="29" t="s">
        <v>171</v>
      </c>
      <c r="B329" s="29" t="s">
        <v>35</v>
      </c>
      <c r="C329" s="200" t="s">
        <v>436</v>
      </c>
      <c r="D329" s="201" t="s">
        <v>437</v>
      </c>
      <c r="E329" s="29" t="s">
        <v>92</v>
      </c>
      <c r="F329" s="286"/>
      <c r="G329" s="31"/>
      <c r="H329" s="31"/>
      <c r="I329" s="31"/>
      <c r="J329" s="31"/>
      <c r="K329" s="30">
        <f>J331</f>
        <v>1</v>
      </c>
      <c r="L329" s="30" t="s">
        <v>554</v>
      </c>
      <c r="M329" s="30">
        <f>ROUND(L329*(1+$N$11),2)</f>
        <v>145.56</v>
      </c>
      <c r="N329" s="30">
        <f>TRUNC($K329*M329,2)</f>
        <v>145.56</v>
      </c>
      <c r="O329" s="30" t="s">
        <v>554</v>
      </c>
      <c r="P329" s="30">
        <f>ROUND(O329*(1+$Q$11),2)</f>
        <v>138.62</v>
      </c>
      <c r="Q329" s="30">
        <f>TRUNC($K329*P329,2)</f>
        <v>138.62</v>
      </c>
      <c r="R329" s="25" t="s">
        <v>612</v>
      </c>
      <c r="S329" s="30"/>
    </row>
    <row r="330" spans="1:21" s="32" customFormat="1" x14ac:dyDescent="0.3">
      <c r="A330" s="29"/>
      <c r="B330" s="29"/>
      <c r="C330" s="29"/>
      <c r="D330" s="213" t="s">
        <v>438</v>
      </c>
      <c r="E330" s="348"/>
      <c r="F330" s="30">
        <v>1</v>
      </c>
      <c r="G330" s="30"/>
      <c r="H330" s="30"/>
      <c r="I330" s="30"/>
      <c r="J330" s="34">
        <f t="shared" ref="J330" si="48">ROUND(PRODUCT(F330:I330),2)</f>
        <v>1</v>
      </c>
      <c r="K330" s="30"/>
      <c r="L330" s="31"/>
      <c r="M330" s="30"/>
      <c r="N330" s="30"/>
      <c r="O330" s="31"/>
      <c r="P330" s="30"/>
      <c r="Q330" s="30"/>
      <c r="S330" s="30"/>
      <c r="T330" s="25"/>
    </row>
    <row r="331" spans="1:21" s="25" customFormat="1" x14ac:dyDescent="0.3">
      <c r="A331" s="35"/>
      <c r="B331" s="35"/>
      <c r="C331" s="35"/>
      <c r="D331" s="36" t="str">
        <f>"Total item "&amp;A329</f>
        <v>Total item 11.2</v>
      </c>
      <c r="E331" s="353"/>
      <c r="F331" s="34"/>
      <c r="G331" s="34"/>
      <c r="H331" s="34"/>
      <c r="I331" s="34"/>
      <c r="J331" s="28">
        <f>SUM(J330:J330)</f>
        <v>1</v>
      </c>
      <c r="K331" s="34"/>
      <c r="L331" s="34"/>
      <c r="M331" s="34"/>
      <c r="N331" s="34"/>
      <c r="O331" s="34"/>
      <c r="P331" s="34"/>
      <c r="Q331" s="34"/>
      <c r="S331" s="34"/>
    </row>
    <row r="332" spans="1:21" s="276" customFormat="1" x14ac:dyDescent="0.3">
      <c r="A332" s="320"/>
      <c r="B332" s="321"/>
      <c r="C332" s="321"/>
      <c r="D332" s="36"/>
      <c r="E332" s="244"/>
      <c r="F332" s="34"/>
      <c r="G332" s="34"/>
      <c r="H332" s="34"/>
      <c r="I332" s="34"/>
      <c r="J332" s="37"/>
      <c r="K332" s="34"/>
      <c r="L332" s="34"/>
      <c r="M332" s="34"/>
      <c r="N332" s="34"/>
      <c r="O332" s="34"/>
      <c r="P332" s="34"/>
      <c r="Q332" s="34"/>
      <c r="R332" s="25"/>
      <c r="S332" s="34"/>
      <c r="T332" s="38"/>
      <c r="U332" s="38"/>
    </row>
    <row r="333" spans="1:21" s="252" customFormat="1" ht="55.2" x14ac:dyDescent="0.3">
      <c r="A333" s="322" t="s">
        <v>172</v>
      </c>
      <c r="B333" s="322" t="s">
        <v>35</v>
      </c>
      <c r="C333" s="200" t="s">
        <v>861</v>
      </c>
      <c r="D333" s="201" t="s">
        <v>860</v>
      </c>
      <c r="E333" s="245" t="s">
        <v>86</v>
      </c>
      <c r="F333" s="31"/>
      <c r="G333" s="31"/>
      <c r="H333" s="31"/>
      <c r="I333" s="31"/>
      <c r="J333" s="31"/>
      <c r="K333" s="30">
        <f>J335</f>
        <v>1</v>
      </c>
      <c r="L333" s="30">
        <v>488</v>
      </c>
      <c r="M333" s="30">
        <f>ROUND(L333*(1+$N$11),2)</f>
        <v>617.47</v>
      </c>
      <c r="N333" s="30">
        <f>TRUNC($K333*M333,2)</f>
        <v>617.47</v>
      </c>
      <c r="O333" s="30">
        <v>490.5</v>
      </c>
      <c r="P333" s="30">
        <f>ROUND(O333*(1+$Q$11),2)</f>
        <v>591.04999999999995</v>
      </c>
      <c r="Q333" s="30">
        <f>TRUNC($K333*P333,2)</f>
        <v>591.04999999999995</v>
      </c>
      <c r="R333" s="25" t="s">
        <v>612</v>
      </c>
      <c r="S333" s="30"/>
      <c r="T333" s="32"/>
      <c r="U333" s="32"/>
    </row>
    <row r="334" spans="1:21" s="252" customFormat="1" x14ac:dyDescent="0.3">
      <c r="A334" s="322"/>
      <c r="B334" s="322"/>
      <c r="C334" s="323"/>
      <c r="D334" s="33" t="s">
        <v>364</v>
      </c>
      <c r="E334" s="245"/>
      <c r="F334" s="30">
        <v>1</v>
      </c>
      <c r="G334" s="30"/>
      <c r="H334" s="30"/>
      <c r="I334" s="30"/>
      <c r="J334" s="34">
        <f t="shared" ref="J334" si="49">ROUND(PRODUCT(F334:I334),2)</f>
        <v>1</v>
      </c>
      <c r="K334" s="30"/>
      <c r="L334" s="30"/>
      <c r="M334" s="30"/>
      <c r="N334" s="30"/>
      <c r="O334" s="30"/>
      <c r="P334" s="30"/>
      <c r="Q334" s="30"/>
      <c r="R334" s="32"/>
      <c r="S334" s="30"/>
      <c r="T334" s="32"/>
      <c r="U334" s="32"/>
    </row>
    <row r="335" spans="1:21" s="276" customFormat="1" x14ac:dyDescent="0.3">
      <c r="A335" s="321"/>
      <c r="B335" s="321"/>
      <c r="C335" s="321"/>
      <c r="D335" s="36" t="str">
        <f>"Total item "&amp;A333</f>
        <v>Total item 11.3</v>
      </c>
      <c r="E335" s="244"/>
      <c r="F335" s="34"/>
      <c r="G335" s="34"/>
      <c r="H335" s="34"/>
      <c r="I335" s="34"/>
      <c r="J335" s="28">
        <f>SUM(J334:J334)</f>
        <v>1</v>
      </c>
      <c r="K335" s="34"/>
      <c r="L335" s="34"/>
      <c r="M335" s="34"/>
      <c r="N335" s="34"/>
      <c r="O335" s="34"/>
      <c r="P335" s="34"/>
      <c r="Q335" s="34"/>
      <c r="R335" s="25"/>
      <c r="S335" s="34"/>
      <c r="T335" s="25"/>
      <c r="U335" s="25"/>
    </row>
    <row r="336" spans="1:21" s="276" customFormat="1" x14ac:dyDescent="0.3">
      <c r="A336" s="320"/>
      <c r="B336" s="321"/>
      <c r="C336" s="321"/>
      <c r="D336" s="36"/>
      <c r="E336" s="244"/>
      <c r="F336" s="34"/>
      <c r="G336" s="34"/>
      <c r="H336" s="34"/>
      <c r="I336" s="34"/>
      <c r="J336" s="37"/>
      <c r="K336" s="34"/>
      <c r="L336" s="34"/>
      <c r="M336" s="34"/>
      <c r="N336" s="34"/>
      <c r="O336" s="34"/>
      <c r="P336" s="34"/>
      <c r="Q336" s="34"/>
      <c r="R336" s="25"/>
      <c r="S336" s="34"/>
      <c r="T336" s="38"/>
      <c r="U336" s="38"/>
    </row>
    <row r="337" spans="1:21" s="252" customFormat="1" ht="27.6" x14ac:dyDescent="0.3">
      <c r="A337" s="322" t="s">
        <v>299</v>
      </c>
      <c r="B337" s="322" t="s">
        <v>478</v>
      </c>
      <c r="C337" s="323" t="s">
        <v>712</v>
      </c>
      <c r="D337" s="201" t="s">
        <v>711</v>
      </c>
      <c r="E337" s="245" t="s">
        <v>86</v>
      </c>
      <c r="F337" s="31"/>
      <c r="G337" s="31"/>
      <c r="H337" s="31"/>
      <c r="I337" s="31"/>
      <c r="J337" s="31"/>
      <c r="K337" s="30">
        <f>J339</f>
        <v>108</v>
      </c>
      <c r="L337" s="30">
        <v>291.08</v>
      </c>
      <c r="M337" s="30">
        <f>ROUND(L337*(1+$N$11),2)</f>
        <v>368.3</v>
      </c>
      <c r="N337" s="30">
        <f>TRUNC($K337*M337,2)</f>
        <v>39776.400000000001</v>
      </c>
      <c r="O337" s="30">
        <v>291.08</v>
      </c>
      <c r="P337" s="30">
        <f>ROUND(O337*(1+$Q$11),2)</f>
        <v>350.75</v>
      </c>
      <c r="Q337" s="30">
        <f>TRUNC($K337*P337,2)</f>
        <v>37881</v>
      </c>
      <c r="R337" s="25" t="s">
        <v>612</v>
      </c>
      <c r="S337" s="30"/>
      <c r="T337" s="32"/>
      <c r="U337" s="32"/>
    </row>
    <row r="338" spans="1:21" s="252" customFormat="1" x14ac:dyDescent="0.3">
      <c r="A338" s="322"/>
      <c r="B338" s="322"/>
      <c r="C338" s="323"/>
      <c r="D338" s="33" t="s">
        <v>839</v>
      </c>
      <c r="E338" s="245"/>
      <c r="F338" s="30">
        <f>101+7</f>
        <v>108</v>
      </c>
      <c r="G338" s="30"/>
      <c r="H338" s="30"/>
      <c r="I338" s="30"/>
      <c r="J338" s="34">
        <f t="shared" ref="J338" si="50">ROUND(PRODUCT(F338:I338),2)</f>
        <v>108</v>
      </c>
      <c r="K338" s="30"/>
      <c r="L338" s="30"/>
      <c r="M338" s="30"/>
      <c r="N338" s="30"/>
      <c r="O338" s="30"/>
      <c r="P338" s="30"/>
      <c r="Q338" s="30"/>
      <c r="R338" s="32"/>
      <c r="S338" s="30"/>
      <c r="T338" s="32"/>
      <c r="U338" s="32"/>
    </row>
    <row r="339" spans="1:21" s="276" customFormat="1" x14ac:dyDescent="0.3">
      <c r="A339" s="321"/>
      <c r="B339" s="321"/>
      <c r="C339" s="321"/>
      <c r="D339" s="36" t="str">
        <f>"Total item "&amp;A337</f>
        <v>Total item 11.4</v>
      </c>
      <c r="E339" s="244"/>
      <c r="F339" s="34"/>
      <c r="G339" s="34"/>
      <c r="H339" s="34"/>
      <c r="I339" s="34"/>
      <c r="J339" s="28">
        <f>SUM(J338:J338)</f>
        <v>108</v>
      </c>
      <c r="K339" s="34"/>
      <c r="L339" s="34"/>
      <c r="M339" s="34"/>
      <c r="N339" s="34"/>
      <c r="O339" s="34"/>
      <c r="P339" s="34"/>
      <c r="Q339" s="34"/>
      <c r="R339" s="25"/>
      <c r="S339" s="34"/>
      <c r="T339" s="25"/>
      <c r="U339" s="25"/>
    </row>
    <row r="340" spans="1:21" s="276" customFormat="1" x14ac:dyDescent="0.3">
      <c r="A340" s="320"/>
      <c r="B340" s="321"/>
      <c r="C340" s="321"/>
      <c r="D340" s="36"/>
      <c r="E340" s="244"/>
      <c r="F340" s="34"/>
      <c r="G340" s="34"/>
      <c r="H340" s="34"/>
      <c r="I340" s="34"/>
      <c r="J340" s="37"/>
      <c r="K340" s="34"/>
      <c r="L340" s="34"/>
      <c r="M340" s="34"/>
      <c r="N340" s="34"/>
      <c r="O340" s="34"/>
      <c r="P340" s="34"/>
      <c r="Q340" s="34"/>
      <c r="R340" s="25"/>
      <c r="S340" s="34"/>
      <c r="T340" s="38"/>
      <c r="U340" s="38"/>
    </row>
    <row r="341" spans="1:21" s="252" customFormat="1" ht="55.2" x14ac:dyDescent="0.3">
      <c r="A341" s="322" t="s">
        <v>300</v>
      </c>
      <c r="B341" s="322" t="s">
        <v>478</v>
      </c>
      <c r="C341" s="445" t="s">
        <v>838</v>
      </c>
      <c r="D341" s="201" t="s">
        <v>836</v>
      </c>
      <c r="E341" s="245" t="s">
        <v>837</v>
      </c>
      <c r="F341" s="31"/>
      <c r="G341" s="31"/>
      <c r="H341" s="31"/>
      <c r="I341" s="31"/>
      <c r="J341" s="31"/>
      <c r="K341" s="30">
        <f>J343</f>
        <v>121</v>
      </c>
      <c r="L341" s="446">
        <v>222.37</v>
      </c>
      <c r="M341" s="30">
        <f>ROUND(L341*(1+$N$11),2)</f>
        <v>281.36</v>
      </c>
      <c r="N341" s="30">
        <f>TRUNC($K341*M341,2)</f>
        <v>34044.559999999998</v>
      </c>
      <c r="O341" s="30">
        <v>222.37</v>
      </c>
      <c r="P341" s="30">
        <f>ROUND(O341*(1+$Q$11),2)</f>
        <v>267.95999999999998</v>
      </c>
      <c r="Q341" s="30">
        <f>TRUNC($K341*P341,2)</f>
        <v>32423.16</v>
      </c>
      <c r="R341" s="25" t="s">
        <v>612</v>
      </c>
      <c r="S341" s="30"/>
      <c r="T341" s="32"/>
      <c r="U341" s="32"/>
    </row>
    <row r="342" spans="1:21" s="252" customFormat="1" x14ac:dyDescent="0.3">
      <c r="A342" s="322"/>
      <c r="B342" s="322"/>
      <c r="C342" s="323"/>
      <c r="D342" s="33" t="s">
        <v>839</v>
      </c>
      <c r="E342" s="245"/>
      <c r="F342" s="30">
        <f>118+3</f>
        <v>121</v>
      </c>
      <c r="G342" s="30"/>
      <c r="H342" s="30"/>
      <c r="I342" s="30"/>
      <c r="J342" s="34">
        <f t="shared" ref="J342" si="51">ROUND(PRODUCT(F342:I342),2)</f>
        <v>121</v>
      </c>
      <c r="K342" s="30"/>
      <c r="L342" s="30"/>
      <c r="M342" s="30"/>
      <c r="N342" s="30"/>
      <c r="O342" s="30"/>
      <c r="P342" s="30"/>
      <c r="Q342" s="30"/>
      <c r="R342" s="32"/>
      <c r="S342" s="30"/>
      <c r="T342" s="32"/>
      <c r="U342" s="32"/>
    </row>
    <row r="343" spans="1:21" s="276" customFormat="1" x14ac:dyDescent="0.3">
      <c r="A343" s="321"/>
      <c r="B343" s="321"/>
      <c r="C343" s="321"/>
      <c r="D343" s="36" t="str">
        <f>"Total item "&amp;A341</f>
        <v>Total item 11.5</v>
      </c>
      <c r="E343" s="244"/>
      <c r="F343" s="34"/>
      <c r="G343" s="34"/>
      <c r="H343" s="34"/>
      <c r="I343" s="34"/>
      <c r="J343" s="28">
        <f>SUM(J342:J342)</f>
        <v>121</v>
      </c>
      <c r="K343" s="34"/>
      <c r="L343" s="34"/>
      <c r="M343" s="34"/>
      <c r="N343" s="34"/>
      <c r="O343" s="34"/>
      <c r="P343" s="34"/>
      <c r="Q343" s="34"/>
      <c r="R343" s="25"/>
      <c r="S343" s="34"/>
      <c r="T343" s="25"/>
      <c r="U343" s="25"/>
    </row>
    <row r="344" spans="1:21" s="276" customFormat="1" x14ac:dyDescent="0.3">
      <c r="A344" s="320"/>
      <c r="B344" s="321"/>
      <c r="C344" s="321"/>
      <c r="D344" s="36"/>
      <c r="E344" s="244"/>
      <c r="F344" s="34"/>
      <c r="G344" s="34"/>
      <c r="H344" s="34"/>
      <c r="I344" s="34"/>
      <c r="J344" s="37"/>
      <c r="K344" s="34"/>
      <c r="L344" s="34"/>
      <c r="M344" s="34"/>
      <c r="N344" s="34"/>
      <c r="O344" s="34"/>
      <c r="P344" s="34"/>
      <c r="Q344" s="34"/>
      <c r="R344" s="25"/>
      <c r="S344" s="34"/>
      <c r="T344" s="38"/>
      <c r="U344" s="38"/>
    </row>
    <row r="345" spans="1:21" s="252" customFormat="1" ht="27.6" x14ac:dyDescent="0.3">
      <c r="A345" s="322" t="s">
        <v>301</v>
      </c>
      <c r="B345" s="322" t="s">
        <v>478</v>
      </c>
      <c r="C345" s="323" t="s">
        <v>841</v>
      </c>
      <c r="D345" s="201" t="s">
        <v>840</v>
      </c>
      <c r="E345" s="245" t="s">
        <v>837</v>
      </c>
      <c r="F345" s="31"/>
      <c r="G345" s="31"/>
      <c r="H345" s="31"/>
      <c r="I345" s="31"/>
      <c r="J345" s="31"/>
      <c r="K345" s="30">
        <f>J347</f>
        <v>6</v>
      </c>
      <c r="L345" s="30">
        <v>218.97</v>
      </c>
      <c r="M345" s="30">
        <f>ROUND(L345*(1+$N$11),2)</f>
        <v>277.06</v>
      </c>
      <c r="N345" s="30">
        <f>TRUNC($K345*M345,2)</f>
        <v>1662.36</v>
      </c>
      <c r="O345" s="30">
        <v>218.97</v>
      </c>
      <c r="P345" s="30">
        <f>ROUND(O345*(1+$Q$11),2)</f>
        <v>263.86</v>
      </c>
      <c r="Q345" s="30">
        <f>TRUNC($K345*P345,2)</f>
        <v>1583.16</v>
      </c>
      <c r="R345" s="25" t="s">
        <v>612</v>
      </c>
      <c r="S345" s="30"/>
      <c r="T345" s="32"/>
      <c r="U345" s="32"/>
    </row>
    <row r="346" spans="1:21" s="252" customFormat="1" x14ac:dyDescent="0.3">
      <c r="A346" s="322"/>
      <c r="B346" s="322"/>
      <c r="C346" s="323"/>
      <c r="D346" s="33" t="s">
        <v>839</v>
      </c>
      <c r="E346" s="245"/>
      <c r="F346" s="30">
        <v>6</v>
      </c>
      <c r="G346" s="30"/>
      <c r="H346" s="30"/>
      <c r="I346" s="30"/>
      <c r="J346" s="34">
        <f>ROUND(PRODUCT(F346:I346),2)</f>
        <v>6</v>
      </c>
      <c r="K346" s="30"/>
      <c r="L346" s="30"/>
      <c r="M346" s="30"/>
      <c r="N346" s="30"/>
      <c r="O346" s="30"/>
      <c r="P346" s="30"/>
      <c r="Q346" s="30"/>
      <c r="R346" s="32"/>
      <c r="S346" s="30"/>
      <c r="T346" s="32"/>
      <c r="U346" s="32"/>
    </row>
    <row r="347" spans="1:21" s="276" customFormat="1" x14ac:dyDescent="0.3">
      <c r="A347" s="321"/>
      <c r="B347" s="321"/>
      <c r="C347" s="321"/>
      <c r="D347" s="36" t="str">
        <f>"Total item "&amp;A345</f>
        <v>Total item 11.6</v>
      </c>
      <c r="E347" s="244"/>
      <c r="F347" s="34"/>
      <c r="G347" s="34"/>
      <c r="H347" s="34"/>
      <c r="I347" s="34"/>
      <c r="J347" s="28">
        <f>SUM(J346:J346)</f>
        <v>6</v>
      </c>
      <c r="K347" s="34"/>
      <c r="L347" s="34"/>
      <c r="M347" s="34"/>
      <c r="N347" s="34"/>
      <c r="O347" s="34"/>
      <c r="P347" s="34"/>
      <c r="Q347" s="34"/>
      <c r="R347" s="25"/>
      <c r="S347" s="34"/>
      <c r="T347" s="25"/>
      <c r="U347" s="25"/>
    </row>
    <row r="348" spans="1:21" s="276" customFormat="1" x14ac:dyDescent="0.3">
      <c r="A348" s="320"/>
      <c r="B348" s="321"/>
      <c r="C348" s="321"/>
      <c r="D348" s="36"/>
      <c r="E348" s="244"/>
      <c r="F348" s="34"/>
      <c r="G348" s="34"/>
      <c r="H348" s="34"/>
      <c r="I348" s="34"/>
      <c r="J348" s="37"/>
      <c r="K348" s="34"/>
      <c r="L348" s="34"/>
      <c r="M348" s="34"/>
      <c r="N348" s="34"/>
      <c r="O348" s="34"/>
      <c r="P348" s="34"/>
      <c r="Q348" s="34"/>
      <c r="R348" s="25"/>
      <c r="S348" s="34"/>
      <c r="T348" s="38"/>
      <c r="U348" s="38"/>
    </row>
    <row r="349" spans="1:21" s="252" customFormat="1" ht="41.4" x14ac:dyDescent="0.3">
      <c r="A349" s="322" t="s">
        <v>302</v>
      </c>
      <c r="B349" s="322" t="s">
        <v>35</v>
      </c>
      <c r="C349" s="323" t="s">
        <v>426</v>
      </c>
      <c r="D349" s="201" t="s">
        <v>556</v>
      </c>
      <c r="E349" s="245" t="s">
        <v>86</v>
      </c>
      <c r="F349" s="31"/>
      <c r="G349" s="31"/>
      <c r="H349" s="31"/>
      <c r="I349" s="31"/>
      <c r="J349" s="31"/>
      <c r="K349" s="30">
        <f>J351</f>
        <v>7</v>
      </c>
      <c r="L349" s="30" t="s">
        <v>842</v>
      </c>
      <c r="M349" s="30">
        <f>ROUND(L349*(1+$N$11),2)</f>
        <v>42.08</v>
      </c>
      <c r="N349" s="30">
        <f>TRUNC($K349*M349,2)</f>
        <v>294.56</v>
      </c>
      <c r="O349" s="30" t="s">
        <v>843</v>
      </c>
      <c r="P349" s="30">
        <f>ROUND(O349*(1+$Q$11),2)</f>
        <v>41.75</v>
      </c>
      <c r="Q349" s="30">
        <f>TRUNC($K349*P349,2)</f>
        <v>292.25</v>
      </c>
      <c r="R349" s="25" t="s">
        <v>612</v>
      </c>
      <c r="S349" s="30"/>
      <c r="T349" s="32"/>
      <c r="U349" s="32"/>
    </row>
    <row r="350" spans="1:21" s="252" customFormat="1" x14ac:dyDescent="0.3">
      <c r="A350" s="322"/>
      <c r="B350" s="322"/>
      <c r="C350" s="323"/>
      <c r="D350" s="213" t="s">
        <v>427</v>
      </c>
      <c r="E350" s="245"/>
      <c r="F350" s="30">
        <v>7</v>
      </c>
      <c r="G350" s="30"/>
      <c r="H350" s="30"/>
      <c r="I350" s="30"/>
      <c r="J350" s="34">
        <f>ROUND(PRODUCT(F350:I350),2)</f>
        <v>7</v>
      </c>
      <c r="K350" s="30"/>
      <c r="L350" s="30"/>
      <c r="M350" s="30"/>
      <c r="N350" s="30"/>
      <c r="O350" s="30"/>
      <c r="P350" s="30"/>
      <c r="Q350" s="30"/>
      <c r="R350" s="32"/>
      <c r="S350" s="30"/>
      <c r="T350" s="32"/>
      <c r="U350" s="32"/>
    </row>
    <row r="351" spans="1:21" s="276" customFormat="1" x14ac:dyDescent="0.3">
      <c r="A351" s="321"/>
      <c r="B351" s="321"/>
      <c r="C351" s="321"/>
      <c r="D351" s="36" t="str">
        <f>"Total item "&amp;A349</f>
        <v>Total item 11.7</v>
      </c>
      <c r="E351" s="244"/>
      <c r="F351" s="34"/>
      <c r="G351" s="34"/>
      <c r="H351" s="34"/>
      <c r="I351" s="34"/>
      <c r="J351" s="28">
        <f>SUM(J350:J350)</f>
        <v>7</v>
      </c>
      <c r="K351" s="34"/>
      <c r="L351" s="34"/>
      <c r="M351" s="34"/>
      <c r="N351" s="34"/>
      <c r="O351" s="34"/>
      <c r="P351" s="34"/>
      <c r="Q351" s="34"/>
      <c r="R351" s="25"/>
      <c r="S351" s="34"/>
      <c r="T351" s="25"/>
      <c r="U351" s="25"/>
    </row>
    <row r="352" spans="1:21" s="276" customFormat="1" x14ac:dyDescent="0.3">
      <c r="A352" s="320"/>
      <c r="B352" s="321"/>
      <c r="C352" s="321"/>
      <c r="D352" s="36"/>
      <c r="E352" s="244"/>
      <c r="F352" s="34"/>
      <c r="G352" s="34"/>
      <c r="H352" s="34"/>
      <c r="I352" s="34"/>
      <c r="J352" s="37"/>
      <c r="K352" s="34"/>
      <c r="L352" s="34"/>
      <c r="M352" s="34"/>
      <c r="N352" s="34"/>
      <c r="O352" s="34"/>
      <c r="P352" s="34"/>
      <c r="Q352" s="34"/>
      <c r="R352" s="25"/>
      <c r="S352" s="34"/>
      <c r="T352" s="38"/>
      <c r="U352" s="38"/>
    </row>
    <row r="353" spans="1:21" s="252" customFormat="1" ht="27.6" x14ac:dyDescent="0.3">
      <c r="A353" s="322" t="s">
        <v>303</v>
      </c>
      <c r="B353" s="322" t="s">
        <v>478</v>
      </c>
      <c r="C353" s="323" t="s">
        <v>845</v>
      </c>
      <c r="D353" s="201" t="s">
        <v>844</v>
      </c>
      <c r="E353" s="245" t="s">
        <v>86</v>
      </c>
      <c r="F353" s="31"/>
      <c r="G353" s="31"/>
      <c r="H353" s="31"/>
      <c r="I353" s="31"/>
      <c r="J353" s="31"/>
      <c r="K353" s="30">
        <f>J355</f>
        <v>101</v>
      </c>
      <c r="L353" s="30">
        <v>134.66</v>
      </c>
      <c r="M353" s="30">
        <f>ROUND(L353*(1+$N$11),2)</f>
        <v>170.39</v>
      </c>
      <c r="N353" s="30">
        <f>TRUNC($K353*M353,2)</f>
        <v>17209.39</v>
      </c>
      <c r="O353" s="30">
        <v>134.66</v>
      </c>
      <c r="P353" s="30">
        <f>ROUND(O353*(1+$Q$11),2)</f>
        <v>162.27000000000001</v>
      </c>
      <c r="Q353" s="30">
        <f>TRUNC($K353*P353,2)</f>
        <v>16389.27</v>
      </c>
      <c r="R353" s="25" t="s">
        <v>612</v>
      </c>
      <c r="S353" s="30"/>
      <c r="T353" s="32"/>
      <c r="U353" s="32"/>
    </row>
    <row r="354" spans="1:21" s="252" customFormat="1" x14ac:dyDescent="0.3">
      <c r="A354" s="322"/>
      <c r="B354" s="322"/>
      <c r="C354" s="323"/>
      <c r="D354" s="33" t="s">
        <v>839</v>
      </c>
      <c r="E354" s="245"/>
      <c r="F354" s="30">
        <v>101</v>
      </c>
      <c r="G354" s="30"/>
      <c r="H354" s="30"/>
      <c r="I354" s="30"/>
      <c r="J354" s="34">
        <f>ROUND(PRODUCT(F354:I354),2)</f>
        <v>101</v>
      </c>
      <c r="K354" s="30"/>
      <c r="L354" s="30"/>
      <c r="M354" s="30"/>
      <c r="N354" s="30"/>
      <c r="O354" s="30"/>
      <c r="P354" s="30"/>
      <c r="Q354" s="30"/>
      <c r="R354" s="32"/>
      <c r="S354" s="30"/>
      <c r="T354" s="32"/>
      <c r="U354" s="32"/>
    </row>
    <row r="355" spans="1:21" s="276" customFormat="1" x14ac:dyDescent="0.3">
      <c r="A355" s="321"/>
      <c r="B355" s="321"/>
      <c r="C355" s="321"/>
      <c r="D355" s="36" t="str">
        <f>"Total item "&amp;A353</f>
        <v>Total item 11.8</v>
      </c>
      <c r="E355" s="244"/>
      <c r="F355" s="34"/>
      <c r="G355" s="34"/>
      <c r="H355" s="34"/>
      <c r="I355" s="34"/>
      <c r="J355" s="28">
        <f>SUM(J354:J354)</f>
        <v>101</v>
      </c>
      <c r="K355" s="34"/>
      <c r="L355" s="34"/>
      <c r="M355" s="34"/>
      <c r="N355" s="34"/>
      <c r="O355" s="34"/>
      <c r="P355" s="34"/>
      <c r="Q355" s="34"/>
      <c r="R355" s="25"/>
      <c r="S355" s="34"/>
      <c r="T355" s="25"/>
      <c r="U355" s="25"/>
    </row>
    <row r="356" spans="1:21" s="276" customFormat="1" x14ac:dyDescent="0.3">
      <c r="A356" s="320"/>
      <c r="B356" s="321"/>
      <c r="C356" s="321"/>
      <c r="D356" s="36"/>
      <c r="E356" s="244"/>
      <c r="F356" s="34"/>
      <c r="G356" s="34"/>
      <c r="H356" s="34"/>
      <c r="I356" s="34"/>
      <c r="J356" s="37"/>
      <c r="K356" s="34"/>
      <c r="L356" s="34"/>
      <c r="M356" s="34"/>
      <c r="N356" s="34"/>
      <c r="O356" s="34"/>
      <c r="P356" s="34"/>
      <c r="Q356" s="34"/>
      <c r="R356" s="25"/>
      <c r="S356" s="34"/>
      <c r="T356" s="38"/>
      <c r="U356" s="38"/>
    </row>
    <row r="357" spans="1:21" s="32" customFormat="1" ht="27.6" x14ac:dyDescent="0.3">
      <c r="A357" s="322" t="s">
        <v>304</v>
      </c>
      <c r="B357" s="322" t="s">
        <v>35</v>
      </c>
      <c r="C357" s="323" t="s">
        <v>430</v>
      </c>
      <c r="D357" s="201" t="s">
        <v>429</v>
      </c>
      <c r="E357" s="245" t="s">
        <v>86</v>
      </c>
      <c r="F357" s="31"/>
      <c r="G357" s="31"/>
      <c r="H357" s="31"/>
      <c r="I357" s="31"/>
      <c r="J357" s="31"/>
      <c r="K357" s="30">
        <f>J359</f>
        <v>1</v>
      </c>
      <c r="L357" s="30" t="s">
        <v>846</v>
      </c>
      <c r="M357" s="30">
        <f>ROUND(L357*(1+$N$11),2)</f>
        <v>19.18</v>
      </c>
      <c r="N357" s="30">
        <f>TRUNC($K357*M357,2)</f>
        <v>19.18</v>
      </c>
      <c r="O357" s="30" t="s">
        <v>847</v>
      </c>
      <c r="P357" s="30">
        <f>ROUND(O357*(1+$Q$11),2)</f>
        <v>18.45</v>
      </c>
      <c r="Q357" s="30">
        <f>TRUNC($K357*P357,2)</f>
        <v>18.45</v>
      </c>
      <c r="R357" s="25" t="s">
        <v>612</v>
      </c>
      <c r="S357" s="30"/>
    </row>
    <row r="358" spans="1:21" s="252" customFormat="1" x14ac:dyDescent="0.3">
      <c r="A358" s="322"/>
      <c r="B358" s="322"/>
      <c r="C358" s="323"/>
      <c r="D358" s="33" t="s">
        <v>839</v>
      </c>
      <c r="E358" s="245"/>
      <c r="F358" s="30">
        <v>1</v>
      </c>
      <c r="G358" s="30"/>
      <c r="H358" s="30"/>
      <c r="I358" s="30"/>
      <c r="J358" s="34">
        <f t="shared" ref="J358" si="52">ROUND(PRODUCT(F358:I358),2)</f>
        <v>1</v>
      </c>
      <c r="K358" s="30"/>
      <c r="L358" s="30"/>
      <c r="M358" s="30"/>
      <c r="N358" s="30"/>
      <c r="O358" s="30"/>
      <c r="P358" s="30"/>
      <c r="Q358" s="30"/>
      <c r="R358" s="32"/>
      <c r="S358" s="30"/>
      <c r="T358" s="32"/>
      <c r="U358" s="32"/>
    </row>
    <row r="359" spans="1:21" s="25" customFormat="1" x14ac:dyDescent="0.3">
      <c r="A359" s="321"/>
      <c r="B359" s="321"/>
      <c r="C359" s="321"/>
      <c r="D359" s="36" t="str">
        <f>"Total item "&amp;A357</f>
        <v>Total item 11.9</v>
      </c>
      <c r="E359" s="244"/>
      <c r="F359" s="34"/>
      <c r="G359" s="34"/>
      <c r="H359" s="34"/>
      <c r="I359" s="34"/>
      <c r="J359" s="28">
        <f>SUM(J358:J358)</f>
        <v>1</v>
      </c>
      <c r="K359" s="34"/>
      <c r="L359" s="34"/>
      <c r="M359" s="34"/>
      <c r="N359" s="34"/>
      <c r="O359" s="34"/>
      <c r="P359" s="34"/>
      <c r="Q359" s="34"/>
      <c r="S359" s="34"/>
    </row>
    <row r="360" spans="1:21" s="25" customFormat="1" x14ac:dyDescent="0.3">
      <c r="A360" s="320"/>
      <c r="B360" s="321"/>
      <c r="C360" s="321"/>
      <c r="D360" s="36"/>
      <c r="E360" s="244"/>
      <c r="F360" s="34"/>
      <c r="G360" s="34"/>
      <c r="H360" s="34"/>
      <c r="I360" s="34"/>
      <c r="J360" s="37"/>
      <c r="K360" s="34"/>
      <c r="L360" s="34"/>
      <c r="M360" s="34"/>
      <c r="N360" s="34"/>
      <c r="O360" s="34"/>
      <c r="P360" s="34"/>
      <c r="Q360" s="34"/>
      <c r="S360" s="34"/>
      <c r="T360" s="38"/>
    </row>
    <row r="361" spans="1:21" s="32" customFormat="1" ht="27.6" x14ac:dyDescent="0.3">
      <c r="A361" s="322" t="s">
        <v>305</v>
      </c>
      <c r="B361" s="322" t="s">
        <v>35</v>
      </c>
      <c r="C361" s="323" t="s">
        <v>363</v>
      </c>
      <c r="D361" s="201" t="s">
        <v>362</v>
      </c>
      <c r="E361" s="245" t="s">
        <v>86</v>
      </c>
      <c r="F361" s="31"/>
      <c r="G361" s="31"/>
      <c r="H361" s="31"/>
      <c r="I361" s="31"/>
      <c r="J361" s="31"/>
      <c r="K361" s="30">
        <f>J364</f>
        <v>11</v>
      </c>
      <c r="L361" s="30" t="s">
        <v>848</v>
      </c>
      <c r="M361" s="30">
        <f>ROUND(L361*(1+$N$11),2)</f>
        <v>19.95</v>
      </c>
      <c r="N361" s="30">
        <f>TRUNC($K361*M361,2)</f>
        <v>219.45</v>
      </c>
      <c r="O361" s="30" t="s">
        <v>849</v>
      </c>
      <c r="P361" s="30">
        <f>ROUND(O361*(1+$Q$11),2)</f>
        <v>19.23</v>
      </c>
      <c r="Q361" s="30">
        <f>TRUNC($K361*P361,2)</f>
        <v>211.53</v>
      </c>
      <c r="R361" s="25" t="s">
        <v>612</v>
      </c>
      <c r="S361" s="30"/>
    </row>
    <row r="362" spans="1:21" s="252" customFormat="1" x14ac:dyDescent="0.3">
      <c r="A362" s="322"/>
      <c r="B362" s="322"/>
      <c r="C362" s="323"/>
      <c r="D362" s="33" t="s">
        <v>839</v>
      </c>
      <c r="E362" s="245"/>
      <c r="F362" s="30">
        <v>11</v>
      </c>
      <c r="G362" s="30"/>
      <c r="H362" s="30"/>
      <c r="I362" s="30"/>
      <c r="J362" s="34">
        <f t="shared" ref="J362:J363" si="53">ROUND(PRODUCT(F362:I362),2)</f>
        <v>11</v>
      </c>
      <c r="K362" s="30"/>
      <c r="L362" s="30"/>
      <c r="M362" s="30"/>
      <c r="N362" s="30"/>
      <c r="O362" s="30"/>
      <c r="P362" s="30"/>
      <c r="Q362" s="30"/>
      <c r="R362" s="32"/>
      <c r="S362" s="30"/>
      <c r="T362" s="32"/>
      <c r="U362" s="32"/>
    </row>
    <row r="363" spans="1:21" s="252" customFormat="1" x14ac:dyDescent="0.3">
      <c r="A363" s="322"/>
      <c r="B363" s="322"/>
      <c r="C363" s="323"/>
      <c r="D363" s="339" t="s">
        <v>365</v>
      </c>
      <c r="E363" s="245"/>
      <c r="F363" s="30"/>
      <c r="G363" s="30"/>
      <c r="H363" s="30"/>
      <c r="I363" s="30"/>
      <c r="J363" s="34">
        <f t="shared" si="53"/>
        <v>0</v>
      </c>
      <c r="K363" s="30"/>
      <c r="L363" s="30"/>
      <c r="M363" s="30"/>
      <c r="N363" s="30"/>
      <c r="O363" s="30"/>
      <c r="P363" s="30"/>
      <c r="Q363" s="30"/>
      <c r="R363" s="32"/>
      <c r="S363" s="30"/>
      <c r="T363" s="32"/>
      <c r="U363" s="32"/>
    </row>
    <row r="364" spans="1:21" s="25" customFormat="1" x14ac:dyDescent="0.3">
      <c r="A364" s="321"/>
      <c r="B364" s="321"/>
      <c r="C364" s="321"/>
      <c r="D364" s="36" t="str">
        <f>"Total item "&amp;A361</f>
        <v>Total item 11.10</v>
      </c>
      <c r="E364" s="244"/>
      <c r="F364" s="34"/>
      <c r="G364" s="34"/>
      <c r="H364" s="34"/>
      <c r="I364" s="34"/>
      <c r="J364" s="28">
        <f>SUM(J362:J363)</f>
        <v>11</v>
      </c>
      <c r="K364" s="34"/>
      <c r="L364" s="34"/>
      <c r="M364" s="34"/>
      <c r="N364" s="34"/>
      <c r="O364" s="34"/>
      <c r="P364" s="34"/>
      <c r="Q364" s="34"/>
      <c r="S364" s="34"/>
    </row>
    <row r="365" spans="1:21" s="25" customFormat="1" x14ac:dyDescent="0.3">
      <c r="A365" s="320"/>
      <c r="B365" s="321"/>
      <c r="C365" s="321"/>
      <c r="D365" s="36"/>
      <c r="E365" s="244"/>
      <c r="F365" s="34"/>
      <c r="G365" s="34"/>
      <c r="H365" s="34"/>
      <c r="I365" s="34"/>
      <c r="J365" s="37"/>
      <c r="K365" s="34"/>
      <c r="L365" s="34"/>
      <c r="M365" s="34"/>
      <c r="N365" s="34"/>
      <c r="O365" s="34"/>
      <c r="P365" s="34"/>
      <c r="Q365" s="34"/>
      <c r="S365" s="34"/>
      <c r="T365" s="38"/>
    </row>
    <row r="366" spans="1:21" s="32" customFormat="1" ht="27.6" x14ac:dyDescent="0.3">
      <c r="A366" s="322" t="s">
        <v>306</v>
      </c>
      <c r="B366" s="322" t="s">
        <v>35</v>
      </c>
      <c r="C366" s="323" t="s">
        <v>367</v>
      </c>
      <c r="D366" s="201" t="s">
        <v>366</v>
      </c>
      <c r="E366" s="245" t="s">
        <v>86</v>
      </c>
      <c r="F366" s="31"/>
      <c r="G366" s="31"/>
      <c r="H366" s="31"/>
      <c r="I366" s="31"/>
      <c r="J366" s="31"/>
      <c r="K366" s="30">
        <f>J369</f>
        <v>2</v>
      </c>
      <c r="L366" s="30" t="s">
        <v>850</v>
      </c>
      <c r="M366" s="30">
        <f>ROUND(L366*(1+$N$11),2)</f>
        <v>153.37</v>
      </c>
      <c r="N366" s="30">
        <f>TRUNC($K366*M366,2)</f>
        <v>306.74</v>
      </c>
      <c r="O366" s="30" t="s">
        <v>851</v>
      </c>
      <c r="P366" s="30">
        <f>ROUND(O366*(1+$Q$11),2)</f>
        <v>147.06</v>
      </c>
      <c r="Q366" s="30">
        <f>TRUNC($K366*P366,2)</f>
        <v>294.12</v>
      </c>
      <c r="R366" s="25" t="s">
        <v>612</v>
      </c>
      <c r="S366" s="30"/>
    </row>
    <row r="367" spans="1:21" s="32" customFormat="1" x14ac:dyDescent="0.3">
      <c r="A367" s="322"/>
      <c r="B367" s="322"/>
      <c r="C367" s="323"/>
      <c r="D367" s="338" t="s">
        <v>368</v>
      </c>
      <c r="E367" s="245"/>
      <c r="F367" s="30">
        <v>1</v>
      </c>
      <c r="G367" s="31"/>
      <c r="H367" s="31"/>
      <c r="I367" s="31"/>
      <c r="J367" s="34">
        <f t="shared" ref="J367" si="54">ROUND(PRODUCT(F367:I367),2)</f>
        <v>1</v>
      </c>
      <c r="K367" s="30"/>
      <c r="L367" s="30"/>
      <c r="M367" s="30"/>
      <c r="N367" s="30"/>
      <c r="O367" s="30"/>
      <c r="P367" s="30"/>
      <c r="Q367" s="30"/>
      <c r="S367" s="30"/>
    </row>
    <row r="368" spans="1:21" s="32" customFormat="1" x14ac:dyDescent="0.3">
      <c r="A368" s="322"/>
      <c r="B368" s="322"/>
      <c r="C368" s="323"/>
      <c r="D368" s="338" t="s">
        <v>364</v>
      </c>
      <c r="E368" s="245"/>
      <c r="F368" s="30">
        <v>1</v>
      </c>
      <c r="G368" s="31"/>
      <c r="H368" s="31"/>
      <c r="I368" s="31"/>
      <c r="J368" s="34">
        <f t="shared" ref="J368" si="55">ROUND(PRODUCT(F368:I368),2)</f>
        <v>1</v>
      </c>
      <c r="K368" s="30"/>
      <c r="L368" s="30"/>
      <c r="M368" s="30"/>
      <c r="N368" s="30"/>
      <c r="O368" s="30"/>
      <c r="P368" s="30"/>
      <c r="Q368" s="30"/>
      <c r="S368" s="30"/>
    </row>
    <row r="369" spans="1:20" s="25" customFormat="1" x14ac:dyDescent="0.3">
      <c r="A369" s="321"/>
      <c r="B369" s="321"/>
      <c r="C369" s="321"/>
      <c r="D369" s="36" t="str">
        <f>"Total item "&amp;A366</f>
        <v>Total item 11.11</v>
      </c>
      <c r="E369" s="244"/>
      <c r="F369" s="34"/>
      <c r="G369" s="34"/>
      <c r="H369" s="34"/>
      <c r="I369" s="34"/>
      <c r="J369" s="28">
        <f>SUM(J367:J368)</f>
        <v>2</v>
      </c>
      <c r="K369" s="34"/>
      <c r="L369" s="34"/>
      <c r="M369" s="34"/>
      <c r="N369" s="34"/>
      <c r="O369" s="34"/>
      <c r="P369" s="34"/>
      <c r="Q369" s="34"/>
      <c r="S369" s="34"/>
    </row>
    <row r="370" spans="1:20" s="25" customFormat="1" x14ac:dyDescent="0.3">
      <c r="A370" s="320"/>
      <c r="B370" s="321"/>
      <c r="C370" s="321"/>
      <c r="D370" s="36"/>
      <c r="E370" s="244"/>
      <c r="F370" s="34"/>
      <c r="G370" s="34"/>
      <c r="H370" s="34"/>
      <c r="I370" s="34"/>
      <c r="J370" s="37"/>
      <c r="K370" s="34"/>
      <c r="L370" s="34"/>
      <c r="M370" s="34"/>
      <c r="N370" s="34"/>
      <c r="O370" s="34"/>
      <c r="P370" s="34"/>
      <c r="Q370" s="34"/>
      <c r="S370" s="34"/>
      <c r="T370" s="38"/>
    </row>
    <row r="371" spans="1:20" s="32" customFormat="1" ht="27.6" x14ac:dyDescent="0.3">
      <c r="A371" s="322" t="s">
        <v>307</v>
      </c>
      <c r="B371" s="322" t="s">
        <v>35</v>
      </c>
      <c r="C371" s="323" t="s">
        <v>560</v>
      </c>
      <c r="D371" s="201" t="s">
        <v>559</v>
      </c>
      <c r="E371" s="245" t="s">
        <v>86</v>
      </c>
      <c r="F371" s="31"/>
      <c r="G371" s="31"/>
      <c r="H371" s="31"/>
      <c r="I371" s="31"/>
      <c r="J371" s="31"/>
      <c r="K371" s="30">
        <f>J373</f>
        <v>4</v>
      </c>
      <c r="L371" s="30" t="s">
        <v>852</v>
      </c>
      <c r="M371" s="30">
        <f>ROUND(L371*(1+$N$11),2)</f>
        <v>179.38</v>
      </c>
      <c r="N371" s="30">
        <f>TRUNC($K371*M371,2)</f>
        <v>717.52</v>
      </c>
      <c r="O371" s="30" t="s">
        <v>852</v>
      </c>
      <c r="P371" s="30">
        <f>ROUND(O371*(1+$Q$11),2)</f>
        <v>170.83</v>
      </c>
      <c r="Q371" s="30">
        <f>TRUNC($K371*P371,2)</f>
        <v>683.32</v>
      </c>
      <c r="R371" s="25" t="s">
        <v>612</v>
      </c>
      <c r="S371" s="30"/>
    </row>
    <row r="372" spans="1:20" s="32" customFormat="1" x14ac:dyDescent="0.3">
      <c r="A372" s="322"/>
      <c r="B372" s="322"/>
      <c r="C372" s="323"/>
      <c r="D372" s="338" t="s">
        <v>364</v>
      </c>
      <c r="E372" s="245"/>
      <c r="F372" s="30">
        <v>4</v>
      </c>
      <c r="G372" s="31"/>
      <c r="H372" s="31"/>
      <c r="I372" s="31"/>
      <c r="J372" s="34">
        <f t="shared" ref="J372" si="56">ROUND(PRODUCT(F372:I372),2)</f>
        <v>4</v>
      </c>
      <c r="K372" s="30"/>
      <c r="L372" s="30"/>
      <c r="M372" s="30"/>
      <c r="N372" s="30"/>
      <c r="O372" s="30"/>
      <c r="P372" s="30"/>
      <c r="Q372" s="30"/>
      <c r="S372" s="30"/>
    </row>
    <row r="373" spans="1:20" s="25" customFormat="1" x14ac:dyDescent="0.3">
      <c r="A373" s="321"/>
      <c r="B373" s="321"/>
      <c r="C373" s="321"/>
      <c r="D373" s="36" t="str">
        <f>"Total item "&amp;A371</f>
        <v>Total item 11.12</v>
      </c>
      <c r="E373" s="244"/>
      <c r="F373" s="34"/>
      <c r="G373" s="34"/>
      <c r="H373" s="34"/>
      <c r="I373" s="34"/>
      <c r="J373" s="28">
        <f>SUM(J372:J372)</f>
        <v>4</v>
      </c>
      <c r="K373" s="34"/>
      <c r="L373" s="34"/>
      <c r="M373" s="34"/>
      <c r="N373" s="34"/>
      <c r="O373" s="34"/>
      <c r="P373" s="34"/>
      <c r="Q373" s="34"/>
      <c r="S373" s="34"/>
    </row>
    <row r="374" spans="1:20" s="25" customFormat="1" x14ac:dyDescent="0.3">
      <c r="A374" s="320"/>
      <c r="B374" s="321"/>
      <c r="C374" s="321"/>
      <c r="D374" s="36"/>
      <c r="E374" s="244"/>
      <c r="F374" s="34"/>
      <c r="G374" s="34"/>
      <c r="H374" s="34"/>
      <c r="I374" s="34"/>
      <c r="J374" s="37"/>
      <c r="K374" s="34"/>
      <c r="L374" s="34"/>
      <c r="M374" s="34"/>
      <c r="N374" s="34"/>
      <c r="O374" s="34"/>
      <c r="P374" s="34"/>
      <c r="Q374" s="34"/>
      <c r="S374" s="34"/>
      <c r="T374" s="38"/>
    </row>
    <row r="375" spans="1:20" s="32" customFormat="1" ht="27.6" x14ac:dyDescent="0.3">
      <c r="A375" s="322" t="s">
        <v>308</v>
      </c>
      <c r="B375" s="322" t="s">
        <v>35</v>
      </c>
      <c r="C375" s="323" t="s">
        <v>562</v>
      </c>
      <c r="D375" s="201" t="s">
        <v>561</v>
      </c>
      <c r="E375" s="245" t="s">
        <v>86</v>
      </c>
      <c r="F375" s="31"/>
      <c r="G375" s="31"/>
      <c r="H375" s="31"/>
      <c r="I375" s="31"/>
      <c r="J375" s="31"/>
      <c r="K375" s="30">
        <f>J377</f>
        <v>1</v>
      </c>
      <c r="L375" s="30" t="s">
        <v>853</v>
      </c>
      <c r="M375" s="30">
        <f>ROUND(L375*(1+$N$11),2)</f>
        <v>273.57</v>
      </c>
      <c r="N375" s="30">
        <f>TRUNC($K375*M375,2)</f>
        <v>273.57</v>
      </c>
      <c r="O375" s="30" t="s">
        <v>853</v>
      </c>
      <c r="P375" s="30">
        <f>ROUND(O375*(1+$Q$11),2)</f>
        <v>260.52999999999997</v>
      </c>
      <c r="Q375" s="30">
        <f>TRUNC($K375*P375,2)</f>
        <v>260.52999999999997</v>
      </c>
      <c r="R375" s="25" t="s">
        <v>612</v>
      </c>
      <c r="S375" s="30"/>
    </row>
    <row r="376" spans="1:20" s="32" customFormat="1" x14ac:dyDescent="0.3">
      <c r="A376" s="322"/>
      <c r="B376" s="322"/>
      <c r="C376" s="323"/>
      <c r="D376" s="338" t="s">
        <v>364</v>
      </c>
      <c r="E376" s="245"/>
      <c r="F376" s="30">
        <v>1</v>
      </c>
      <c r="G376" s="31"/>
      <c r="H376" s="31"/>
      <c r="I376" s="31"/>
      <c r="J376" s="34">
        <f t="shared" ref="J376" si="57">ROUND(PRODUCT(F376:I376),2)</f>
        <v>1</v>
      </c>
      <c r="K376" s="30"/>
      <c r="L376" s="30"/>
      <c r="M376" s="30"/>
      <c r="N376" s="30"/>
      <c r="O376" s="30"/>
      <c r="P376" s="30"/>
      <c r="Q376" s="30"/>
      <c r="S376" s="30"/>
    </row>
    <row r="377" spans="1:20" s="25" customFormat="1" x14ac:dyDescent="0.3">
      <c r="A377" s="321"/>
      <c r="B377" s="321"/>
      <c r="C377" s="321"/>
      <c r="D377" s="36" t="str">
        <f>"Total item "&amp;A375</f>
        <v>Total item 11.13</v>
      </c>
      <c r="E377" s="244"/>
      <c r="F377" s="34"/>
      <c r="G377" s="34"/>
      <c r="H377" s="34"/>
      <c r="I377" s="34"/>
      <c r="J377" s="28">
        <f>SUM(J376:J376)</f>
        <v>1</v>
      </c>
      <c r="K377" s="34"/>
      <c r="L377" s="34"/>
      <c r="M377" s="34"/>
      <c r="N377" s="34"/>
      <c r="O377" s="34"/>
      <c r="P377" s="34"/>
      <c r="Q377" s="34"/>
      <c r="S377" s="34"/>
    </row>
    <row r="378" spans="1:20" s="25" customFormat="1" x14ac:dyDescent="0.3">
      <c r="A378" s="320"/>
      <c r="B378" s="321"/>
      <c r="C378" s="321"/>
      <c r="D378" s="36"/>
      <c r="E378" s="244"/>
      <c r="F378" s="34"/>
      <c r="G378" s="34"/>
      <c r="H378" s="34"/>
      <c r="I378" s="34"/>
      <c r="J378" s="37"/>
      <c r="K378" s="34"/>
      <c r="L378" s="34"/>
      <c r="M378" s="34"/>
      <c r="N378" s="34"/>
      <c r="O378" s="34"/>
      <c r="P378" s="34"/>
      <c r="Q378" s="34"/>
      <c r="S378" s="34"/>
      <c r="T378" s="38"/>
    </row>
    <row r="379" spans="1:20" s="32" customFormat="1" ht="27.6" x14ac:dyDescent="0.3">
      <c r="A379" s="322" t="s">
        <v>309</v>
      </c>
      <c r="B379" s="322" t="s">
        <v>35</v>
      </c>
      <c r="C379" s="323" t="s">
        <v>371</v>
      </c>
      <c r="D379" s="201" t="s">
        <v>370</v>
      </c>
      <c r="E379" s="245" t="s">
        <v>86</v>
      </c>
      <c r="F379" s="31"/>
      <c r="G379" s="31"/>
      <c r="H379" s="31"/>
      <c r="I379" s="31"/>
      <c r="J379" s="31"/>
      <c r="K379" s="30">
        <f>J381</f>
        <v>4</v>
      </c>
      <c r="L379" s="30" t="s">
        <v>854</v>
      </c>
      <c r="M379" s="30">
        <f>ROUND(L379*(1+$N$11),2)</f>
        <v>53.89</v>
      </c>
      <c r="N379" s="30">
        <f>TRUNC($K379*M379,2)</f>
        <v>215.56</v>
      </c>
      <c r="O379" s="30" t="s">
        <v>855</v>
      </c>
      <c r="P379" s="30">
        <f>ROUND(O379*(1+$Q$11),2)</f>
        <v>52.09</v>
      </c>
      <c r="Q379" s="30">
        <f>TRUNC($K379*P379,2)</f>
        <v>208.36</v>
      </c>
      <c r="R379" s="25" t="s">
        <v>612</v>
      </c>
      <c r="S379" s="30"/>
    </row>
    <row r="380" spans="1:20" s="32" customFormat="1" x14ac:dyDescent="0.3">
      <c r="A380" s="322"/>
      <c r="B380" s="322"/>
      <c r="C380" s="322"/>
      <c r="D380" s="338" t="s">
        <v>369</v>
      </c>
      <c r="E380" s="248"/>
      <c r="F380" s="34">
        <v>4</v>
      </c>
      <c r="G380" s="30"/>
      <c r="H380" s="30"/>
      <c r="I380" s="30"/>
      <c r="J380" s="34">
        <f t="shared" ref="J380" si="58">ROUND(PRODUCT(F380:I380),2)</f>
        <v>4</v>
      </c>
      <c r="K380" s="30"/>
      <c r="L380" s="31"/>
      <c r="M380" s="30"/>
      <c r="N380" s="30"/>
      <c r="O380" s="31"/>
      <c r="P380" s="30"/>
      <c r="Q380" s="30"/>
      <c r="S380" s="30"/>
      <c r="T380" s="25"/>
    </row>
    <row r="381" spans="1:20" s="25" customFormat="1" x14ac:dyDescent="0.3">
      <c r="A381" s="321"/>
      <c r="B381" s="321"/>
      <c r="C381" s="321"/>
      <c r="D381" s="36" t="str">
        <f>"Total item "&amp;A379</f>
        <v>Total item 11.14</v>
      </c>
      <c r="E381" s="244"/>
      <c r="F381" s="34"/>
      <c r="G381" s="34"/>
      <c r="H381" s="34"/>
      <c r="I381" s="34"/>
      <c r="J381" s="28">
        <f>SUM(J380:J380)</f>
        <v>4</v>
      </c>
      <c r="K381" s="34"/>
      <c r="L381" s="34"/>
      <c r="M381" s="34"/>
      <c r="N381" s="34"/>
      <c r="O381" s="34"/>
      <c r="P381" s="34"/>
      <c r="Q381" s="34"/>
      <c r="S381" s="34"/>
    </row>
    <row r="382" spans="1:20" s="220" customFormat="1" x14ac:dyDescent="0.3">
      <c r="A382" s="329"/>
      <c r="B382" s="327"/>
      <c r="C382" s="327"/>
      <c r="D382" s="216"/>
      <c r="E382" s="250"/>
      <c r="F382" s="218"/>
      <c r="G382" s="218"/>
      <c r="H382" s="218"/>
      <c r="I382" s="218"/>
      <c r="J382" s="219"/>
      <c r="K382" s="218"/>
      <c r="L382" s="218"/>
      <c r="M382" s="218"/>
      <c r="N382" s="218"/>
      <c r="O382" s="218"/>
      <c r="P382" s="218"/>
      <c r="Q382" s="218"/>
      <c r="S382" s="218"/>
      <c r="T382" s="221"/>
    </row>
    <row r="383" spans="1:20" s="32" customFormat="1" ht="27.6" x14ac:dyDescent="0.3">
      <c r="A383" s="322" t="s">
        <v>428</v>
      </c>
      <c r="B383" s="322" t="s">
        <v>35</v>
      </c>
      <c r="C383" s="323" t="s">
        <v>558</v>
      </c>
      <c r="D383" s="201" t="s">
        <v>557</v>
      </c>
      <c r="E383" s="245" t="s">
        <v>86</v>
      </c>
      <c r="F383" s="286"/>
      <c r="G383" s="31"/>
      <c r="H383" s="31"/>
      <c r="I383" s="31"/>
      <c r="J383" s="31"/>
      <c r="K383" s="30">
        <f>J385</f>
        <v>4</v>
      </c>
      <c r="L383" s="30" t="s">
        <v>856</v>
      </c>
      <c r="M383" s="30">
        <f>ROUND(L383*(1+$N$11),2)</f>
        <v>135.68</v>
      </c>
      <c r="N383" s="30">
        <f>TRUNC($K383*M383,2)</f>
        <v>542.72</v>
      </c>
      <c r="O383" s="30" t="s">
        <v>857</v>
      </c>
      <c r="P383" s="30">
        <f>ROUND(O383*(1+$Q$11),2)</f>
        <v>130.47</v>
      </c>
      <c r="Q383" s="30">
        <f>TRUNC($K383*P383,2)</f>
        <v>521.88</v>
      </c>
      <c r="R383" s="25" t="s">
        <v>612</v>
      </c>
      <c r="S383" s="30"/>
    </row>
    <row r="384" spans="1:20" s="32" customFormat="1" x14ac:dyDescent="0.3">
      <c r="A384" s="322"/>
      <c r="B384" s="322"/>
      <c r="C384" s="322"/>
      <c r="D384" s="338" t="s">
        <v>369</v>
      </c>
      <c r="E384" s="248"/>
      <c r="F384" s="30">
        <v>4</v>
      </c>
      <c r="G384" s="30"/>
      <c r="H384" s="30"/>
      <c r="I384" s="30"/>
      <c r="J384" s="34">
        <f>ROUND(PRODUCT(F384:I384),2)</f>
        <v>4</v>
      </c>
      <c r="K384" s="30"/>
      <c r="L384" s="31"/>
      <c r="M384" s="30"/>
      <c r="N384" s="30"/>
      <c r="O384" s="31"/>
      <c r="P384" s="30"/>
      <c r="Q384" s="30"/>
      <c r="S384" s="30"/>
      <c r="T384" s="25"/>
    </row>
    <row r="385" spans="1:21" s="25" customFormat="1" x14ac:dyDescent="0.3">
      <c r="A385" s="321"/>
      <c r="B385" s="321"/>
      <c r="C385" s="321"/>
      <c r="D385" s="36" t="str">
        <f>"Total item "&amp;A383</f>
        <v>Total item 11.15</v>
      </c>
      <c r="E385" s="244"/>
      <c r="F385" s="34"/>
      <c r="G385" s="34"/>
      <c r="H385" s="34"/>
      <c r="I385" s="34"/>
      <c r="J385" s="28">
        <f>SUM(J384:J384)</f>
        <v>4</v>
      </c>
      <c r="K385" s="34"/>
      <c r="L385" s="34"/>
      <c r="M385" s="34"/>
      <c r="N385" s="34"/>
      <c r="O385" s="34"/>
      <c r="P385" s="34"/>
      <c r="Q385" s="34"/>
      <c r="S385" s="34"/>
    </row>
    <row r="386" spans="1:21" s="220" customFormat="1" x14ac:dyDescent="0.3">
      <c r="A386" s="329"/>
      <c r="B386" s="327"/>
      <c r="C386" s="327"/>
      <c r="D386" s="216"/>
      <c r="E386" s="250"/>
      <c r="F386" s="218"/>
      <c r="G386" s="218"/>
      <c r="H386" s="218"/>
      <c r="I386" s="218"/>
      <c r="J386" s="219"/>
      <c r="K386" s="218"/>
      <c r="L386" s="218"/>
      <c r="M386" s="218"/>
      <c r="N386" s="218"/>
      <c r="O386" s="218"/>
      <c r="P386" s="218"/>
      <c r="Q386" s="218"/>
      <c r="S386" s="218"/>
      <c r="T386" s="221"/>
    </row>
    <row r="387" spans="1:21" s="171" customFormat="1" x14ac:dyDescent="0.3">
      <c r="A387" s="328" t="s">
        <v>26</v>
      </c>
      <c r="B387" s="326"/>
      <c r="C387" s="326"/>
      <c r="D387" s="199" t="s">
        <v>190</v>
      </c>
      <c r="E387" s="243"/>
      <c r="F387" s="28"/>
      <c r="G387" s="28"/>
      <c r="H387" s="28"/>
      <c r="I387" s="28"/>
      <c r="J387" s="28"/>
      <c r="K387" s="28"/>
      <c r="L387" s="28"/>
      <c r="M387" s="28"/>
      <c r="N387" s="28">
        <f>SUM(N388:N404)</f>
        <v>177441.84</v>
      </c>
      <c r="O387" s="28"/>
      <c r="P387" s="28"/>
      <c r="Q387" s="28">
        <f>SUM(Q388:Q404)</f>
        <v>169791.21</v>
      </c>
      <c r="S387" s="28"/>
      <c r="T387" s="202"/>
    </row>
    <row r="388" spans="1:21" s="25" customFormat="1" x14ac:dyDescent="0.3">
      <c r="A388" s="320"/>
      <c r="B388" s="321"/>
      <c r="C388" s="321"/>
      <c r="D388" s="36"/>
      <c r="E388" s="244"/>
      <c r="F388" s="34"/>
      <c r="G388" s="34"/>
      <c r="H388" s="34"/>
      <c r="I388" s="34"/>
      <c r="J388" s="37"/>
      <c r="K388" s="34"/>
      <c r="L388" s="34"/>
      <c r="M388" s="34"/>
      <c r="N388" s="34"/>
      <c r="O388" s="34"/>
      <c r="P388" s="34"/>
      <c r="Q388" s="34"/>
      <c r="S388" s="34"/>
      <c r="T388" s="38"/>
    </row>
    <row r="389" spans="1:21" s="252" customFormat="1" x14ac:dyDescent="0.3">
      <c r="A389" s="322" t="s">
        <v>149</v>
      </c>
      <c r="B389" s="322" t="s">
        <v>664</v>
      </c>
      <c r="C389" s="323" t="s">
        <v>663</v>
      </c>
      <c r="D389" s="201" t="s">
        <v>662</v>
      </c>
      <c r="E389" s="245" t="s">
        <v>86</v>
      </c>
      <c r="F389" s="31"/>
      <c r="G389" s="31"/>
      <c r="H389" s="31"/>
      <c r="I389" s="31"/>
      <c r="J389" s="31"/>
      <c r="K389" s="30">
        <f>J391</f>
        <v>3</v>
      </c>
      <c r="L389" s="30">
        <v>49161.4</v>
      </c>
      <c r="M389" s="30">
        <f>ROUND(L389*(1+$N$10),2)</f>
        <v>57184.54</v>
      </c>
      <c r="N389" s="30">
        <f>TRUNC($K389*M389,2)</f>
        <v>171553.62</v>
      </c>
      <c r="O389" s="30">
        <v>49161.4</v>
      </c>
      <c r="P389" s="30">
        <f>ROUND(O389*(1+$Q$10),2)</f>
        <v>54618.32</v>
      </c>
      <c r="Q389" s="30">
        <f>TRUNC($K389*P389,2)</f>
        <v>163854.96</v>
      </c>
      <c r="R389" s="25" t="s">
        <v>612</v>
      </c>
      <c r="S389" s="30"/>
      <c r="T389" s="32"/>
      <c r="U389" s="32"/>
    </row>
    <row r="390" spans="1:21" s="252" customFormat="1" x14ac:dyDescent="0.3">
      <c r="A390" s="322"/>
      <c r="B390" s="322"/>
      <c r="C390" s="323"/>
      <c r="D390" s="33" t="s">
        <v>753</v>
      </c>
      <c r="E390" s="245"/>
      <c r="F390" s="30">
        <v>3</v>
      </c>
      <c r="G390" s="30"/>
      <c r="H390" s="30"/>
      <c r="I390" s="30"/>
      <c r="J390" s="34">
        <f>ROUND(PRODUCT(F390:I390),2)</f>
        <v>3</v>
      </c>
      <c r="K390" s="30"/>
      <c r="L390" s="30"/>
      <c r="M390" s="30"/>
      <c r="N390" s="30"/>
      <c r="O390" s="30"/>
      <c r="P390" s="30"/>
      <c r="Q390" s="30"/>
      <c r="R390" s="32"/>
      <c r="S390" s="30"/>
      <c r="T390" s="32"/>
      <c r="U390" s="32"/>
    </row>
    <row r="391" spans="1:21" s="276" customFormat="1" x14ac:dyDescent="0.3">
      <c r="A391" s="321"/>
      <c r="B391" s="321"/>
      <c r="C391" s="321"/>
      <c r="D391" s="36" t="str">
        <f>"Total item "&amp;A389</f>
        <v>Total item 12.1</v>
      </c>
      <c r="E391" s="244"/>
      <c r="F391" s="34"/>
      <c r="G391" s="34"/>
      <c r="H391" s="34"/>
      <c r="I391" s="34"/>
      <c r="J391" s="28">
        <f>SUM(J390:J390)</f>
        <v>3</v>
      </c>
      <c r="K391" s="34"/>
      <c r="L391" s="34"/>
      <c r="M391" s="34"/>
      <c r="N391" s="34"/>
      <c r="O391" s="34"/>
      <c r="P391" s="34"/>
      <c r="Q391" s="34"/>
      <c r="R391" s="25"/>
      <c r="S391" s="34"/>
      <c r="T391" s="25"/>
      <c r="U391" s="25"/>
    </row>
    <row r="392" spans="1:21" s="25" customFormat="1" x14ac:dyDescent="0.3">
      <c r="A392" s="320"/>
      <c r="B392" s="321"/>
      <c r="C392" s="321"/>
      <c r="D392" s="36"/>
      <c r="E392" s="244"/>
      <c r="F392" s="34"/>
      <c r="G392" s="34"/>
      <c r="H392" s="34"/>
      <c r="I392" s="34"/>
      <c r="J392" s="37"/>
      <c r="K392" s="34"/>
      <c r="L392" s="34"/>
      <c r="M392" s="34"/>
      <c r="N392" s="34"/>
      <c r="O392" s="34"/>
      <c r="P392" s="34"/>
      <c r="Q392" s="34"/>
      <c r="S392" s="34"/>
      <c r="T392" s="38"/>
    </row>
    <row r="393" spans="1:21" s="252" customFormat="1" ht="41.4" x14ac:dyDescent="0.3">
      <c r="A393" s="322" t="s">
        <v>173</v>
      </c>
      <c r="B393" s="322" t="s">
        <v>35</v>
      </c>
      <c r="C393" s="323" t="s">
        <v>311</v>
      </c>
      <c r="D393" s="201" t="s">
        <v>312</v>
      </c>
      <c r="E393" s="245" t="s">
        <v>86</v>
      </c>
      <c r="F393" s="31"/>
      <c r="G393" s="31"/>
      <c r="H393" s="31"/>
      <c r="I393" s="31"/>
      <c r="J393" s="31"/>
      <c r="K393" s="30">
        <f>J395</f>
        <v>2</v>
      </c>
      <c r="L393" s="30" t="s">
        <v>721</v>
      </c>
      <c r="M393" s="30">
        <f>ROUND(L393*(1+$N$11),2)</f>
        <v>339.33</v>
      </c>
      <c r="N393" s="30">
        <f>TRUNC($K393*M393,2)</f>
        <v>678.66</v>
      </c>
      <c r="O393" s="30" t="s">
        <v>722</v>
      </c>
      <c r="P393" s="30">
        <f>ROUND(O393*(1+$Q$11),2)</f>
        <v>325.41000000000003</v>
      </c>
      <c r="Q393" s="30">
        <f>TRUNC($K393*P393,2)</f>
        <v>650.82000000000005</v>
      </c>
      <c r="R393" s="25" t="s">
        <v>612</v>
      </c>
      <c r="S393" s="30"/>
      <c r="T393" s="32"/>
      <c r="U393" s="32"/>
    </row>
    <row r="394" spans="1:21" s="252" customFormat="1" x14ac:dyDescent="0.3">
      <c r="A394" s="322"/>
      <c r="B394" s="322"/>
      <c r="C394" s="323"/>
      <c r="D394" s="33" t="s">
        <v>789</v>
      </c>
      <c r="E394" s="245"/>
      <c r="F394" s="30">
        <v>2</v>
      </c>
      <c r="G394" s="30"/>
      <c r="H394" s="30"/>
      <c r="I394" s="30"/>
      <c r="J394" s="34">
        <f>ROUND(PRODUCT(F394:I394),2)</f>
        <v>2</v>
      </c>
      <c r="K394" s="30"/>
      <c r="L394" s="30"/>
      <c r="M394" s="30"/>
      <c r="N394" s="30"/>
      <c r="O394" s="30"/>
      <c r="P394" s="30"/>
      <c r="Q394" s="30"/>
      <c r="R394" s="32"/>
      <c r="S394" s="30"/>
      <c r="T394" s="32"/>
      <c r="U394" s="32"/>
    </row>
    <row r="395" spans="1:21" s="276" customFormat="1" x14ac:dyDescent="0.3">
      <c r="A395" s="321"/>
      <c r="B395" s="321"/>
      <c r="C395" s="321"/>
      <c r="D395" s="36" t="str">
        <f>"Total item "&amp;A393</f>
        <v>Total item 12.2</v>
      </c>
      <c r="E395" s="244"/>
      <c r="F395" s="34"/>
      <c r="G395" s="34"/>
      <c r="H395" s="34"/>
      <c r="I395" s="34"/>
      <c r="J395" s="28">
        <f>SUM(J394:J394)</f>
        <v>2</v>
      </c>
      <c r="K395" s="34"/>
      <c r="L395" s="34"/>
      <c r="M395" s="34"/>
      <c r="N395" s="34"/>
      <c r="O395" s="34"/>
      <c r="P395" s="34"/>
      <c r="Q395" s="34"/>
      <c r="R395" s="25"/>
      <c r="S395" s="34"/>
      <c r="T395" s="25"/>
      <c r="U395" s="25"/>
    </row>
    <row r="396" spans="1:21" s="276" customFormat="1" x14ac:dyDescent="0.3">
      <c r="A396" s="320"/>
      <c r="B396" s="321"/>
      <c r="C396" s="321"/>
      <c r="D396" s="36"/>
      <c r="E396" s="244"/>
      <c r="F396" s="34"/>
      <c r="G396" s="34"/>
      <c r="H396" s="34"/>
      <c r="I396" s="34"/>
      <c r="J396" s="37"/>
      <c r="K396" s="34"/>
      <c r="L396" s="34"/>
      <c r="M396" s="34"/>
      <c r="N396" s="34"/>
      <c r="O396" s="34"/>
      <c r="P396" s="34"/>
      <c r="Q396" s="34"/>
      <c r="R396" s="25"/>
      <c r="S396" s="34"/>
      <c r="T396" s="38"/>
      <c r="U396" s="38"/>
    </row>
    <row r="397" spans="1:21" s="252" customFormat="1" ht="41.4" x14ac:dyDescent="0.3">
      <c r="A397" s="322" t="s">
        <v>174</v>
      </c>
      <c r="B397" s="322" t="s">
        <v>35</v>
      </c>
      <c r="C397" s="323" t="s">
        <v>313</v>
      </c>
      <c r="D397" s="201" t="s">
        <v>314</v>
      </c>
      <c r="E397" s="245" t="s">
        <v>86</v>
      </c>
      <c r="F397" s="31"/>
      <c r="G397" s="31"/>
      <c r="H397" s="31"/>
      <c r="I397" s="31"/>
      <c r="J397" s="31"/>
      <c r="K397" s="30">
        <f>J399</f>
        <v>2</v>
      </c>
      <c r="L397" s="30" t="s">
        <v>723</v>
      </c>
      <c r="M397" s="30">
        <f>ROUND(L397*(1+$N$11),2)</f>
        <v>383.61</v>
      </c>
      <c r="N397" s="30">
        <f>TRUNC($K397*M397,2)</f>
        <v>767.22</v>
      </c>
      <c r="O397" s="30" t="s">
        <v>724</v>
      </c>
      <c r="P397" s="30">
        <f>ROUND(O397*(1+$Q$11),2)</f>
        <v>367.59</v>
      </c>
      <c r="Q397" s="30">
        <f>TRUNC($K397*P397,2)</f>
        <v>735.18</v>
      </c>
      <c r="R397" s="25" t="s">
        <v>612</v>
      </c>
      <c r="S397" s="30"/>
      <c r="T397" s="32"/>
      <c r="U397" s="32"/>
    </row>
    <row r="398" spans="1:21" s="252" customFormat="1" x14ac:dyDescent="0.3">
      <c r="A398" s="322"/>
      <c r="B398" s="322"/>
      <c r="C398" s="323"/>
      <c r="D398" s="33" t="s">
        <v>789</v>
      </c>
      <c r="E398" s="245"/>
      <c r="F398" s="30">
        <v>2</v>
      </c>
      <c r="G398" s="30"/>
      <c r="H398" s="30"/>
      <c r="I398" s="30"/>
      <c r="J398" s="34">
        <f>ROUND(PRODUCT(F398:I398),2)</f>
        <v>2</v>
      </c>
      <c r="K398" s="30"/>
      <c r="L398" s="30"/>
      <c r="M398" s="30"/>
      <c r="N398" s="30"/>
      <c r="O398" s="30"/>
      <c r="P398" s="30"/>
      <c r="Q398" s="30"/>
      <c r="R398" s="32"/>
      <c r="S398" s="30"/>
      <c r="T398" s="32"/>
      <c r="U398" s="32"/>
    </row>
    <row r="399" spans="1:21" s="276" customFormat="1" x14ac:dyDescent="0.3">
      <c r="A399" s="321"/>
      <c r="B399" s="321"/>
      <c r="C399" s="321"/>
      <c r="D399" s="36" t="str">
        <f>"Total item "&amp;A397</f>
        <v>Total item 12.3</v>
      </c>
      <c r="E399" s="244"/>
      <c r="F399" s="34"/>
      <c r="G399" s="34"/>
      <c r="H399" s="34"/>
      <c r="I399" s="30"/>
      <c r="J399" s="28">
        <f>SUM(J398:J398)</f>
        <v>2</v>
      </c>
      <c r="K399" s="34"/>
      <c r="L399" s="34"/>
      <c r="M399" s="34"/>
      <c r="N399" s="34"/>
      <c r="O399" s="34"/>
      <c r="P399" s="34"/>
      <c r="Q399" s="34"/>
      <c r="R399" s="25"/>
      <c r="S399" s="34"/>
      <c r="T399" s="25"/>
      <c r="U399" s="25"/>
    </row>
    <row r="400" spans="1:21" s="276" customFormat="1" x14ac:dyDescent="0.3">
      <c r="A400" s="320"/>
      <c r="B400" s="321"/>
      <c r="C400" s="321"/>
      <c r="D400" s="36"/>
      <c r="E400" s="244"/>
      <c r="F400" s="34"/>
      <c r="G400" s="34"/>
      <c r="H400" s="34"/>
      <c r="I400" s="34"/>
      <c r="J400" s="37"/>
      <c r="K400" s="34"/>
      <c r="L400" s="34"/>
      <c r="M400" s="34"/>
      <c r="N400" s="34"/>
      <c r="O400" s="34"/>
      <c r="P400" s="34"/>
      <c r="Q400" s="34"/>
      <c r="R400" s="25"/>
      <c r="S400" s="34"/>
      <c r="T400" s="38"/>
      <c r="U400" s="38"/>
    </row>
    <row r="401" spans="1:21" s="252" customFormat="1" ht="22.8" customHeight="1" x14ac:dyDescent="0.3">
      <c r="A401" s="322" t="s">
        <v>174</v>
      </c>
      <c r="B401" s="322" t="s">
        <v>35</v>
      </c>
      <c r="C401" s="323" t="s">
        <v>440</v>
      </c>
      <c r="D401" s="201" t="s">
        <v>439</v>
      </c>
      <c r="E401" s="245" t="s">
        <v>88</v>
      </c>
      <c r="F401" s="31"/>
      <c r="G401" s="31" t="s">
        <v>481</v>
      </c>
      <c r="H401" s="31"/>
      <c r="I401" s="31"/>
      <c r="J401" s="31"/>
      <c r="K401" s="30">
        <f>J403</f>
        <v>1798.52</v>
      </c>
      <c r="L401" s="30" t="s">
        <v>858</v>
      </c>
      <c r="M401" s="30">
        <f>ROUND(L401*(1+$N$11),2)</f>
        <v>2.4700000000000002</v>
      </c>
      <c r="N401" s="30">
        <f>TRUNC($K401*M401,2)</f>
        <v>4442.34</v>
      </c>
      <c r="O401" s="30">
        <v>2.1</v>
      </c>
      <c r="P401" s="30">
        <f>ROUND(O401*(1+$Q$11),2)</f>
        <v>2.5299999999999998</v>
      </c>
      <c r="Q401" s="30">
        <f>TRUNC($K401*P401,2)</f>
        <v>4550.25</v>
      </c>
      <c r="R401" s="25" t="s">
        <v>612</v>
      </c>
      <c r="S401" s="30"/>
      <c r="T401" s="32"/>
      <c r="U401" s="32"/>
    </row>
    <row r="402" spans="1:21" s="252" customFormat="1" x14ac:dyDescent="0.3">
      <c r="A402" s="29"/>
      <c r="B402" s="29"/>
      <c r="C402" s="200"/>
      <c r="D402" s="213" t="s">
        <v>372</v>
      </c>
      <c r="E402" s="245"/>
      <c r="F402" s="30"/>
      <c r="G402" s="30">
        <f>J141</f>
        <v>1798.52</v>
      </c>
      <c r="H402" s="30"/>
      <c r="I402" s="30"/>
      <c r="J402" s="30">
        <f>ROUND(PRODUCT(F402:I402),2)</f>
        <v>1798.52</v>
      </c>
      <c r="K402" s="30"/>
      <c r="L402" s="30"/>
      <c r="M402" s="30"/>
      <c r="N402" s="30"/>
      <c r="O402" s="30"/>
      <c r="P402" s="30"/>
      <c r="Q402" s="30"/>
      <c r="R402" s="32"/>
      <c r="S402" s="30"/>
      <c r="T402" s="32"/>
      <c r="U402" s="32"/>
    </row>
    <row r="403" spans="1:21" s="276" customFormat="1" x14ac:dyDescent="0.3">
      <c r="A403" s="35"/>
      <c r="B403" s="35"/>
      <c r="C403" s="35"/>
      <c r="D403" s="36" t="str">
        <f>"Total item "&amp;A401</f>
        <v>Total item 12.3</v>
      </c>
      <c r="E403" s="244"/>
      <c r="F403" s="34"/>
      <c r="G403" s="34"/>
      <c r="H403" s="34"/>
      <c r="I403" s="34"/>
      <c r="J403" s="28">
        <f>SUM(J402:J402)</f>
        <v>1798.52</v>
      </c>
      <c r="K403" s="34"/>
      <c r="L403" s="34"/>
      <c r="M403" s="34"/>
      <c r="N403" s="34"/>
      <c r="O403" s="34"/>
      <c r="P403" s="34"/>
      <c r="Q403" s="34"/>
      <c r="R403" s="25"/>
      <c r="S403" s="34"/>
      <c r="T403" s="25"/>
      <c r="U403" s="25"/>
    </row>
    <row r="404" spans="1:21" s="220" customFormat="1" x14ac:dyDescent="0.3">
      <c r="A404" s="214"/>
      <c r="B404" s="215"/>
      <c r="C404" s="215"/>
      <c r="D404" s="216"/>
      <c r="E404" s="217"/>
      <c r="F404" s="218"/>
      <c r="G404" s="218"/>
      <c r="H404" s="218"/>
      <c r="I404" s="218"/>
      <c r="J404" s="219"/>
      <c r="K404" s="218"/>
      <c r="L404" s="218"/>
      <c r="M404" s="218"/>
      <c r="N404" s="218"/>
      <c r="O404" s="218"/>
      <c r="P404" s="218"/>
      <c r="Q404" s="218"/>
      <c r="S404" s="218"/>
      <c r="T404" s="221"/>
    </row>
    <row r="405" spans="1:21" s="48" customFormat="1" x14ac:dyDescent="0.3">
      <c r="A405" s="522" t="s">
        <v>127</v>
      </c>
      <c r="B405" s="523"/>
      <c r="C405" s="523"/>
      <c r="D405" s="523"/>
      <c r="E405" s="523"/>
      <c r="F405" s="523"/>
      <c r="G405" s="523"/>
      <c r="H405" s="523"/>
      <c r="I405" s="523"/>
      <c r="J405" s="523"/>
      <c r="K405" s="523"/>
      <c r="L405" s="151"/>
      <c r="M405" s="152"/>
      <c r="N405" s="204">
        <f>SUM(N14:N404)/2</f>
        <v>2653615.6599999992</v>
      </c>
      <c r="O405" s="205"/>
      <c r="P405" s="206"/>
      <c r="Q405" s="207">
        <f>SUM(Q14:Q404)/2</f>
        <v>2590295.1900000018</v>
      </c>
      <c r="S405" s="49"/>
    </row>
    <row r="406" spans="1:21" s="25" customFormat="1" x14ac:dyDescent="0.3">
      <c r="L406" s="95"/>
      <c r="N406" s="341"/>
      <c r="O406" s="96"/>
      <c r="P406" s="24"/>
      <c r="Q406" s="150"/>
      <c r="S406" s="24"/>
    </row>
    <row r="407" spans="1:21" s="25" customFormat="1" x14ac:dyDescent="0.3">
      <c r="L407" s="95"/>
      <c r="N407" s="341">
        <f>SUMIF(K14:K404,"&gt;0",N14:N404)</f>
        <v>2653615.6600000015</v>
      </c>
      <c r="O407" s="96"/>
      <c r="P407" s="24"/>
      <c r="Q407" s="341">
        <f>SUMIF(K14:K404,"&gt;0",Q14:Q404)</f>
        <v>2590295.189999999</v>
      </c>
      <c r="S407" s="24"/>
    </row>
    <row r="408" spans="1:21" x14ac:dyDescent="0.3">
      <c r="N408" s="163"/>
      <c r="Q408" s="163"/>
    </row>
    <row r="409" spans="1:21" x14ac:dyDescent="0.3">
      <c r="N409" s="203">
        <f>SUM(N15,N21,N65,N96,N109,N129,N147,N180,N228,N253,N323,N387)</f>
        <v>2653615.6599999997</v>
      </c>
      <c r="Q409" s="203">
        <f>SUM(Q15,Q21,Q65,Q96,Q109,Q129,Q147,Q180,Q228,Q253,Q323,Q387)</f>
        <v>2590295.1900000004</v>
      </c>
    </row>
    <row r="411" spans="1:21" x14ac:dyDescent="0.3">
      <c r="N411" s="203">
        <f>SUM(N14:N405)/3</f>
        <v>2653615.6599999992</v>
      </c>
      <c r="Q411" s="203">
        <f>SUM(Q14:Q405)/3</f>
        <v>2590295.1900000018</v>
      </c>
    </row>
    <row r="413" spans="1:21" x14ac:dyDescent="0.3">
      <c r="M413" s="165" t="s">
        <v>315</v>
      </c>
      <c r="N413" s="203">
        <f>N409-Q409</f>
        <v>63320.469999999274</v>
      </c>
      <c r="Q413" s="203"/>
    </row>
    <row r="414" spans="1:21" x14ac:dyDescent="0.3">
      <c r="Q414" s="203"/>
    </row>
    <row r="415" spans="1:21" x14ac:dyDescent="0.3">
      <c r="Q415" s="203"/>
    </row>
    <row r="416" spans="1:21" x14ac:dyDescent="0.3">
      <c r="G416" s="337"/>
      <c r="O416" s="231"/>
      <c r="P416" s="158"/>
      <c r="Q416" s="50"/>
    </row>
    <row r="417" spans="15:17" x14ac:dyDescent="0.3">
      <c r="O417" s="230"/>
      <c r="P417" s="95"/>
      <c r="Q417" s="31"/>
    </row>
    <row r="418" spans="15:17" x14ac:dyDescent="0.3">
      <c r="Q418" s="203"/>
    </row>
    <row r="420" spans="15:17" x14ac:dyDescent="0.3">
      <c r="P420" s="95"/>
      <c r="Q420" s="203"/>
    </row>
  </sheetData>
  <mergeCells count="11">
    <mergeCell ref="L12:N12"/>
    <mergeCell ref="O12:Q12"/>
    <mergeCell ref="A405:K405"/>
    <mergeCell ref="A1:Q1"/>
    <mergeCell ref="A2:J2"/>
    <mergeCell ref="A3:J3"/>
    <mergeCell ref="A4:J4"/>
    <mergeCell ref="L11:M11"/>
    <mergeCell ref="O11:P11"/>
    <mergeCell ref="L10:M10"/>
    <mergeCell ref="O10:P10"/>
  </mergeCells>
  <phoneticPr fontId="11" type="noConversion"/>
  <printOptions horizontalCentered="1"/>
  <pageMargins left="0.59055118110236227" right="0.59055118110236227" top="1.3779527559055118" bottom="0.59055118110236227" header="0.39370078740157483" footer="0.39370078740157483"/>
  <pageSetup paperSize="9" scale="44" fitToHeight="0" orientation="portrait" r:id="rId1"/>
  <headerFooter>
    <oddHeader>&amp;L&amp;G&amp;R&amp;G</oddHeader>
    <oddFooter>Página &amp;P de &amp;N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DF34E-97A3-4912-BF12-86BC712DA487}">
  <sheetPr>
    <tabColor rgb="FF92D050"/>
    <pageSetUpPr fitToPage="1"/>
  </sheetPr>
  <dimension ref="A1:M133"/>
  <sheetViews>
    <sheetView view="pageBreakPreview" topLeftCell="A10" zoomScale="90" zoomScaleSheetLayoutView="90" workbookViewId="0">
      <pane ySplit="1008" activePane="bottomLeft"/>
      <selection activeCell="F12" sqref="F1:J1048576"/>
      <selection pane="bottomLeft" activeCell="F126" sqref="F126"/>
    </sheetView>
  </sheetViews>
  <sheetFormatPr defaultColWidth="9.109375" defaultRowHeight="13.8" x14ac:dyDescent="0.3"/>
  <cols>
    <col min="1" max="1" width="7.44140625" style="155" customWidth="1"/>
    <col min="2" max="2" width="12.33203125" style="155" customWidth="1"/>
    <col min="3" max="3" width="9.33203125" style="155" customWidth="1"/>
    <col min="4" max="4" width="50.6640625" style="155" customWidth="1"/>
    <col min="5" max="5" width="4.5546875" style="155" bestFit="1" customWidth="1"/>
    <col min="6" max="6" width="8.88671875" style="155" bestFit="1" customWidth="1"/>
    <col min="7" max="7" width="9.88671875" style="157" bestFit="1" customWidth="1"/>
    <col min="8" max="8" width="12.6640625" style="155" bestFit="1" customWidth="1"/>
    <col min="9" max="9" width="11.5546875" style="158" bestFit="1" customWidth="1"/>
    <col min="10" max="10" width="5.44140625" style="155" bestFit="1" customWidth="1"/>
    <col min="11" max="11" width="12.33203125" style="156" bestFit="1" customWidth="1"/>
    <col min="12" max="12" width="12.88671875" style="155" customWidth="1"/>
    <col min="13" max="16" width="11.33203125" style="155" customWidth="1"/>
    <col min="17" max="16384" width="9.109375" style="155"/>
  </cols>
  <sheetData>
    <row r="1" spans="1:13" s="25" customFormat="1" ht="15.6" x14ac:dyDescent="0.3">
      <c r="A1" s="524" t="s">
        <v>14</v>
      </c>
      <c r="B1" s="525"/>
      <c r="C1" s="525"/>
      <c r="D1" s="525"/>
      <c r="E1" s="525"/>
      <c r="F1" s="525"/>
      <c r="G1" s="525"/>
      <c r="H1" s="525"/>
      <c r="I1" s="526"/>
      <c r="K1" s="24"/>
    </row>
    <row r="2" spans="1:13" s="25" customFormat="1" x14ac:dyDescent="0.3">
      <c r="A2" s="527"/>
      <c r="B2" s="527"/>
      <c r="C2" s="527"/>
      <c r="D2" s="527"/>
      <c r="E2" s="527"/>
      <c r="G2" s="95"/>
      <c r="I2" s="50"/>
      <c r="K2" s="24"/>
    </row>
    <row r="3" spans="1:13" ht="13.95" customHeight="1" x14ac:dyDescent="0.3">
      <c r="A3" s="52" t="s">
        <v>607</v>
      </c>
      <c r="B3" s="161"/>
      <c r="C3" s="161"/>
      <c r="D3" s="161"/>
      <c r="E3" s="161"/>
      <c r="F3" s="161"/>
      <c r="G3" s="161"/>
      <c r="H3" s="161"/>
      <c r="I3" s="161"/>
    </row>
    <row r="4" spans="1:13" x14ac:dyDescent="0.3">
      <c r="A4" s="39" t="s">
        <v>608</v>
      </c>
      <c r="B4" s="162"/>
      <c r="D4" s="159"/>
      <c r="E4" s="159"/>
      <c r="F4" s="159"/>
      <c r="G4" s="159"/>
      <c r="H4" s="159"/>
      <c r="I4" s="160"/>
    </row>
    <row r="5" spans="1:13" s="25" customFormat="1" x14ac:dyDescent="0.3">
      <c r="A5" s="39" t="s">
        <v>963</v>
      </c>
      <c r="B5" s="39"/>
      <c r="D5" s="170"/>
      <c r="E5" s="170"/>
      <c r="F5" s="170"/>
      <c r="G5" s="170"/>
      <c r="H5" s="170"/>
      <c r="I5" s="51"/>
      <c r="K5" s="24"/>
    </row>
    <row r="6" spans="1:13" s="25" customFormat="1" x14ac:dyDescent="0.3">
      <c r="A6" s="39" t="s">
        <v>609</v>
      </c>
      <c r="B6" s="39"/>
      <c r="D6" s="170"/>
      <c r="E6" s="170"/>
      <c r="F6" s="170"/>
      <c r="G6" s="170"/>
      <c r="H6" s="170"/>
      <c r="I6" s="51"/>
      <c r="K6" s="24"/>
    </row>
    <row r="7" spans="1:13" s="25" customFormat="1" hidden="1" x14ac:dyDescent="0.3">
      <c r="A7" s="170"/>
      <c r="B7" s="39"/>
      <c r="D7" s="170"/>
      <c r="E7" s="170"/>
      <c r="F7" s="170"/>
      <c r="G7" s="537" t="s">
        <v>474</v>
      </c>
      <c r="H7" s="538"/>
      <c r="I7" s="41">
        <v>0.111</v>
      </c>
      <c r="K7" s="24"/>
    </row>
    <row r="8" spans="1:13" s="25" customFormat="1" hidden="1" x14ac:dyDescent="0.3">
      <c r="A8" s="170"/>
      <c r="B8" s="39"/>
      <c r="D8" s="170"/>
      <c r="E8" s="170"/>
      <c r="F8" s="170"/>
      <c r="G8" s="537" t="s">
        <v>107</v>
      </c>
      <c r="H8" s="538"/>
      <c r="I8" s="41">
        <v>0.20499999999999999</v>
      </c>
      <c r="K8" s="24"/>
    </row>
    <row r="9" spans="1:13" s="25" customFormat="1" hidden="1" x14ac:dyDescent="0.3">
      <c r="A9" s="170"/>
      <c r="B9" s="170"/>
      <c r="C9" s="170"/>
      <c r="D9" s="170"/>
      <c r="E9" s="42"/>
      <c r="F9" s="38"/>
      <c r="G9" s="519" t="s">
        <v>105</v>
      </c>
      <c r="H9" s="520"/>
      <c r="I9" s="521"/>
      <c r="J9" s="165"/>
      <c r="K9" s="46"/>
    </row>
    <row r="10" spans="1:13" s="45" customFormat="1" ht="27.6" x14ac:dyDescent="0.3">
      <c r="A10" s="209" t="s">
        <v>1</v>
      </c>
      <c r="B10" s="209" t="s">
        <v>36</v>
      </c>
      <c r="C10" s="209" t="s">
        <v>13</v>
      </c>
      <c r="D10" s="209" t="s">
        <v>2</v>
      </c>
      <c r="E10" s="209" t="s">
        <v>3</v>
      </c>
      <c r="F10" s="26" t="s">
        <v>33</v>
      </c>
      <c r="G10" s="44" t="s">
        <v>72</v>
      </c>
      <c r="H10" s="44" t="s">
        <v>71</v>
      </c>
      <c r="I10" s="44" t="s">
        <v>93</v>
      </c>
      <c r="J10" s="164" t="s">
        <v>129</v>
      </c>
      <c r="K10" s="46">
        <f>I118</f>
        <v>2590295.1900000018</v>
      </c>
      <c r="L10" s="47"/>
    </row>
    <row r="11" spans="1:13" s="25" customFormat="1" x14ac:dyDescent="0.3">
      <c r="A11" s="35"/>
      <c r="B11" s="35"/>
      <c r="C11" s="35"/>
      <c r="D11" s="149"/>
      <c r="E11" s="35"/>
      <c r="F11" s="34"/>
      <c r="G11" s="34"/>
      <c r="H11" s="34"/>
      <c r="I11" s="34"/>
      <c r="K11" s="34"/>
    </row>
    <row r="12" spans="1:13" s="171" customFormat="1" x14ac:dyDescent="0.3">
      <c r="A12" s="328" t="s">
        <v>7</v>
      </c>
      <c r="B12" s="326"/>
      <c r="C12" s="326"/>
      <c r="D12" s="199" t="s">
        <v>219</v>
      </c>
      <c r="E12" s="243"/>
      <c r="F12" s="28"/>
      <c r="G12" s="28"/>
      <c r="H12" s="28"/>
      <c r="I12" s="28">
        <f>SUM(I13:I14)</f>
        <v>76173.240000000005</v>
      </c>
      <c r="J12" s="54"/>
      <c r="K12" s="340"/>
      <c r="L12" s="202"/>
    </row>
    <row r="13" spans="1:13" s="32" customFormat="1" x14ac:dyDescent="0.3">
      <c r="A13" s="322" t="s">
        <v>8</v>
      </c>
      <c r="B13" s="322" t="s">
        <v>143</v>
      </c>
      <c r="C13" s="323" t="s">
        <v>144</v>
      </c>
      <c r="D13" s="201" t="s">
        <v>220</v>
      </c>
      <c r="E13" s="245" t="s">
        <v>86</v>
      </c>
      <c r="F13" s="30">
        <v>1</v>
      </c>
      <c r="G13" s="30">
        <f>COMPOSIÇÕES!J20</f>
        <v>63214.31</v>
      </c>
      <c r="H13" s="30">
        <f>ROUND(G13*(1+$I$8),2)</f>
        <v>76173.240000000005</v>
      </c>
      <c r="I13" s="30">
        <f>TRUNC($F13*H13,2)</f>
        <v>76173.240000000005</v>
      </c>
      <c r="J13" s="25" t="s">
        <v>451</v>
      </c>
      <c r="M13" s="354">
        <f>I12/I118</f>
        <v>2.9407165752409845E-2</v>
      </c>
    </row>
    <row r="14" spans="1:13" s="25" customFormat="1" x14ac:dyDescent="0.3">
      <c r="A14" s="320"/>
      <c r="B14" s="321"/>
      <c r="C14" s="321"/>
      <c r="D14" s="149"/>
      <c r="E14" s="244"/>
      <c r="F14" s="34"/>
      <c r="G14" s="34"/>
      <c r="H14" s="34"/>
      <c r="I14" s="34"/>
      <c r="K14" s="34"/>
      <c r="L14" s="38"/>
    </row>
    <row r="15" spans="1:13" s="171" customFormat="1" x14ac:dyDescent="0.3">
      <c r="A15" s="328" t="s">
        <v>9</v>
      </c>
      <c r="B15" s="326"/>
      <c r="C15" s="326"/>
      <c r="D15" s="199" t="s">
        <v>131</v>
      </c>
      <c r="E15" s="243"/>
      <c r="F15" s="28"/>
      <c r="G15" s="28"/>
      <c r="H15" s="28"/>
      <c r="I15" s="28">
        <f>SUM(I16:I26)</f>
        <v>110675.94000000002</v>
      </c>
      <c r="K15" s="28"/>
      <c r="L15" s="202"/>
    </row>
    <row r="16" spans="1:13" s="32" customFormat="1" ht="41.4" x14ac:dyDescent="0.3">
      <c r="A16" s="322" t="s">
        <v>114</v>
      </c>
      <c r="B16" s="322" t="s">
        <v>35</v>
      </c>
      <c r="C16" s="323" t="s">
        <v>450</v>
      </c>
      <c r="D16" s="201" t="s">
        <v>449</v>
      </c>
      <c r="E16" s="245" t="s">
        <v>88</v>
      </c>
      <c r="F16" s="30">
        <v>27</v>
      </c>
      <c r="G16" s="30" t="s">
        <v>611</v>
      </c>
      <c r="H16" s="30">
        <f t="shared" ref="H16:H25" si="0">ROUND(G16*(1+$I$8),2)</f>
        <v>561.23</v>
      </c>
      <c r="I16" s="30">
        <f t="shared" ref="I16:I25" si="1">TRUNC($F16*H16,2)</f>
        <v>15153.21</v>
      </c>
      <c r="J16" s="25" t="s">
        <v>612</v>
      </c>
      <c r="K16" s="30"/>
    </row>
    <row r="17" spans="1:13" s="32" customFormat="1" ht="41.4" x14ac:dyDescent="0.3">
      <c r="A17" s="322" t="s">
        <v>185</v>
      </c>
      <c r="B17" s="322" t="s">
        <v>35</v>
      </c>
      <c r="C17" s="323" t="s">
        <v>618</v>
      </c>
      <c r="D17" s="201" t="s">
        <v>617</v>
      </c>
      <c r="E17" s="245" t="s">
        <v>88</v>
      </c>
      <c r="F17" s="30">
        <v>1562.66</v>
      </c>
      <c r="G17" s="30" t="s">
        <v>621</v>
      </c>
      <c r="H17" s="30">
        <f t="shared" si="0"/>
        <v>4.53</v>
      </c>
      <c r="I17" s="30">
        <f t="shared" si="1"/>
        <v>7078.84</v>
      </c>
      <c r="J17" s="25" t="s">
        <v>612</v>
      </c>
      <c r="K17" s="30"/>
    </row>
    <row r="18" spans="1:13" s="32" customFormat="1" ht="41.4" x14ac:dyDescent="0.3">
      <c r="A18" s="322" t="s">
        <v>189</v>
      </c>
      <c r="B18" s="322" t="s">
        <v>35</v>
      </c>
      <c r="C18" s="323" t="s">
        <v>624</v>
      </c>
      <c r="D18" s="201" t="s">
        <v>623</v>
      </c>
      <c r="E18" s="245" t="s">
        <v>80</v>
      </c>
      <c r="F18" s="30">
        <v>89.93</v>
      </c>
      <c r="G18" s="30" t="s">
        <v>626</v>
      </c>
      <c r="H18" s="30">
        <f t="shared" si="0"/>
        <v>129.30000000000001</v>
      </c>
      <c r="I18" s="30">
        <f t="shared" si="1"/>
        <v>11627.94</v>
      </c>
      <c r="J18" s="25" t="s">
        <v>612</v>
      </c>
      <c r="K18" s="30"/>
    </row>
    <row r="19" spans="1:13" s="32" customFormat="1" ht="27.6" x14ac:dyDescent="0.3">
      <c r="A19" s="322" t="s">
        <v>454</v>
      </c>
      <c r="B19" s="322" t="s">
        <v>35</v>
      </c>
      <c r="C19" s="323" t="s">
        <v>630</v>
      </c>
      <c r="D19" s="201" t="s">
        <v>629</v>
      </c>
      <c r="E19" s="245" t="s">
        <v>88</v>
      </c>
      <c r="F19" s="30">
        <v>1245.83</v>
      </c>
      <c r="G19" s="30" t="s">
        <v>632</v>
      </c>
      <c r="H19" s="30">
        <f t="shared" si="0"/>
        <v>29.21</v>
      </c>
      <c r="I19" s="30">
        <f t="shared" si="1"/>
        <v>36390.69</v>
      </c>
      <c r="J19" s="25" t="s">
        <v>612</v>
      </c>
      <c r="K19" s="30"/>
    </row>
    <row r="20" spans="1:13" s="32" customFormat="1" ht="27.6" x14ac:dyDescent="0.3">
      <c r="A20" s="322" t="s">
        <v>745</v>
      </c>
      <c r="B20" s="322" t="s">
        <v>35</v>
      </c>
      <c r="C20" s="323" t="s">
        <v>634</v>
      </c>
      <c r="D20" s="201" t="s">
        <v>633</v>
      </c>
      <c r="E20" s="245" t="s">
        <v>88</v>
      </c>
      <c r="F20" s="30">
        <v>87.42</v>
      </c>
      <c r="G20" s="30" t="s">
        <v>636</v>
      </c>
      <c r="H20" s="30">
        <f t="shared" si="0"/>
        <v>149.38</v>
      </c>
      <c r="I20" s="30">
        <f t="shared" si="1"/>
        <v>13058.79</v>
      </c>
      <c r="J20" s="25" t="s">
        <v>612</v>
      </c>
      <c r="K20" s="30"/>
    </row>
    <row r="21" spans="1:13" s="32" customFormat="1" ht="27.6" x14ac:dyDescent="0.3">
      <c r="A21" s="322" t="s">
        <v>746</v>
      </c>
      <c r="B21" s="322" t="s">
        <v>35</v>
      </c>
      <c r="C21" s="323" t="s">
        <v>639</v>
      </c>
      <c r="D21" s="201" t="s">
        <v>638</v>
      </c>
      <c r="E21" s="245" t="s">
        <v>88</v>
      </c>
      <c r="F21" s="30">
        <v>63</v>
      </c>
      <c r="G21" s="30" t="s">
        <v>641</v>
      </c>
      <c r="H21" s="30">
        <f t="shared" si="0"/>
        <v>5.82</v>
      </c>
      <c r="I21" s="30">
        <f t="shared" si="1"/>
        <v>366.66</v>
      </c>
      <c r="J21" s="25" t="s">
        <v>612</v>
      </c>
      <c r="K21" s="30"/>
    </row>
    <row r="22" spans="1:13" s="32" customFormat="1" x14ac:dyDescent="0.3">
      <c r="A22" s="322" t="s">
        <v>747</v>
      </c>
      <c r="B22" s="322" t="s">
        <v>478</v>
      </c>
      <c r="C22" s="323" t="s">
        <v>672</v>
      </c>
      <c r="D22" s="201" t="s">
        <v>671</v>
      </c>
      <c r="E22" s="245" t="s">
        <v>87</v>
      </c>
      <c r="F22" s="30">
        <v>80</v>
      </c>
      <c r="G22" s="30">
        <v>10.35</v>
      </c>
      <c r="H22" s="30">
        <f t="shared" si="0"/>
        <v>12.47</v>
      </c>
      <c r="I22" s="30">
        <f t="shared" si="1"/>
        <v>997.6</v>
      </c>
      <c r="J22" s="25" t="s">
        <v>612</v>
      </c>
      <c r="K22" s="30"/>
    </row>
    <row r="23" spans="1:13" s="32" customFormat="1" ht="27.6" x14ac:dyDescent="0.3">
      <c r="A23" s="322" t="s">
        <v>862</v>
      </c>
      <c r="B23" s="322" t="s">
        <v>35</v>
      </c>
      <c r="C23" s="323" t="s">
        <v>693</v>
      </c>
      <c r="D23" s="201" t="s">
        <v>692</v>
      </c>
      <c r="E23" s="245" t="s">
        <v>88</v>
      </c>
      <c r="F23" s="30">
        <v>1226.75</v>
      </c>
      <c r="G23" s="30">
        <v>10.35</v>
      </c>
      <c r="H23" s="30">
        <f t="shared" si="0"/>
        <v>12.47</v>
      </c>
      <c r="I23" s="30">
        <f t="shared" si="1"/>
        <v>15297.57</v>
      </c>
      <c r="J23" s="25" t="s">
        <v>612</v>
      </c>
      <c r="K23" s="30"/>
    </row>
    <row r="24" spans="1:13" s="32" customFormat="1" x14ac:dyDescent="0.3">
      <c r="A24" s="322" t="s">
        <v>863</v>
      </c>
      <c r="B24" s="322" t="s">
        <v>35</v>
      </c>
      <c r="C24" s="323" t="s">
        <v>410</v>
      </c>
      <c r="D24" s="201" t="s">
        <v>452</v>
      </c>
      <c r="E24" s="245" t="s">
        <v>88</v>
      </c>
      <c r="F24" s="30">
        <v>88</v>
      </c>
      <c r="G24" s="30" t="s">
        <v>645</v>
      </c>
      <c r="H24" s="30">
        <f t="shared" si="0"/>
        <v>114.31</v>
      </c>
      <c r="I24" s="30">
        <f t="shared" si="1"/>
        <v>10059.280000000001</v>
      </c>
      <c r="J24" s="25" t="s">
        <v>612</v>
      </c>
      <c r="K24" s="30"/>
    </row>
    <row r="25" spans="1:13" s="32" customFormat="1" ht="41.4" x14ac:dyDescent="0.3">
      <c r="A25" s="322" t="s">
        <v>864</v>
      </c>
      <c r="B25" s="322" t="s">
        <v>35</v>
      </c>
      <c r="C25" s="323" t="s">
        <v>317</v>
      </c>
      <c r="D25" s="201" t="s">
        <v>453</v>
      </c>
      <c r="E25" s="245" t="s">
        <v>87</v>
      </c>
      <c r="F25" s="30">
        <v>8</v>
      </c>
      <c r="G25" s="30" t="s">
        <v>647</v>
      </c>
      <c r="H25" s="30">
        <f t="shared" si="0"/>
        <v>80.67</v>
      </c>
      <c r="I25" s="30">
        <f t="shared" si="1"/>
        <v>645.36</v>
      </c>
      <c r="J25" s="25" t="s">
        <v>612</v>
      </c>
      <c r="K25" s="30"/>
    </row>
    <row r="26" spans="1:13" s="25" customFormat="1" x14ac:dyDescent="0.3">
      <c r="A26" s="320"/>
      <c r="B26" s="321"/>
      <c r="C26" s="321"/>
      <c r="D26" s="149"/>
      <c r="E26" s="244"/>
      <c r="F26" s="34"/>
      <c r="G26" s="34"/>
      <c r="H26" s="34"/>
      <c r="I26" s="34"/>
      <c r="K26" s="34"/>
      <c r="L26" s="38"/>
    </row>
    <row r="27" spans="1:13" s="171" customFormat="1" x14ac:dyDescent="0.3">
      <c r="A27" s="328" t="s">
        <v>10</v>
      </c>
      <c r="B27" s="326"/>
      <c r="C27" s="326"/>
      <c r="D27" s="199" t="s">
        <v>682</v>
      </c>
      <c r="E27" s="243"/>
      <c r="F27" s="28"/>
      <c r="G27" s="28"/>
      <c r="H27" s="28"/>
      <c r="I27" s="28">
        <f>SUM(I28:I34)</f>
        <v>117286.42</v>
      </c>
      <c r="K27" s="28"/>
      <c r="L27" s="202"/>
    </row>
    <row r="28" spans="1:13" s="32" customFormat="1" ht="69" x14ac:dyDescent="0.3">
      <c r="A28" s="322" t="s">
        <v>135</v>
      </c>
      <c r="B28" s="322" t="s">
        <v>35</v>
      </c>
      <c r="C28" s="323" t="s">
        <v>684</v>
      </c>
      <c r="D28" s="201" t="s">
        <v>683</v>
      </c>
      <c r="E28" s="245" t="s">
        <v>87</v>
      </c>
      <c r="F28" s="30">
        <v>150</v>
      </c>
      <c r="G28" s="30" t="s">
        <v>686</v>
      </c>
      <c r="H28" s="30">
        <f t="shared" ref="H28:H33" si="2">ROUND(G28*(1+$I$8),2)</f>
        <v>292.51</v>
      </c>
      <c r="I28" s="30">
        <f t="shared" ref="I28:I33" si="3">TRUNC($F28*H28,2)</f>
        <v>43876.5</v>
      </c>
      <c r="J28" s="25" t="s">
        <v>612</v>
      </c>
      <c r="K28" s="30"/>
    </row>
    <row r="29" spans="1:13" s="32" customFormat="1" ht="41.4" x14ac:dyDescent="0.3">
      <c r="A29" s="322" t="s">
        <v>157</v>
      </c>
      <c r="B29" s="322" t="s">
        <v>35</v>
      </c>
      <c r="C29" s="323" t="s">
        <v>696</v>
      </c>
      <c r="D29" s="201" t="s">
        <v>695</v>
      </c>
      <c r="E29" s="245" t="s">
        <v>86</v>
      </c>
      <c r="F29" s="30">
        <v>12</v>
      </c>
      <c r="G29" s="30" t="s">
        <v>697</v>
      </c>
      <c r="H29" s="30">
        <f t="shared" si="2"/>
        <v>3235.74</v>
      </c>
      <c r="I29" s="30">
        <f t="shared" si="3"/>
        <v>38828.879999999997</v>
      </c>
      <c r="J29" s="25" t="s">
        <v>612</v>
      </c>
      <c r="K29" s="30"/>
    </row>
    <row r="30" spans="1:13" s="32" customFormat="1" ht="55.2" x14ac:dyDescent="0.3">
      <c r="A30" s="322" t="s">
        <v>186</v>
      </c>
      <c r="B30" s="322" t="s">
        <v>35</v>
      </c>
      <c r="C30" s="323" t="s">
        <v>699</v>
      </c>
      <c r="D30" s="201" t="s">
        <v>698</v>
      </c>
      <c r="E30" s="245" t="s">
        <v>86</v>
      </c>
      <c r="F30" s="30">
        <v>2</v>
      </c>
      <c r="G30" s="30" t="s">
        <v>701</v>
      </c>
      <c r="H30" s="30">
        <f t="shared" si="2"/>
        <v>5606.29</v>
      </c>
      <c r="I30" s="30">
        <f t="shared" si="3"/>
        <v>11212.58</v>
      </c>
      <c r="J30" s="25" t="s">
        <v>612</v>
      </c>
      <c r="K30" s="30"/>
    </row>
    <row r="31" spans="1:13" s="32" customFormat="1" x14ac:dyDescent="0.3">
      <c r="A31" s="322" t="s">
        <v>260</v>
      </c>
      <c r="B31" s="322" t="s">
        <v>484</v>
      </c>
      <c r="C31" s="323" t="s">
        <v>736</v>
      </c>
      <c r="D31" s="201" t="s">
        <v>735</v>
      </c>
      <c r="E31" s="245" t="s">
        <v>88</v>
      </c>
      <c r="F31" s="30">
        <v>45</v>
      </c>
      <c r="G31" s="30">
        <v>256.32</v>
      </c>
      <c r="H31" s="30">
        <f t="shared" si="2"/>
        <v>308.87</v>
      </c>
      <c r="I31" s="30">
        <f t="shared" si="3"/>
        <v>13899.15</v>
      </c>
      <c r="J31" s="25" t="s">
        <v>612</v>
      </c>
      <c r="K31" s="30"/>
    </row>
    <row r="32" spans="1:13" s="32" customFormat="1" ht="27.6" x14ac:dyDescent="0.2">
      <c r="A32" s="322" t="s">
        <v>459</v>
      </c>
      <c r="B32" s="322" t="s">
        <v>478</v>
      </c>
      <c r="C32" s="323" t="s">
        <v>739</v>
      </c>
      <c r="D32" s="201" t="s">
        <v>738</v>
      </c>
      <c r="E32" s="29" t="s">
        <v>87</v>
      </c>
      <c r="F32" s="30">
        <v>22.2</v>
      </c>
      <c r="G32" s="446">
        <v>201.89</v>
      </c>
      <c r="H32" s="30">
        <f t="shared" si="2"/>
        <v>243.28</v>
      </c>
      <c r="I32" s="30">
        <f t="shared" si="3"/>
        <v>5400.81</v>
      </c>
      <c r="J32" s="25" t="s">
        <v>612</v>
      </c>
      <c r="K32" s="30"/>
      <c r="M32" s="441"/>
    </row>
    <row r="33" spans="1:13" s="32" customFormat="1" ht="41.4" x14ac:dyDescent="0.2">
      <c r="A33" s="322" t="s">
        <v>462</v>
      </c>
      <c r="B33" s="322" t="s">
        <v>35</v>
      </c>
      <c r="C33" s="323" t="s">
        <v>742</v>
      </c>
      <c r="D33" s="201" t="s">
        <v>741</v>
      </c>
      <c r="E33" s="29" t="s">
        <v>87</v>
      </c>
      <c r="F33" s="30">
        <v>50</v>
      </c>
      <c r="G33" s="446" t="s">
        <v>743</v>
      </c>
      <c r="H33" s="30">
        <f t="shared" si="2"/>
        <v>81.37</v>
      </c>
      <c r="I33" s="30">
        <f t="shared" si="3"/>
        <v>4068.5</v>
      </c>
      <c r="J33" s="25" t="s">
        <v>612</v>
      </c>
      <c r="K33" s="30"/>
      <c r="M33" s="441"/>
    </row>
    <row r="34" spans="1:13" s="25" customFormat="1" x14ac:dyDescent="0.3">
      <c r="A34" s="320"/>
      <c r="B34" s="321"/>
      <c r="C34" s="321"/>
      <c r="D34" s="36"/>
      <c r="E34" s="244"/>
      <c r="F34" s="34"/>
      <c r="G34" s="34"/>
      <c r="H34" s="34"/>
      <c r="I34" s="34"/>
      <c r="K34" s="34"/>
      <c r="L34" s="38"/>
    </row>
    <row r="35" spans="1:13" s="275" customFormat="1" x14ac:dyDescent="0.3">
      <c r="A35" s="328" t="s">
        <v>11</v>
      </c>
      <c r="B35" s="326"/>
      <c r="C35" s="326"/>
      <c r="D35" s="199" t="s">
        <v>261</v>
      </c>
      <c r="E35" s="243"/>
      <c r="F35" s="28"/>
      <c r="G35" s="28"/>
      <c r="H35" s="28"/>
      <c r="I35" s="28">
        <f>SUM(I36:I40)</f>
        <v>288216.69</v>
      </c>
      <c r="J35" s="171"/>
      <c r="K35" s="28"/>
      <c r="L35" s="202"/>
      <c r="M35" s="202"/>
    </row>
    <row r="36" spans="1:13" s="275" customFormat="1" x14ac:dyDescent="0.3">
      <c r="A36" s="328"/>
      <c r="B36" s="326"/>
      <c r="C36" s="326"/>
      <c r="D36" s="199" t="s">
        <v>461</v>
      </c>
      <c r="E36" s="243"/>
      <c r="F36" s="28"/>
      <c r="G36" s="28"/>
      <c r="H36" s="28"/>
      <c r="I36" s="28"/>
      <c r="J36" s="171"/>
      <c r="K36" s="28"/>
      <c r="L36" s="202"/>
      <c r="M36" s="202"/>
    </row>
    <row r="37" spans="1:13" s="252" customFormat="1" ht="55.2" x14ac:dyDescent="0.3">
      <c r="A37" s="322" t="s">
        <v>136</v>
      </c>
      <c r="B37" s="322" t="s">
        <v>484</v>
      </c>
      <c r="C37" s="445" t="s">
        <v>676</v>
      </c>
      <c r="D37" s="201" t="s">
        <v>675</v>
      </c>
      <c r="E37" s="245" t="s">
        <v>124</v>
      </c>
      <c r="F37" s="30">
        <v>5593.77</v>
      </c>
      <c r="G37" s="446">
        <v>18.36</v>
      </c>
      <c r="H37" s="30">
        <f>ROUND(G37*(1+$I$8),2)</f>
        <v>22.12</v>
      </c>
      <c r="I37" s="30">
        <f>TRUNC($F37*H37,2)</f>
        <v>123734.19</v>
      </c>
      <c r="J37" s="25" t="s">
        <v>612</v>
      </c>
      <c r="K37" s="30"/>
      <c r="L37" s="32"/>
      <c r="M37" s="32"/>
    </row>
    <row r="38" spans="1:13" s="275" customFormat="1" ht="11.25" customHeight="1" x14ac:dyDescent="0.3">
      <c r="A38" s="328"/>
      <c r="B38" s="326"/>
      <c r="C38" s="326"/>
      <c r="D38" s="199" t="s">
        <v>262</v>
      </c>
      <c r="E38" s="243"/>
      <c r="F38" s="28"/>
      <c r="G38" s="28"/>
      <c r="H38" s="28"/>
      <c r="I38" s="28"/>
      <c r="J38" s="171"/>
      <c r="K38" s="28"/>
      <c r="L38" s="202"/>
      <c r="M38" s="202"/>
    </row>
    <row r="39" spans="1:13" s="252" customFormat="1" ht="82.8" x14ac:dyDescent="0.3">
      <c r="A39" s="322" t="s">
        <v>158</v>
      </c>
      <c r="B39" s="322" t="s">
        <v>478</v>
      </c>
      <c r="C39" s="323" t="s">
        <v>660</v>
      </c>
      <c r="D39" s="201" t="s">
        <v>658</v>
      </c>
      <c r="E39" s="245" t="s">
        <v>88</v>
      </c>
      <c r="F39" s="30">
        <v>390</v>
      </c>
      <c r="G39" s="30">
        <v>350</v>
      </c>
      <c r="H39" s="30">
        <f>ROUND(G39*(1+$I$8),2)</f>
        <v>421.75</v>
      </c>
      <c r="I39" s="30">
        <f>TRUNC($F39*H39,2)</f>
        <v>164482.5</v>
      </c>
      <c r="J39" s="25" t="s">
        <v>612</v>
      </c>
      <c r="K39" s="30"/>
      <c r="L39" s="32"/>
      <c r="M39" s="32"/>
    </row>
    <row r="40" spans="1:13" s="276" customFormat="1" x14ac:dyDescent="0.3">
      <c r="A40" s="320"/>
      <c r="B40" s="321"/>
      <c r="C40" s="321"/>
      <c r="D40" s="36"/>
      <c r="E40" s="244"/>
      <c r="F40" s="34"/>
      <c r="G40" s="34"/>
      <c r="H40" s="34"/>
      <c r="I40" s="34"/>
      <c r="J40" s="25"/>
      <c r="K40" s="34"/>
      <c r="L40" s="38"/>
      <c r="M40" s="38"/>
    </row>
    <row r="41" spans="1:13" s="171" customFormat="1" x14ac:dyDescent="0.3">
      <c r="A41" s="328" t="s">
        <v>12</v>
      </c>
      <c r="B41" s="326"/>
      <c r="C41" s="326"/>
      <c r="D41" s="199" t="s">
        <v>227</v>
      </c>
      <c r="E41" s="243"/>
      <c r="F41" s="28"/>
      <c r="G41" s="28"/>
      <c r="H41" s="28"/>
      <c r="I41" s="28">
        <f>SUM(I42:I46)</f>
        <v>435887.5</v>
      </c>
      <c r="K41" s="28"/>
      <c r="L41" s="202"/>
    </row>
    <row r="42" spans="1:13" s="32" customFormat="1" ht="55.2" x14ac:dyDescent="0.3">
      <c r="A42" s="322" t="s">
        <v>137</v>
      </c>
      <c r="B42" s="322" t="s">
        <v>35</v>
      </c>
      <c r="C42" s="323" t="s">
        <v>678</v>
      </c>
      <c r="D42" s="201" t="s">
        <v>677</v>
      </c>
      <c r="E42" s="245" t="s">
        <v>88</v>
      </c>
      <c r="F42" s="30">
        <v>26.46</v>
      </c>
      <c r="G42" s="30" t="s">
        <v>680</v>
      </c>
      <c r="H42" s="30">
        <f>ROUND(G42*(1+$I$8),2)</f>
        <v>109.93</v>
      </c>
      <c r="I42" s="30">
        <f>TRUNC($F42*H42,2)</f>
        <v>2908.74</v>
      </c>
      <c r="J42" s="25" t="s">
        <v>612</v>
      </c>
      <c r="K42" s="30"/>
      <c r="M42" s="441"/>
    </row>
    <row r="43" spans="1:13" s="32" customFormat="1" ht="55.2" x14ac:dyDescent="0.3">
      <c r="A43" s="322" t="s">
        <v>159</v>
      </c>
      <c r="B43" s="322" t="s">
        <v>35</v>
      </c>
      <c r="C43" s="323" t="s">
        <v>187</v>
      </c>
      <c r="D43" s="201" t="s">
        <v>263</v>
      </c>
      <c r="E43" s="245" t="s">
        <v>88</v>
      </c>
      <c r="F43" s="30">
        <v>4998.08</v>
      </c>
      <c r="G43" s="30" t="s">
        <v>748</v>
      </c>
      <c r="H43" s="30">
        <f>ROUND(G43*(1+$I$8),2)</f>
        <v>5.33</v>
      </c>
      <c r="I43" s="30">
        <f>TRUNC($F43*H43,2)</f>
        <v>26639.759999999998</v>
      </c>
      <c r="J43" s="25" t="s">
        <v>612</v>
      </c>
      <c r="K43" s="30"/>
    </row>
    <row r="44" spans="1:13" s="32" customFormat="1" ht="55.2" x14ac:dyDescent="0.3">
      <c r="A44" s="322" t="s">
        <v>160</v>
      </c>
      <c r="B44" s="322" t="s">
        <v>35</v>
      </c>
      <c r="C44" s="323" t="s">
        <v>188</v>
      </c>
      <c r="D44" s="201" t="s">
        <v>228</v>
      </c>
      <c r="E44" s="245" t="s">
        <v>88</v>
      </c>
      <c r="F44" s="30">
        <v>4998.08</v>
      </c>
      <c r="G44" s="30" t="s">
        <v>750</v>
      </c>
      <c r="H44" s="30">
        <f>ROUND(G44*(1+$I$8),2)</f>
        <v>52.27</v>
      </c>
      <c r="I44" s="30">
        <f>TRUNC($F44*H44,2)</f>
        <v>261249.64</v>
      </c>
      <c r="J44" s="25" t="s">
        <v>612</v>
      </c>
      <c r="K44" s="30"/>
    </row>
    <row r="45" spans="1:13" s="252" customFormat="1" ht="55.2" x14ac:dyDescent="0.3">
      <c r="A45" s="322" t="s">
        <v>229</v>
      </c>
      <c r="B45" s="322" t="s">
        <v>35</v>
      </c>
      <c r="C45" s="323" t="s">
        <v>477</v>
      </c>
      <c r="D45" s="201" t="s">
        <v>476</v>
      </c>
      <c r="E45" s="245" t="s">
        <v>88</v>
      </c>
      <c r="F45" s="30">
        <v>1245.83</v>
      </c>
      <c r="G45" s="30" t="s">
        <v>668</v>
      </c>
      <c r="H45" s="30">
        <f>ROUND(G45*(1+$I$8),2)</f>
        <v>116.46</v>
      </c>
      <c r="I45" s="30">
        <f>TRUNC($F45*H45,2)</f>
        <v>145089.35999999999</v>
      </c>
      <c r="J45" s="25" t="s">
        <v>612</v>
      </c>
      <c r="K45" s="30"/>
      <c r="L45" s="32"/>
      <c r="M45" s="32"/>
    </row>
    <row r="46" spans="1:13" s="220" customFormat="1" x14ac:dyDescent="0.3">
      <c r="A46" s="329"/>
      <c r="B46" s="327"/>
      <c r="C46" s="327"/>
      <c r="D46" s="216"/>
      <c r="E46" s="250"/>
      <c r="F46" s="218"/>
      <c r="G46" s="233"/>
      <c r="H46" s="218"/>
      <c r="I46" s="218"/>
      <c r="K46" s="218"/>
      <c r="L46" s="221"/>
    </row>
    <row r="47" spans="1:13" s="171" customFormat="1" x14ac:dyDescent="0.3">
      <c r="A47" s="328" t="s">
        <v>15</v>
      </c>
      <c r="B47" s="326"/>
      <c r="C47" s="326"/>
      <c r="D47" s="199" t="s">
        <v>264</v>
      </c>
      <c r="E47" s="243"/>
      <c r="F47" s="28"/>
      <c r="G47" s="28"/>
      <c r="H47" s="28"/>
      <c r="I47" s="28">
        <f>SUM(I48:I52)</f>
        <v>355599.14</v>
      </c>
      <c r="K47" s="28"/>
      <c r="L47" s="202"/>
    </row>
    <row r="48" spans="1:13" s="252" customFormat="1" ht="27.6" x14ac:dyDescent="0.3">
      <c r="A48" s="322" t="s">
        <v>138</v>
      </c>
      <c r="B48" s="330" t="s">
        <v>35</v>
      </c>
      <c r="C48" s="323" t="s">
        <v>318</v>
      </c>
      <c r="D48" s="201" t="s">
        <v>455</v>
      </c>
      <c r="E48" s="245" t="s">
        <v>80</v>
      </c>
      <c r="F48" s="30">
        <v>53.96</v>
      </c>
      <c r="G48" s="30" t="s">
        <v>649</v>
      </c>
      <c r="H48" s="30">
        <f>ROUND(G48*(1+$I$8),2)</f>
        <v>886.77</v>
      </c>
      <c r="I48" s="30">
        <f>TRUNC($F48*H48,2)</f>
        <v>47850.1</v>
      </c>
      <c r="J48" s="25" t="s">
        <v>612</v>
      </c>
      <c r="K48" s="30"/>
      <c r="L48" s="32"/>
      <c r="M48" s="32"/>
    </row>
    <row r="49" spans="1:13" s="252" customFormat="1" ht="60.6" customHeight="1" x14ac:dyDescent="0.3">
      <c r="A49" s="322" t="s">
        <v>161</v>
      </c>
      <c r="B49" s="322" t="s">
        <v>35</v>
      </c>
      <c r="C49" s="323" t="s">
        <v>319</v>
      </c>
      <c r="D49" s="201" t="s">
        <v>320</v>
      </c>
      <c r="E49" s="245" t="s">
        <v>88</v>
      </c>
      <c r="F49" s="30">
        <v>1798.52</v>
      </c>
      <c r="G49" s="30" t="s">
        <v>651</v>
      </c>
      <c r="H49" s="30">
        <f>ROUND(G49*(1+$I$8),2)</f>
        <v>52.61</v>
      </c>
      <c r="I49" s="30">
        <f>TRUNC($F49*H49,2)</f>
        <v>94620.13</v>
      </c>
      <c r="J49" s="25" t="s">
        <v>612</v>
      </c>
      <c r="K49" s="30"/>
      <c r="L49" s="32"/>
      <c r="M49" s="32"/>
    </row>
    <row r="50" spans="1:13" s="252" customFormat="1" ht="69" x14ac:dyDescent="0.3">
      <c r="A50" s="322" t="s">
        <v>230</v>
      </c>
      <c r="B50" s="322" t="s">
        <v>35</v>
      </c>
      <c r="C50" s="323" t="s">
        <v>821</v>
      </c>
      <c r="D50" s="201" t="s">
        <v>820</v>
      </c>
      <c r="E50" s="245" t="s">
        <v>88</v>
      </c>
      <c r="F50" s="30">
        <v>1798.52</v>
      </c>
      <c r="G50" s="30" t="s">
        <v>835</v>
      </c>
      <c r="H50" s="30">
        <f>ROUND(G50*(1+$I$8),2)</f>
        <v>115.6</v>
      </c>
      <c r="I50" s="30">
        <f>TRUNC($F50*H50,2)</f>
        <v>207908.91</v>
      </c>
      <c r="J50" s="25" t="s">
        <v>612</v>
      </c>
      <c r="K50" s="30"/>
      <c r="L50" s="32"/>
      <c r="M50" s="32"/>
    </row>
    <row r="51" spans="1:13" s="32" customFormat="1" ht="55.2" x14ac:dyDescent="0.3">
      <c r="A51" s="322" t="s">
        <v>231</v>
      </c>
      <c r="B51" s="322" t="s">
        <v>35</v>
      </c>
      <c r="C51" s="323" t="s">
        <v>411</v>
      </c>
      <c r="D51" s="201" t="s">
        <v>483</v>
      </c>
      <c r="E51" s="245" t="s">
        <v>87</v>
      </c>
      <c r="F51" s="30">
        <v>80</v>
      </c>
      <c r="G51" s="30" t="s">
        <v>670</v>
      </c>
      <c r="H51" s="30">
        <f>ROUND(G51*(1+$I$8),2)</f>
        <v>65.25</v>
      </c>
      <c r="I51" s="30">
        <f>TRUNC($F51*H51,2)</f>
        <v>5220</v>
      </c>
      <c r="J51" s="25" t="s">
        <v>612</v>
      </c>
      <c r="K51" s="30"/>
    </row>
    <row r="52" spans="1:13" s="25" customFormat="1" x14ac:dyDescent="0.3">
      <c r="A52" s="320"/>
      <c r="B52" s="321"/>
      <c r="C52" s="323"/>
      <c r="D52" s="36"/>
      <c r="E52" s="244"/>
      <c r="F52" s="34"/>
      <c r="G52" s="30"/>
      <c r="H52" s="34"/>
      <c r="I52" s="34"/>
      <c r="K52" s="34"/>
      <c r="L52" s="38"/>
    </row>
    <row r="53" spans="1:13" s="275" customFormat="1" x14ac:dyDescent="0.3">
      <c r="A53" s="328" t="s">
        <v>21</v>
      </c>
      <c r="B53" s="326"/>
      <c r="C53" s="326"/>
      <c r="D53" s="199" t="s">
        <v>265</v>
      </c>
      <c r="E53" s="243"/>
      <c r="F53" s="28"/>
      <c r="G53" s="28"/>
      <c r="H53" s="28"/>
      <c r="I53" s="28">
        <f>SUM(I54:I61)</f>
        <v>570477.03</v>
      </c>
      <c r="J53" s="171"/>
      <c r="K53" s="28"/>
      <c r="L53" s="202"/>
      <c r="M53" s="202"/>
    </row>
    <row r="54" spans="1:13" s="252" customFormat="1" ht="27.6" x14ac:dyDescent="0.3">
      <c r="A54" s="322" t="s">
        <v>139</v>
      </c>
      <c r="B54" s="322" t="s">
        <v>35</v>
      </c>
      <c r="C54" s="323" t="s">
        <v>413</v>
      </c>
      <c r="D54" s="201" t="s">
        <v>412</v>
      </c>
      <c r="E54" s="245" t="s">
        <v>88</v>
      </c>
      <c r="F54" s="30">
        <v>1952.66</v>
      </c>
      <c r="G54" s="30" t="s">
        <v>654</v>
      </c>
      <c r="H54" s="30">
        <f t="shared" ref="H54:H60" si="4">ROUND(G54*(1+$I$8),2)</f>
        <v>245.24</v>
      </c>
      <c r="I54" s="30">
        <f t="shared" ref="I54:I60" si="5">TRUNC($F54*H54,2)</f>
        <v>478870.33</v>
      </c>
      <c r="J54" s="25" t="s">
        <v>612</v>
      </c>
      <c r="K54" s="30"/>
      <c r="L54" s="32"/>
      <c r="M54" s="32"/>
    </row>
    <row r="55" spans="1:13" s="252" customFormat="1" x14ac:dyDescent="0.3">
      <c r="A55" s="322" t="s">
        <v>162</v>
      </c>
      <c r="B55" s="322" t="s">
        <v>484</v>
      </c>
      <c r="C55" s="323" t="s">
        <v>415</v>
      </c>
      <c r="D55" s="201" t="s">
        <v>414</v>
      </c>
      <c r="E55" s="245" t="s">
        <v>87</v>
      </c>
      <c r="F55" s="30">
        <v>187</v>
      </c>
      <c r="G55" s="30">
        <v>78.3</v>
      </c>
      <c r="H55" s="30">
        <f t="shared" si="4"/>
        <v>94.35</v>
      </c>
      <c r="I55" s="30">
        <f t="shared" si="5"/>
        <v>17643.45</v>
      </c>
      <c r="J55" s="25" t="s">
        <v>612</v>
      </c>
      <c r="K55" s="30"/>
      <c r="L55" s="32"/>
      <c r="M55" s="32"/>
    </row>
    <row r="56" spans="1:13" s="252" customFormat="1" ht="41.4" x14ac:dyDescent="0.3">
      <c r="A56" s="322" t="s">
        <v>218</v>
      </c>
      <c r="B56" s="322" t="s">
        <v>35</v>
      </c>
      <c r="C56" s="323" t="s">
        <v>417</v>
      </c>
      <c r="D56" s="201" t="s">
        <v>416</v>
      </c>
      <c r="E56" s="245" t="s">
        <v>87</v>
      </c>
      <c r="F56" s="30">
        <v>252</v>
      </c>
      <c r="G56" s="30" t="s">
        <v>657</v>
      </c>
      <c r="H56" s="30">
        <f t="shared" si="4"/>
        <v>177.26</v>
      </c>
      <c r="I56" s="30">
        <f t="shared" si="5"/>
        <v>44669.52</v>
      </c>
      <c r="J56" s="25" t="s">
        <v>612</v>
      </c>
      <c r="K56" s="30"/>
      <c r="L56" s="32"/>
      <c r="M56" s="32"/>
    </row>
    <row r="57" spans="1:13" s="252" customFormat="1" ht="39.6" customHeight="1" x14ac:dyDescent="0.3">
      <c r="A57" s="322" t="s">
        <v>267</v>
      </c>
      <c r="B57" s="322" t="s">
        <v>35</v>
      </c>
      <c r="C57" s="323" t="s">
        <v>714</v>
      </c>
      <c r="D57" s="201" t="s">
        <v>713</v>
      </c>
      <c r="E57" s="245" t="s">
        <v>87</v>
      </c>
      <c r="F57" s="30">
        <v>38.07</v>
      </c>
      <c r="G57" s="30" t="s">
        <v>716</v>
      </c>
      <c r="H57" s="30">
        <f t="shared" si="4"/>
        <v>85.71</v>
      </c>
      <c r="I57" s="30">
        <f t="shared" si="5"/>
        <v>3262.97</v>
      </c>
      <c r="J57" s="25" t="s">
        <v>612</v>
      </c>
      <c r="K57" s="30"/>
      <c r="L57" s="32"/>
      <c r="M57" s="32"/>
    </row>
    <row r="58" spans="1:13" s="252" customFormat="1" ht="33.6" customHeight="1" x14ac:dyDescent="0.3">
      <c r="A58" s="322" t="s">
        <v>268</v>
      </c>
      <c r="B58" s="322" t="s">
        <v>35</v>
      </c>
      <c r="C58" s="323" t="s">
        <v>485</v>
      </c>
      <c r="D58" s="201" t="s">
        <v>486</v>
      </c>
      <c r="E58" s="245" t="s">
        <v>87</v>
      </c>
      <c r="F58" s="30">
        <v>186.4</v>
      </c>
      <c r="G58" s="30" t="s">
        <v>726</v>
      </c>
      <c r="H58" s="30">
        <f t="shared" si="4"/>
        <v>55.9</v>
      </c>
      <c r="I58" s="30">
        <f t="shared" si="5"/>
        <v>10419.76</v>
      </c>
      <c r="J58" s="25" t="s">
        <v>612</v>
      </c>
      <c r="K58" s="30"/>
      <c r="L58" s="32"/>
      <c r="M58" s="32"/>
    </row>
    <row r="59" spans="1:13" s="252" customFormat="1" ht="69" x14ac:dyDescent="0.3">
      <c r="A59" s="322" t="s">
        <v>268</v>
      </c>
      <c r="B59" s="322" t="s">
        <v>35</v>
      </c>
      <c r="C59" s="323" t="s">
        <v>732</v>
      </c>
      <c r="D59" s="201" t="s">
        <v>731</v>
      </c>
      <c r="E59" s="245" t="s">
        <v>87</v>
      </c>
      <c r="F59" s="30">
        <v>50</v>
      </c>
      <c r="G59" s="30" t="s">
        <v>734</v>
      </c>
      <c r="H59" s="30">
        <f t="shared" si="4"/>
        <v>158.19999999999999</v>
      </c>
      <c r="I59" s="30">
        <f t="shared" si="5"/>
        <v>7910</v>
      </c>
      <c r="J59" s="25" t="s">
        <v>612</v>
      </c>
      <c r="K59" s="30"/>
      <c r="L59" s="32"/>
      <c r="M59" s="32"/>
    </row>
    <row r="60" spans="1:13" s="252" customFormat="1" ht="55.2" x14ac:dyDescent="0.3">
      <c r="A60" s="322" t="s">
        <v>345</v>
      </c>
      <c r="B60" s="322" t="s">
        <v>35</v>
      </c>
      <c r="C60" s="323" t="s">
        <v>728</v>
      </c>
      <c r="D60" s="201" t="s">
        <v>727</v>
      </c>
      <c r="E60" s="245" t="s">
        <v>86</v>
      </c>
      <c r="F60" s="30">
        <v>12</v>
      </c>
      <c r="G60" s="30" t="s">
        <v>730</v>
      </c>
      <c r="H60" s="30">
        <f t="shared" si="4"/>
        <v>641.75</v>
      </c>
      <c r="I60" s="30">
        <f t="shared" si="5"/>
        <v>7701</v>
      </c>
      <c r="J60" s="25" t="s">
        <v>612</v>
      </c>
      <c r="K60" s="30"/>
      <c r="L60" s="32"/>
      <c r="M60" s="32"/>
    </row>
    <row r="61" spans="1:13" s="251" customFormat="1" x14ac:dyDescent="0.3">
      <c r="A61" s="329"/>
      <c r="B61" s="327"/>
      <c r="C61" s="327"/>
      <c r="D61" s="216"/>
      <c r="E61" s="250"/>
      <c r="F61" s="218"/>
      <c r="G61" s="218"/>
      <c r="H61" s="218"/>
      <c r="I61" s="218"/>
      <c r="J61" s="220"/>
      <c r="K61" s="218"/>
      <c r="L61" s="221"/>
      <c r="M61" s="221"/>
    </row>
    <row r="62" spans="1:13" s="275" customFormat="1" x14ac:dyDescent="0.3">
      <c r="A62" s="328" t="s">
        <v>22</v>
      </c>
      <c r="B62" s="326"/>
      <c r="C62" s="326"/>
      <c r="D62" s="199" t="s">
        <v>269</v>
      </c>
      <c r="E62" s="243"/>
      <c r="F62" s="28"/>
      <c r="G62" s="28"/>
      <c r="H62" s="28"/>
      <c r="I62" s="28">
        <f>SUM(I63:I70)</f>
        <v>205025.82</v>
      </c>
      <c r="J62" s="171"/>
      <c r="K62" s="28"/>
      <c r="L62" s="202"/>
      <c r="M62" s="202"/>
    </row>
    <row r="63" spans="1:13" s="252" customFormat="1" ht="41.4" x14ac:dyDescent="0.3">
      <c r="A63" s="322" t="s">
        <v>140</v>
      </c>
      <c r="B63" s="322" t="s">
        <v>35</v>
      </c>
      <c r="C63" s="323" t="s">
        <v>274</v>
      </c>
      <c r="D63" s="201" t="s">
        <v>273</v>
      </c>
      <c r="E63" s="245" t="s">
        <v>88</v>
      </c>
      <c r="F63" s="30">
        <v>15.36</v>
      </c>
      <c r="G63" s="30" t="s">
        <v>755</v>
      </c>
      <c r="H63" s="30">
        <f t="shared" ref="H63:H69" si="6">ROUND(G63*(1+$I$8),2)</f>
        <v>832.87</v>
      </c>
      <c r="I63" s="30">
        <f t="shared" ref="I63:I69" si="7">TRUNC($F63*H63,2)</f>
        <v>12792.88</v>
      </c>
      <c r="J63" s="25" t="s">
        <v>612</v>
      </c>
      <c r="K63" s="30"/>
      <c r="L63" s="32"/>
      <c r="M63" s="32"/>
    </row>
    <row r="64" spans="1:13" s="252" customFormat="1" ht="33.6" customHeight="1" x14ac:dyDescent="0.3">
      <c r="A64" s="322" t="s">
        <v>163</v>
      </c>
      <c r="B64" s="322" t="s">
        <v>478</v>
      </c>
      <c r="C64" s="323" t="s">
        <v>760</v>
      </c>
      <c r="D64" s="201" t="s">
        <v>759</v>
      </c>
      <c r="E64" s="245" t="s">
        <v>86</v>
      </c>
      <c r="F64" s="30">
        <v>63.97</v>
      </c>
      <c r="G64" s="30">
        <v>356.32</v>
      </c>
      <c r="H64" s="30">
        <f t="shared" si="6"/>
        <v>429.37</v>
      </c>
      <c r="I64" s="30">
        <f t="shared" si="7"/>
        <v>27466.79</v>
      </c>
      <c r="J64" s="25" t="s">
        <v>612</v>
      </c>
      <c r="K64" s="30"/>
      <c r="L64" s="32"/>
      <c r="M64" s="32"/>
    </row>
    <row r="65" spans="1:13" s="252" customFormat="1" ht="27.6" x14ac:dyDescent="0.3">
      <c r="A65" s="322" t="s">
        <v>164</v>
      </c>
      <c r="B65" s="322" t="s">
        <v>35</v>
      </c>
      <c r="C65" s="323" t="s">
        <v>270</v>
      </c>
      <c r="D65" s="201" t="s">
        <v>271</v>
      </c>
      <c r="E65" s="245" t="s">
        <v>88</v>
      </c>
      <c r="F65" s="30">
        <v>3.96</v>
      </c>
      <c r="G65" s="446" t="s">
        <v>766</v>
      </c>
      <c r="H65" s="30">
        <f t="shared" si="6"/>
        <v>840.64</v>
      </c>
      <c r="I65" s="30">
        <f t="shared" si="7"/>
        <v>3328.93</v>
      </c>
      <c r="J65" s="25" t="s">
        <v>612</v>
      </c>
      <c r="K65" s="30"/>
      <c r="L65" s="32"/>
      <c r="M65" s="32"/>
    </row>
    <row r="66" spans="1:13" s="252" customFormat="1" ht="96.6" x14ac:dyDescent="0.3">
      <c r="A66" s="322" t="s">
        <v>165</v>
      </c>
      <c r="B66" s="322" t="s">
        <v>35</v>
      </c>
      <c r="C66" s="323" t="s">
        <v>596</v>
      </c>
      <c r="D66" s="201" t="s">
        <v>767</v>
      </c>
      <c r="E66" s="245" t="s">
        <v>88</v>
      </c>
      <c r="F66" s="30">
        <v>4.95</v>
      </c>
      <c r="G66" s="446">
        <v>234.73</v>
      </c>
      <c r="H66" s="30">
        <f t="shared" si="6"/>
        <v>282.85000000000002</v>
      </c>
      <c r="I66" s="30">
        <f t="shared" si="7"/>
        <v>1400.1</v>
      </c>
      <c r="J66" s="25" t="s">
        <v>612</v>
      </c>
      <c r="K66" s="30"/>
      <c r="L66" s="32"/>
      <c r="M66" s="32"/>
    </row>
    <row r="67" spans="1:13" s="252" customFormat="1" ht="42" customHeight="1" x14ac:dyDescent="0.3">
      <c r="A67" s="322" t="s">
        <v>247</v>
      </c>
      <c r="B67" s="322" t="s">
        <v>35</v>
      </c>
      <c r="C67" s="323" t="s">
        <v>420</v>
      </c>
      <c r="D67" s="201" t="s">
        <v>419</v>
      </c>
      <c r="E67" s="245" t="s">
        <v>86</v>
      </c>
      <c r="F67" s="30">
        <v>12</v>
      </c>
      <c r="G67" s="446" t="s">
        <v>770</v>
      </c>
      <c r="H67" s="30">
        <f t="shared" si="6"/>
        <v>130.94999999999999</v>
      </c>
      <c r="I67" s="30">
        <f t="shared" si="7"/>
        <v>1571.4</v>
      </c>
      <c r="J67" s="25" t="s">
        <v>612</v>
      </c>
      <c r="K67" s="30"/>
      <c r="L67" s="32"/>
      <c r="M67" s="32"/>
    </row>
    <row r="68" spans="1:13" s="252" customFormat="1" ht="27.6" x14ac:dyDescent="0.3">
      <c r="A68" s="322" t="s">
        <v>248</v>
      </c>
      <c r="B68" s="322" t="s">
        <v>478</v>
      </c>
      <c r="C68" s="323" t="s">
        <v>772</v>
      </c>
      <c r="D68" s="201" t="s">
        <v>771</v>
      </c>
      <c r="E68" s="245" t="s">
        <v>87</v>
      </c>
      <c r="F68" s="30">
        <v>1271.6199999999999</v>
      </c>
      <c r="G68" s="446" t="s">
        <v>774</v>
      </c>
      <c r="H68" s="30">
        <f t="shared" si="6"/>
        <v>123.24</v>
      </c>
      <c r="I68" s="30">
        <f t="shared" si="7"/>
        <v>156714.44</v>
      </c>
      <c r="J68" s="25" t="s">
        <v>612</v>
      </c>
      <c r="K68" s="30"/>
      <c r="L68" s="32"/>
      <c r="M68" s="32"/>
    </row>
    <row r="69" spans="1:13" s="252" customFormat="1" ht="41.4" x14ac:dyDescent="0.3">
      <c r="A69" s="322" t="s">
        <v>489</v>
      </c>
      <c r="B69" s="322" t="s">
        <v>35</v>
      </c>
      <c r="C69" s="323" t="s">
        <v>259</v>
      </c>
      <c r="D69" s="201" t="s">
        <v>258</v>
      </c>
      <c r="E69" s="245" t="s">
        <v>86</v>
      </c>
      <c r="F69" s="30">
        <v>4</v>
      </c>
      <c r="G69" s="30" t="s">
        <v>708</v>
      </c>
      <c r="H69" s="30">
        <f t="shared" si="6"/>
        <v>437.82</v>
      </c>
      <c r="I69" s="30">
        <f t="shared" si="7"/>
        <v>1751.28</v>
      </c>
      <c r="J69" s="25" t="s">
        <v>612</v>
      </c>
      <c r="K69" s="30"/>
      <c r="L69" s="32"/>
      <c r="M69" s="32"/>
    </row>
    <row r="70" spans="1:13" s="251" customFormat="1" x14ac:dyDescent="0.3">
      <c r="A70" s="329"/>
      <c r="B70" s="327"/>
      <c r="C70" s="327"/>
      <c r="D70" s="216"/>
      <c r="E70" s="250"/>
      <c r="F70" s="218"/>
      <c r="G70" s="218"/>
      <c r="H70" s="218"/>
      <c r="I70" s="218"/>
      <c r="J70" s="220"/>
      <c r="K70" s="218"/>
      <c r="L70" s="221"/>
      <c r="M70" s="221"/>
    </row>
    <row r="71" spans="1:13" s="171" customFormat="1" x14ac:dyDescent="0.3">
      <c r="A71" s="328" t="s">
        <v>23</v>
      </c>
      <c r="B71" s="326"/>
      <c r="C71" s="326"/>
      <c r="D71" s="199" t="s">
        <v>126</v>
      </c>
      <c r="E71" s="243"/>
      <c r="F71" s="28"/>
      <c r="G71" s="28"/>
      <c r="H71" s="28"/>
      <c r="I71" s="28">
        <f>SUM(I72:I77)</f>
        <v>58000.369999999995</v>
      </c>
      <c r="K71" s="28"/>
      <c r="L71" s="202"/>
    </row>
    <row r="72" spans="1:13" s="280" customFormat="1" ht="27.6" x14ac:dyDescent="0.3">
      <c r="A72" s="330" t="s">
        <v>184</v>
      </c>
      <c r="B72" s="330" t="s">
        <v>35</v>
      </c>
      <c r="C72" s="323" t="s">
        <v>193</v>
      </c>
      <c r="D72" s="201" t="s">
        <v>421</v>
      </c>
      <c r="E72" s="277" t="s">
        <v>88</v>
      </c>
      <c r="F72" s="279">
        <v>1226.75</v>
      </c>
      <c r="G72" s="30" t="s">
        <v>555</v>
      </c>
      <c r="H72" s="279">
        <f>ROUND(G72*(1+$I$8),2)</f>
        <v>5.1100000000000003</v>
      </c>
      <c r="I72" s="279">
        <f>TRUNC($F72*H72,2)</f>
        <v>6268.69</v>
      </c>
      <c r="J72" s="25" t="s">
        <v>612</v>
      </c>
      <c r="K72" s="279"/>
      <c r="L72" s="324"/>
    </row>
    <row r="73" spans="1:13" s="32" customFormat="1" ht="27.6" x14ac:dyDescent="0.3">
      <c r="A73" s="322" t="s">
        <v>166</v>
      </c>
      <c r="B73" s="322" t="s">
        <v>35</v>
      </c>
      <c r="C73" s="323" t="s">
        <v>349</v>
      </c>
      <c r="D73" s="201" t="s">
        <v>422</v>
      </c>
      <c r="E73" s="245" t="s">
        <v>88</v>
      </c>
      <c r="F73" s="30">
        <v>1226.75</v>
      </c>
      <c r="G73" s="30" t="s">
        <v>704</v>
      </c>
      <c r="H73" s="30">
        <f>ROUND(G73*(1+$I$8),2)</f>
        <v>20.420000000000002</v>
      </c>
      <c r="I73" s="30">
        <f>TRUNC($F73*H73,2)</f>
        <v>25050.23</v>
      </c>
      <c r="J73" s="25" t="s">
        <v>612</v>
      </c>
      <c r="K73" s="30"/>
      <c r="L73" s="281"/>
    </row>
    <row r="74" spans="1:13" s="32" customFormat="1" ht="27.6" x14ac:dyDescent="0.3">
      <c r="A74" s="322" t="s">
        <v>167</v>
      </c>
      <c r="B74" s="322" t="s">
        <v>35</v>
      </c>
      <c r="C74" s="323" t="s">
        <v>91</v>
      </c>
      <c r="D74" s="201" t="s">
        <v>424</v>
      </c>
      <c r="E74" s="245" t="s">
        <v>88</v>
      </c>
      <c r="F74" s="30">
        <v>1226.75</v>
      </c>
      <c r="G74" s="30" t="s">
        <v>706</v>
      </c>
      <c r="H74" s="30">
        <f>ROUND(G74*(1+$I$8),2)</f>
        <v>16.32</v>
      </c>
      <c r="I74" s="30">
        <f>TRUNC($F74*H74,2)</f>
        <v>20020.560000000001</v>
      </c>
      <c r="J74" s="25" t="s">
        <v>612</v>
      </c>
      <c r="K74" s="30"/>
      <c r="L74" s="281"/>
    </row>
    <row r="75" spans="1:13" s="32" customFormat="1" ht="41.4" x14ac:dyDescent="0.3">
      <c r="A75" s="322" t="s">
        <v>168</v>
      </c>
      <c r="B75" s="322" t="s">
        <v>35</v>
      </c>
      <c r="C75" s="323" t="s">
        <v>217</v>
      </c>
      <c r="D75" s="201" t="s">
        <v>216</v>
      </c>
      <c r="E75" s="245" t="s">
        <v>88</v>
      </c>
      <c r="F75" s="30">
        <v>70.099999999999994</v>
      </c>
      <c r="G75" s="30" t="s">
        <v>776</v>
      </c>
      <c r="H75" s="30">
        <f>ROUND(G75*(1+$I$8),2)</f>
        <v>32.14</v>
      </c>
      <c r="I75" s="30">
        <f>TRUNC($F75*H75,2)</f>
        <v>2253.0100000000002</v>
      </c>
      <c r="J75" s="25" t="s">
        <v>612</v>
      </c>
      <c r="K75" s="30"/>
      <c r="L75" s="281"/>
    </row>
    <row r="76" spans="1:13" s="32" customFormat="1" ht="55.2" x14ac:dyDescent="0.3">
      <c r="A76" s="322" t="s">
        <v>192</v>
      </c>
      <c r="B76" s="322" t="s">
        <v>35</v>
      </c>
      <c r="C76" s="323" t="s">
        <v>134</v>
      </c>
      <c r="D76" s="201" t="s">
        <v>133</v>
      </c>
      <c r="E76" s="245" t="s">
        <v>88</v>
      </c>
      <c r="F76" s="30">
        <v>70.099999999999994</v>
      </c>
      <c r="G76" s="30" t="s">
        <v>778</v>
      </c>
      <c r="H76" s="30">
        <f>ROUND(G76*(1+$I$8),2)</f>
        <v>62.88</v>
      </c>
      <c r="I76" s="30">
        <f>TRUNC($F76*H76,2)</f>
        <v>4407.88</v>
      </c>
      <c r="J76" s="25" t="s">
        <v>612</v>
      </c>
      <c r="K76" s="30"/>
      <c r="L76" s="281"/>
    </row>
    <row r="77" spans="1:13" s="220" customFormat="1" x14ac:dyDescent="0.3">
      <c r="A77" s="329"/>
      <c r="B77" s="327"/>
      <c r="C77" s="327"/>
      <c r="D77" s="216"/>
      <c r="E77" s="250"/>
      <c r="F77" s="218"/>
      <c r="G77" s="218"/>
      <c r="H77" s="218"/>
      <c r="I77" s="218"/>
      <c r="K77" s="218"/>
      <c r="L77" s="221"/>
    </row>
    <row r="78" spans="1:13" s="171" customFormat="1" x14ac:dyDescent="0.3">
      <c r="A78" s="328" t="s">
        <v>24</v>
      </c>
      <c r="B78" s="326"/>
      <c r="C78" s="326"/>
      <c r="D78" s="199" t="s">
        <v>232</v>
      </c>
      <c r="E78" s="243"/>
      <c r="F78" s="28"/>
      <c r="G78" s="28"/>
      <c r="H78" s="28"/>
      <c r="I78" s="28">
        <f>SUM(I79:I94)</f>
        <v>110449.45000000001</v>
      </c>
      <c r="K78" s="28"/>
      <c r="L78" s="202"/>
    </row>
    <row r="79" spans="1:13" s="32" customFormat="1" ht="55.2" x14ac:dyDescent="0.3">
      <c r="A79" s="322" t="s">
        <v>147</v>
      </c>
      <c r="B79" s="322" t="s">
        <v>143</v>
      </c>
      <c r="C79" s="323" t="s">
        <v>155</v>
      </c>
      <c r="D79" s="201" t="s">
        <v>151</v>
      </c>
      <c r="E79" s="245" t="s">
        <v>86</v>
      </c>
      <c r="F79" s="30">
        <v>121</v>
      </c>
      <c r="G79" s="30">
        <f>COMPOSIÇÕES!J74</f>
        <v>138.53</v>
      </c>
      <c r="H79" s="30">
        <f t="shared" ref="H79:H93" si="8">ROUND(G79*(1+$I$8),2)</f>
        <v>166.93</v>
      </c>
      <c r="I79" s="30">
        <f t="shared" ref="I79:I93" si="9">TRUNC($F79*H79,2)</f>
        <v>20198.53</v>
      </c>
      <c r="J79" s="25" t="s">
        <v>612</v>
      </c>
      <c r="K79" s="30"/>
    </row>
    <row r="80" spans="1:13" s="32" customFormat="1" ht="27.6" x14ac:dyDescent="0.3">
      <c r="A80" s="322" t="s">
        <v>169</v>
      </c>
      <c r="B80" s="322" t="s">
        <v>143</v>
      </c>
      <c r="C80" s="323" t="s">
        <v>156</v>
      </c>
      <c r="D80" s="201" t="s">
        <v>236</v>
      </c>
      <c r="E80" s="245" t="s">
        <v>86</v>
      </c>
      <c r="F80" s="30">
        <v>8</v>
      </c>
      <c r="G80" s="30">
        <f>COMPOSIÇÕES!J92</f>
        <v>106.92</v>
      </c>
      <c r="H80" s="30">
        <f t="shared" si="8"/>
        <v>128.84</v>
      </c>
      <c r="I80" s="30">
        <f t="shared" si="9"/>
        <v>1030.72</v>
      </c>
      <c r="J80" s="25" t="s">
        <v>612</v>
      </c>
      <c r="K80" s="30"/>
    </row>
    <row r="81" spans="1:13" s="32" customFormat="1" ht="41.4" x14ac:dyDescent="0.3">
      <c r="A81" s="322" t="s">
        <v>170</v>
      </c>
      <c r="B81" s="322" t="s">
        <v>143</v>
      </c>
      <c r="C81" s="323" t="s">
        <v>175</v>
      </c>
      <c r="D81" s="201" t="s">
        <v>153</v>
      </c>
      <c r="E81" s="245" t="s">
        <v>86</v>
      </c>
      <c r="F81" s="30">
        <v>129</v>
      </c>
      <c r="G81" s="30">
        <f>COMPOSIÇÕES!J112</f>
        <v>76.81</v>
      </c>
      <c r="H81" s="30">
        <f t="shared" si="8"/>
        <v>92.56</v>
      </c>
      <c r="I81" s="30">
        <f t="shared" si="9"/>
        <v>11940.24</v>
      </c>
      <c r="J81" s="25" t="s">
        <v>612</v>
      </c>
      <c r="K81" s="30"/>
    </row>
    <row r="82" spans="1:13" s="32" customFormat="1" ht="27.6" x14ac:dyDescent="0.3">
      <c r="A82" s="322" t="s">
        <v>287</v>
      </c>
      <c r="B82" s="322" t="s">
        <v>35</v>
      </c>
      <c r="C82" s="323" t="s">
        <v>146</v>
      </c>
      <c r="D82" s="201" t="s">
        <v>145</v>
      </c>
      <c r="E82" s="245" t="s">
        <v>86</v>
      </c>
      <c r="F82" s="30">
        <v>8</v>
      </c>
      <c r="G82" s="30" t="s">
        <v>808</v>
      </c>
      <c r="H82" s="30">
        <f t="shared" si="8"/>
        <v>546.16999999999996</v>
      </c>
      <c r="I82" s="30">
        <f t="shared" si="9"/>
        <v>4369.3599999999997</v>
      </c>
      <c r="J82" s="25" t="s">
        <v>612</v>
      </c>
      <c r="K82" s="30"/>
    </row>
    <row r="83" spans="1:13" s="32" customFormat="1" ht="69" x14ac:dyDescent="0.3">
      <c r="A83" s="322" t="s">
        <v>288</v>
      </c>
      <c r="B83" s="322" t="s">
        <v>35</v>
      </c>
      <c r="C83" s="323" t="s">
        <v>442</v>
      </c>
      <c r="D83" s="201" t="s">
        <v>441</v>
      </c>
      <c r="E83" s="245" t="s">
        <v>86</v>
      </c>
      <c r="F83" s="30">
        <v>111</v>
      </c>
      <c r="G83" s="30" t="s">
        <v>812</v>
      </c>
      <c r="H83" s="30">
        <f t="shared" si="8"/>
        <v>323.54000000000002</v>
      </c>
      <c r="I83" s="30">
        <f t="shared" si="9"/>
        <v>35912.94</v>
      </c>
      <c r="J83" s="25" t="s">
        <v>612</v>
      </c>
      <c r="K83" s="30"/>
    </row>
    <row r="84" spans="1:13" s="32" customFormat="1" ht="27.6" x14ac:dyDescent="0.3">
      <c r="A84" s="322" t="s">
        <v>289</v>
      </c>
      <c r="B84" s="322" t="s">
        <v>143</v>
      </c>
      <c r="C84" s="323" t="s">
        <v>194</v>
      </c>
      <c r="D84" s="201" t="s">
        <v>359</v>
      </c>
      <c r="E84" s="245" t="s">
        <v>86</v>
      </c>
      <c r="F84" s="30">
        <v>2</v>
      </c>
      <c r="G84" s="30">
        <f>COMPOSIÇÕES!J128</f>
        <v>200.94</v>
      </c>
      <c r="H84" s="30">
        <f t="shared" si="8"/>
        <v>242.13</v>
      </c>
      <c r="I84" s="30">
        <f t="shared" si="9"/>
        <v>484.26</v>
      </c>
      <c r="J84" s="25" t="s">
        <v>612</v>
      </c>
      <c r="K84" s="30"/>
    </row>
    <row r="85" spans="1:13" s="32" customFormat="1" ht="30.75" customHeight="1" x14ac:dyDescent="0.3">
      <c r="A85" s="322" t="s">
        <v>290</v>
      </c>
      <c r="B85" s="322" t="s">
        <v>35</v>
      </c>
      <c r="C85" s="323" t="s">
        <v>361</v>
      </c>
      <c r="D85" s="201" t="s">
        <v>532</v>
      </c>
      <c r="E85" s="245" t="s">
        <v>86</v>
      </c>
      <c r="F85" s="30">
        <v>2</v>
      </c>
      <c r="G85" s="30" t="s">
        <v>817</v>
      </c>
      <c r="H85" s="30">
        <f t="shared" si="8"/>
        <v>193</v>
      </c>
      <c r="I85" s="30">
        <f t="shared" si="9"/>
        <v>386</v>
      </c>
      <c r="J85" s="25" t="s">
        <v>612</v>
      </c>
      <c r="K85" s="30"/>
    </row>
    <row r="86" spans="1:13" s="32" customFormat="1" ht="41.4" x14ac:dyDescent="0.3">
      <c r="A86" s="322" t="s">
        <v>291</v>
      </c>
      <c r="B86" s="322" t="s">
        <v>35</v>
      </c>
      <c r="C86" s="323" t="s">
        <v>252</v>
      </c>
      <c r="D86" s="201" t="s">
        <v>251</v>
      </c>
      <c r="E86" s="245" t="s">
        <v>86</v>
      </c>
      <c r="F86" s="30">
        <v>114</v>
      </c>
      <c r="G86" s="30" t="s">
        <v>819</v>
      </c>
      <c r="H86" s="30">
        <f t="shared" si="8"/>
        <v>120.34</v>
      </c>
      <c r="I86" s="30">
        <f t="shared" si="9"/>
        <v>13718.76</v>
      </c>
      <c r="J86" s="25" t="s">
        <v>612</v>
      </c>
      <c r="K86" s="30"/>
    </row>
    <row r="87" spans="1:13" s="32" customFormat="1" ht="27.6" x14ac:dyDescent="0.3">
      <c r="A87" s="322" t="s">
        <v>292</v>
      </c>
      <c r="B87" s="322" t="s">
        <v>35</v>
      </c>
      <c r="C87" s="323" t="s">
        <v>142</v>
      </c>
      <c r="D87" s="201" t="s">
        <v>141</v>
      </c>
      <c r="E87" s="245" t="s">
        <v>86</v>
      </c>
      <c r="F87" s="30">
        <v>8</v>
      </c>
      <c r="G87" s="30" t="s">
        <v>823</v>
      </c>
      <c r="H87" s="30">
        <f t="shared" si="8"/>
        <v>39.58</v>
      </c>
      <c r="I87" s="30">
        <f t="shared" si="9"/>
        <v>316.64</v>
      </c>
      <c r="J87" s="25" t="s">
        <v>612</v>
      </c>
      <c r="K87" s="30"/>
    </row>
    <row r="88" spans="1:13" s="32" customFormat="1" ht="27.6" x14ac:dyDescent="0.3">
      <c r="A88" s="322" t="s">
        <v>293</v>
      </c>
      <c r="B88" s="322" t="s">
        <v>35</v>
      </c>
      <c r="C88" s="323">
        <v>95545</v>
      </c>
      <c r="D88" s="201" t="s">
        <v>253</v>
      </c>
      <c r="E88" s="245" t="s">
        <v>86</v>
      </c>
      <c r="F88" s="30">
        <v>4</v>
      </c>
      <c r="G88" s="30" t="s">
        <v>827</v>
      </c>
      <c r="H88" s="30">
        <f t="shared" si="8"/>
        <v>99.06</v>
      </c>
      <c r="I88" s="30">
        <f t="shared" si="9"/>
        <v>396.24</v>
      </c>
      <c r="J88" s="25" t="s">
        <v>612</v>
      </c>
      <c r="K88" s="30"/>
    </row>
    <row r="89" spans="1:13" s="32" customFormat="1" ht="27.6" x14ac:dyDescent="0.3">
      <c r="A89" s="322" t="s">
        <v>294</v>
      </c>
      <c r="B89" s="322" t="s">
        <v>35</v>
      </c>
      <c r="C89" s="323" t="s">
        <v>255</v>
      </c>
      <c r="D89" s="201" t="s">
        <v>254</v>
      </c>
      <c r="E89" s="245" t="s">
        <v>86</v>
      </c>
      <c r="F89" s="30">
        <v>4</v>
      </c>
      <c r="G89" s="30" t="s">
        <v>829</v>
      </c>
      <c r="H89" s="30">
        <f t="shared" si="8"/>
        <v>101.28</v>
      </c>
      <c r="I89" s="30">
        <f t="shared" si="9"/>
        <v>405.12</v>
      </c>
      <c r="J89" s="25" t="s">
        <v>612</v>
      </c>
      <c r="K89" s="30"/>
    </row>
    <row r="90" spans="1:13" s="32" customFormat="1" ht="27.6" x14ac:dyDescent="0.3">
      <c r="A90" s="322" t="s">
        <v>295</v>
      </c>
      <c r="B90" s="322" t="s">
        <v>35</v>
      </c>
      <c r="C90" s="323" t="s">
        <v>257</v>
      </c>
      <c r="D90" s="201" t="s">
        <v>256</v>
      </c>
      <c r="E90" s="245" t="s">
        <v>86</v>
      </c>
      <c r="F90" s="30">
        <v>4</v>
      </c>
      <c r="G90" s="30" t="s">
        <v>831</v>
      </c>
      <c r="H90" s="30">
        <f t="shared" si="8"/>
        <v>131.25</v>
      </c>
      <c r="I90" s="30">
        <f t="shared" si="9"/>
        <v>525</v>
      </c>
      <c r="J90" s="25" t="s">
        <v>612</v>
      </c>
      <c r="K90" s="30"/>
    </row>
    <row r="91" spans="1:13" s="32" customFormat="1" ht="69" x14ac:dyDescent="0.3">
      <c r="A91" s="322" t="s">
        <v>296</v>
      </c>
      <c r="B91" s="322" t="s">
        <v>143</v>
      </c>
      <c r="C91" s="323" t="s">
        <v>195</v>
      </c>
      <c r="D91" s="201" t="s">
        <v>550</v>
      </c>
      <c r="E91" s="245" t="s">
        <v>86</v>
      </c>
      <c r="F91" s="30">
        <v>1</v>
      </c>
      <c r="G91" s="30">
        <f>COMPOSIÇÕES!J145</f>
        <v>9162.51</v>
      </c>
      <c r="H91" s="30">
        <f t="shared" si="8"/>
        <v>11040.82</v>
      </c>
      <c r="I91" s="30">
        <f t="shared" si="9"/>
        <v>11040.82</v>
      </c>
      <c r="J91" s="25" t="s">
        <v>612</v>
      </c>
      <c r="K91" s="30"/>
    </row>
    <row r="92" spans="1:13" s="252" customFormat="1" ht="41.4" x14ac:dyDescent="0.3">
      <c r="A92" s="322" t="s">
        <v>297</v>
      </c>
      <c r="B92" s="322" t="s">
        <v>35</v>
      </c>
      <c r="C92" s="323" t="s">
        <v>599</v>
      </c>
      <c r="D92" s="201" t="s">
        <v>600</v>
      </c>
      <c r="E92" s="245" t="s">
        <v>87</v>
      </c>
      <c r="F92" s="30">
        <v>200</v>
      </c>
      <c r="G92" s="30" t="s">
        <v>833</v>
      </c>
      <c r="H92" s="30">
        <f t="shared" si="8"/>
        <v>38.32</v>
      </c>
      <c r="I92" s="30">
        <f t="shared" si="9"/>
        <v>7664</v>
      </c>
      <c r="J92" s="25" t="s">
        <v>612</v>
      </c>
      <c r="K92" s="30"/>
      <c r="L92" s="32"/>
      <c r="M92" s="32"/>
    </row>
    <row r="93" spans="1:13" s="252" customFormat="1" ht="55.2" x14ac:dyDescent="0.3">
      <c r="A93" s="322" t="s">
        <v>298</v>
      </c>
      <c r="B93" s="322" t="s">
        <v>35</v>
      </c>
      <c r="C93" s="323" t="s">
        <v>597</v>
      </c>
      <c r="D93" s="201" t="s">
        <v>598</v>
      </c>
      <c r="E93" s="245" t="s">
        <v>86</v>
      </c>
      <c r="F93" s="30">
        <v>6</v>
      </c>
      <c r="G93" s="30" t="s">
        <v>710</v>
      </c>
      <c r="H93" s="30">
        <f t="shared" si="8"/>
        <v>343.47</v>
      </c>
      <c r="I93" s="30">
        <f t="shared" si="9"/>
        <v>2060.8200000000002</v>
      </c>
      <c r="J93" s="25" t="s">
        <v>612</v>
      </c>
      <c r="K93" s="30"/>
      <c r="L93" s="32"/>
      <c r="M93" s="32"/>
    </row>
    <row r="94" spans="1:13" s="276" customFormat="1" x14ac:dyDescent="0.3">
      <c r="A94" s="322"/>
      <c r="B94" s="322"/>
      <c r="C94" s="35"/>
      <c r="D94" s="36"/>
      <c r="E94" s="245"/>
      <c r="F94" s="34"/>
      <c r="G94" s="34"/>
      <c r="H94" s="34"/>
      <c r="I94" s="34"/>
      <c r="J94" s="25"/>
      <c r="K94" s="34"/>
      <c r="L94" s="38"/>
      <c r="M94" s="38"/>
    </row>
    <row r="95" spans="1:13" s="171" customFormat="1" x14ac:dyDescent="0.3">
      <c r="A95" s="328" t="s">
        <v>25</v>
      </c>
      <c r="B95" s="326"/>
      <c r="C95" s="326"/>
      <c r="D95" s="199" t="s">
        <v>152</v>
      </c>
      <c r="E95" s="243"/>
      <c r="F95" s="28"/>
      <c r="G95" s="28"/>
      <c r="H95" s="28"/>
      <c r="I95" s="28">
        <f>SUM(I96:I111)</f>
        <v>92712.38</v>
      </c>
      <c r="K95" s="28"/>
      <c r="L95" s="202"/>
    </row>
    <row r="96" spans="1:13" s="252" customFormat="1" ht="41.4" x14ac:dyDescent="0.3">
      <c r="A96" s="322" t="s">
        <v>148</v>
      </c>
      <c r="B96" s="322" t="s">
        <v>143</v>
      </c>
      <c r="C96" s="323" t="s">
        <v>215</v>
      </c>
      <c r="D96" s="201" t="s">
        <v>431</v>
      </c>
      <c r="E96" s="245" t="s">
        <v>86</v>
      </c>
      <c r="F96" s="30">
        <v>1</v>
      </c>
      <c r="G96" s="30">
        <f>COMPOSIÇÕES!J159</f>
        <v>1008.86</v>
      </c>
      <c r="H96" s="30">
        <f t="shared" ref="H96:H110" si="10">ROUND(G96*(1+$I$8),2)</f>
        <v>1215.68</v>
      </c>
      <c r="I96" s="30">
        <f t="shared" ref="I96:I110" si="11">TRUNC($F96*H96,2)</f>
        <v>1215.68</v>
      </c>
      <c r="J96" s="25" t="s">
        <v>612</v>
      </c>
      <c r="K96" s="30"/>
      <c r="L96" s="32"/>
      <c r="M96" s="32"/>
    </row>
    <row r="97" spans="1:13" s="32" customFormat="1" ht="41.4" x14ac:dyDescent="0.3">
      <c r="A97" s="29" t="s">
        <v>171</v>
      </c>
      <c r="B97" s="29" t="s">
        <v>35</v>
      </c>
      <c r="C97" s="200" t="s">
        <v>436</v>
      </c>
      <c r="D97" s="201" t="s">
        <v>437</v>
      </c>
      <c r="E97" s="29" t="s">
        <v>92</v>
      </c>
      <c r="F97" s="30">
        <v>1</v>
      </c>
      <c r="G97" s="30" t="s">
        <v>554</v>
      </c>
      <c r="H97" s="30">
        <f t="shared" si="10"/>
        <v>138.62</v>
      </c>
      <c r="I97" s="30">
        <f t="shared" si="11"/>
        <v>138.62</v>
      </c>
      <c r="J97" s="25" t="s">
        <v>612</v>
      </c>
      <c r="K97" s="30"/>
    </row>
    <row r="98" spans="1:13" s="252" customFormat="1" ht="55.2" x14ac:dyDescent="0.3">
      <c r="A98" s="322" t="s">
        <v>172</v>
      </c>
      <c r="B98" s="322" t="s">
        <v>35</v>
      </c>
      <c r="C98" s="200" t="s">
        <v>861</v>
      </c>
      <c r="D98" s="201" t="s">
        <v>860</v>
      </c>
      <c r="E98" s="245" t="s">
        <v>86</v>
      </c>
      <c r="F98" s="30">
        <v>1</v>
      </c>
      <c r="G98" s="30">
        <v>490.5</v>
      </c>
      <c r="H98" s="30">
        <f t="shared" si="10"/>
        <v>591.04999999999995</v>
      </c>
      <c r="I98" s="30">
        <f t="shared" si="11"/>
        <v>591.04999999999995</v>
      </c>
      <c r="J98" s="25" t="s">
        <v>612</v>
      </c>
      <c r="K98" s="30"/>
      <c r="L98" s="32"/>
      <c r="M98" s="32"/>
    </row>
    <row r="99" spans="1:13" s="252" customFormat="1" ht="27.6" x14ac:dyDescent="0.3">
      <c r="A99" s="322" t="s">
        <v>299</v>
      </c>
      <c r="B99" s="322" t="s">
        <v>478</v>
      </c>
      <c r="C99" s="323" t="s">
        <v>712</v>
      </c>
      <c r="D99" s="201" t="s">
        <v>711</v>
      </c>
      <c r="E99" s="245" t="s">
        <v>86</v>
      </c>
      <c r="F99" s="30">
        <v>108</v>
      </c>
      <c r="G99" s="30">
        <v>291.08</v>
      </c>
      <c r="H99" s="30">
        <f t="shared" si="10"/>
        <v>350.75</v>
      </c>
      <c r="I99" s="30">
        <f t="shared" si="11"/>
        <v>37881</v>
      </c>
      <c r="J99" s="25" t="s">
        <v>612</v>
      </c>
      <c r="K99" s="30"/>
      <c r="L99" s="32"/>
      <c r="M99" s="32"/>
    </row>
    <row r="100" spans="1:13" s="252" customFormat="1" ht="55.2" x14ac:dyDescent="0.3">
      <c r="A100" s="322" t="s">
        <v>300</v>
      </c>
      <c r="B100" s="322" t="s">
        <v>478</v>
      </c>
      <c r="C100" s="445" t="s">
        <v>838</v>
      </c>
      <c r="D100" s="201" t="s">
        <v>836</v>
      </c>
      <c r="E100" s="245" t="s">
        <v>837</v>
      </c>
      <c r="F100" s="30">
        <v>121</v>
      </c>
      <c r="G100" s="30">
        <v>222.37</v>
      </c>
      <c r="H100" s="30">
        <f t="shared" si="10"/>
        <v>267.95999999999998</v>
      </c>
      <c r="I100" s="30">
        <f t="shared" si="11"/>
        <v>32423.16</v>
      </c>
      <c r="J100" s="25" t="s">
        <v>612</v>
      </c>
      <c r="K100" s="30"/>
      <c r="L100" s="32"/>
      <c r="M100" s="32"/>
    </row>
    <row r="101" spans="1:13" s="252" customFormat="1" ht="27.6" x14ac:dyDescent="0.3">
      <c r="A101" s="322" t="s">
        <v>301</v>
      </c>
      <c r="B101" s="322" t="s">
        <v>478</v>
      </c>
      <c r="C101" s="323" t="s">
        <v>841</v>
      </c>
      <c r="D101" s="201" t="s">
        <v>840</v>
      </c>
      <c r="E101" s="245" t="s">
        <v>837</v>
      </c>
      <c r="F101" s="30">
        <v>6</v>
      </c>
      <c r="G101" s="30">
        <v>218.97</v>
      </c>
      <c r="H101" s="30">
        <f t="shared" si="10"/>
        <v>263.86</v>
      </c>
      <c r="I101" s="30">
        <f t="shared" si="11"/>
        <v>1583.16</v>
      </c>
      <c r="J101" s="25" t="s">
        <v>612</v>
      </c>
      <c r="K101" s="30"/>
      <c r="L101" s="32"/>
      <c r="M101" s="32"/>
    </row>
    <row r="102" spans="1:13" s="252" customFormat="1" ht="41.4" x14ac:dyDescent="0.3">
      <c r="A102" s="322" t="s">
        <v>302</v>
      </c>
      <c r="B102" s="322" t="s">
        <v>35</v>
      </c>
      <c r="C102" s="323" t="s">
        <v>426</v>
      </c>
      <c r="D102" s="201" t="s">
        <v>556</v>
      </c>
      <c r="E102" s="245" t="s">
        <v>86</v>
      </c>
      <c r="F102" s="30">
        <v>7</v>
      </c>
      <c r="G102" s="30" t="s">
        <v>843</v>
      </c>
      <c r="H102" s="30">
        <f t="shared" si="10"/>
        <v>41.75</v>
      </c>
      <c r="I102" s="30">
        <f t="shared" si="11"/>
        <v>292.25</v>
      </c>
      <c r="J102" s="25" t="s">
        <v>612</v>
      </c>
      <c r="K102" s="30"/>
      <c r="L102" s="32"/>
      <c r="M102" s="32"/>
    </row>
    <row r="103" spans="1:13" s="252" customFormat="1" ht="27.6" x14ac:dyDescent="0.3">
      <c r="A103" s="322" t="s">
        <v>303</v>
      </c>
      <c r="B103" s="322" t="s">
        <v>478</v>
      </c>
      <c r="C103" s="323" t="s">
        <v>845</v>
      </c>
      <c r="D103" s="201" t="s">
        <v>844</v>
      </c>
      <c r="E103" s="245" t="s">
        <v>86</v>
      </c>
      <c r="F103" s="30">
        <v>101</v>
      </c>
      <c r="G103" s="30">
        <v>134.66</v>
      </c>
      <c r="H103" s="30">
        <f t="shared" si="10"/>
        <v>162.27000000000001</v>
      </c>
      <c r="I103" s="30">
        <f t="shared" si="11"/>
        <v>16389.27</v>
      </c>
      <c r="J103" s="25" t="s">
        <v>612</v>
      </c>
      <c r="K103" s="30"/>
      <c r="L103" s="32"/>
      <c r="M103" s="32"/>
    </row>
    <row r="104" spans="1:13" s="32" customFormat="1" ht="27.6" x14ac:dyDescent="0.3">
      <c r="A104" s="322" t="s">
        <v>304</v>
      </c>
      <c r="B104" s="322" t="s">
        <v>35</v>
      </c>
      <c r="C104" s="323" t="s">
        <v>430</v>
      </c>
      <c r="D104" s="201" t="s">
        <v>429</v>
      </c>
      <c r="E104" s="245" t="s">
        <v>86</v>
      </c>
      <c r="F104" s="30">
        <v>1</v>
      </c>
      <c r="G104" s="30" t="s">
        <v>847</v>
      </c>
      <c r="H104" s="30">
        <f t="shared" si="10"/>
        <v>18.45</v>
      </c>
      <c r="I104" s="30">
        <f t="shared" si="11"/>
        <v>18.45</v>
      </c>
      <c r="J104" s="25" t="s">
        <v>612</v>
      </c>
      <c r="K104" s="30"/>
    </row>
    <row r="105" spans="1:13" s="32" customFormat="1" ht="27.6" x14ac:dyDescent="0.3">
      <c r="A105" s="322" t="s">
        <v>305</v>
      </c>
      <c r="B105" s="322" t="s">
        <v>35</v>
      </c>
      <c r="C105" s="323" t="s">
        <v>363</v>
      </c>
      <c r="D105" s="201" t="s">
        <v>362</v>
      </c>
      <c r="E105" s="245" t="s">
        <v>86</v>
      </c>
      <c r="F105" s="30">
        <v>11</v>
      </c>
      <c r="G105" s="30" t="s">
        <v>849</v>
      </c>
      <c r="H105" s="30">
        <f t="shared" si="10"/>
        <v>19.23</v>
      </c>
      <c r="I105" s="30">
        <f t="shared" si="11"/>
        <v>211.53</v>
      </c>
      <c r="J105" s="25" t="s">
        <v>612</v>
      </c>
      <c r="K105" s="30"/>
    </row>
    <row r="106" spans="1:13" s="32" customFormat="1" ht="27.6" x14ac:dyDescent="0.3">
      <c r="A106" s="322" t="s">
        <v>306</v>
      </c>
      <c r="B106" s="322" t="s">
        <v>35</v>
      </c>
      <c r="C106" s="323" t="s">
        <v>367</v>
      </c>
      <c r="D106" s="201" t="s">
        <v>366</v>
      </c>
      <c r="E106" s="245" t="s">
        <v>86</v>
      </c>
      <c r="F106" s="30">
        <v>2</v>
      </c>
      <c r="G106" s="30" t="s">
        <v>851</v>
      </c>
      <c r="H106" s="30">
        <f t="shared" si="10"/>
        <v>147.06</v>
      </c>
      <c r="I106" s="30">
        <f t="shared" si="11"/>
        <v>294.12</v>
      </c>
      <c r="J106" s="25" t="s">
        <v>612</v>
      </c>
      <c r="K106" s="30"/>
    </row>
    <row r="107" spans="1:13" s="32" customFormat="1" ht="27.6" x14ac:dyDescent="0.3">
      <c r="A107" s="322" t="s">
        <v>307</v>
      </c>
      <c r="B107" s="322" t="s">
        <v>35</v>
      </c>
      <c r="C107" s="323" t="s">
        <v>560</v>
      </c>
      <c r="D107" s="201" t="s">
        <v>559</v>
      </c>
      <c r="E107" s="245" t="s">
        <v>86</v>
      </c>
      <c r="F107" s="30">
        <v>4</v>
      </c>
      <c r="G107" s="30" t="s">
        <v>852</v>
      </c>
      <c r="H107" s="30">
        <f t="shared" si="10"/>
        <v>170.83</v>
      </c>
      <c r="I107" s="30">
        <f t="shared" si="11"/>
        <v>683.32</v>
      </c>
      <c r="J107" s="25" t="s">
        <v>612</v>
      </c>
      <c r="K107" s="30"/>
    </row>
    <row r="108" spans="1:13" s="32" customFormat="1" ht="27.6" x14ac:dyDescent="0.3">
      <c r="A108" s="322" t="s">
        <v>308</v>
      </c>
      <c r="B108" s="322" t="s">
        <v>35</v>
      </c>
      <c r="C108" s="323" t="s">
        <v>562</v>
      </c>
      <c r="D108" s="201" t="s">
        <v>561</v>
      </c>
      <c r="E108" s="245" t="s">
        <v>86</v>
      </c>
      <c r="F108" s="30">
        <v>1</v>
      </c>
      <c r="G108" s="30" t="s">
        <v>853</v>
      </c>
      <c r="H108" s="30">
        <f t="shared" si="10"/>
        <v>260.52999999999997</v>
      </c>
      <c r="I108" s="30">
        <f t="shared" si="11"/>
        <v>260.52999999999997</v>
      </c>
      <c r="J108" s="25" t="s">
        <v>612</v>
      </c>
      <c r="K108" s="30"/>
    </row>
    <row r="109" spans="1:13" s="32" customFormat="1" ht="27.6" x14ac:dyDescent="0.3">
      <c r="A109" s="322" t="s">
        <v>309</v>
      </c>
      <c r="B109" s="322" t="s">
        <v>35</v>
      </c>
      <c r="C109" s="323" t="s">
        <v>371</v>
      </c>
      <c r="D109" s="201" t="s">
        <v>370</v>
      </c>
      <c r="E109" s="245" t="s">
        <v>86</v>
      </c>
      <c r="F109" s="30">
        <v>4</v>
      </c>
      <c r="G109" s="30" t="s">
        <v>855</v>
      </c>
      <c r="H109" s="30">
        <f t="shared" si="10"/>
        <v>52.09</v>
      </c>
      <c r="I109" s="30">
        <f t="shared" si="11"/>
        <v>208.36</v>
      </c>
      <c r="J109" s="25" t="s">
        <v>612</v>
      </c>
      <c r="K109" s="30"/>
    </row>
    <row r="110" spans="1:13" s="32" customFormat="1" ht="27.6" x14ac:dyDescent="0.3">
      <c r="A110" s="322" t="s">
        <v>428</v>
      </c>
      <c r="B110" s="322" t="s">
        <v>35</v>
      </c>
      <c r="C110" s="323" t="s">
        <v>558</v>
      </c>
      <c r="D110" s="201" t="s">
        <v>557</v>
      </c>
      <c r="E110" s="245" t="s">
        <v>86</v>
      </c>
      <c r="F110" s="30">
        <v>4</v>
      </c>
      <c r="G110" s="30" t="s">
        <v>857</v>
      </c>
      <c r="H110" s="30">
        <f t="shared" si="10"/>
        <v>130.47</v>
      </c>
      <c r="I110" s="30">
        <f t="shared" si="11"/>
        <v>521.88</v>
      </c>
      <c r="J110" s="25" t="s">
        <v>612</v>
      </c>
      <c r="K110" s="30"/>
    </row>
    <row r="111" spans="1:13" s="220" customFormat="1" x14ac:dyDescent="0.3">
      <c r="A111" s="329"/>
      <c r="B111" s="327"/>
      <c r="C111" s="327"/>
      <c r="D111" s="216"/>
      <c r="E111" s="250"/>
      <c r="F111" s="218"/>
      <c r="G111" s="218"/>
      <c r="H111" s="218"/>
      <c r="I111" s="218"/>
      <c r="K111" s="218"/>
      <c r="L111" s="221"/>
    </row>
    <row r="112" spans="1:13" s="171" customFormat="1" x14ac:dyDescent="0.3">
      <c r="A112" s="328" t="s">
        <v>26</v>
      </c>
      <c r="B112" s="326"/>
      <c r="C112" s="326"/>
      <c r="D112" s="199" t="s">
        <v>190</v>
      </c>
      <c r="E112" s="243"/>
      <c r="F112" s="28"/>
      <c r="G112" s="28"/>
      <c r="H112" s="28"/>
      <c r="I112" s="28">
        <f>SUM(I113:I117)</f>
        <v>169791.21</v>
      </c>
      <c r="K112" s="28"/>
      <c r="L112" s="202"/>
    </row>
    <row r="113" spans="1:13" s="252" customFormat="1" x14ac:dyDescent="0.3">
      <c r="A113" s="322" t="s">
        <v>149</v>
      </c>
      <c r="B113" s="322" t="s">
        <v>664</v>
      </c>
      <c r="C113" s="323" t="s">
        <v>663</v>
      </c>
      <c r="D113" s="201" t="s">
        <v>662</v>
      </c>
      <c r="E113" s="245" t="s">
        <v>86</v>
      </c>
      <c r="F113" s="30">
        <v>3</v>
      </c>
      <c r="G113" s="30">
        <v>49161.4</v>
      </c>
      <c r="H113" s="30">
        <f>ROUND(G113*(1+$I$7),2)</f>
        <v>54618.32</v>
      </c>
      <c r="I113" s="30">
        <f>TRUNC($F113*H113,2)</f>
        <v>163854.96</v>
      </c>
      <c r="J113" s="25" t="s">
        <v>612</v>
      </c>
      <c r="K113" s="30"/>
      <c r="L113" s="32"/>
      <c r="M113" s="32"/>
    </row>
    <row r="114" spans="1:13" s="252" customFormat="1" ht="41.4" x14ac:dyDescent="0.3">
      <c r="A114" s="322" t="s">
        <v>173</v>
      </c>
      <c r="B114" s="322" t="s">
        <v>35</v>
      </c>
      <c r="C114" s="323" t="s">
        <v>311</v>
      </c>
      <c r="D114" s="201" t="s">
        <v>312</v>
      </c>
      <c r="E114" s="245" t="s">
        <v>86</v>
      </c>
      <c r="F114" s="30">
        <v>2</v>
      </c>
      <c r="G114" s="30" t="s">
        <v>722</v>
      </c>
      <c r="H114" s="30">
        <f>ROUND(G114*(1+$I$8),2)</f>
        <v>325.41000000000003</v>
      </c>
      <c r="I114" s="30">
        <f>TRUNC($F114*H114,2)</f>
        <v>650.82000000000005</v>
      </c>
      <c r="J114" s="25" t="s">
        <v>612</v>
      </c>
      <c r="K114" s="30"/>
      <c r="L114" s="32"/>
      <c r="M114" s="32"/>
    </row>
    <row r="115" spans="1:13" s="252" customFormat="1" ht="41.4" x14ac:dyDescent="0.3">
      <c r="A115" s="322" t="s">
        <v>174</v>
      </c>
      <c r="B115" s="322" t="s">
        <v>35</v>
      </c>
      <c r="C115" s="323" t="s">
        <v>313</v>
      </c>
      <c r="D115" s="201" t="s">
        <v>314</v>
      </c>
      <c r="E115" s="245" t="s">
        <v>86</v>
      </c>
      <c r="F115" s="30">
        <v>2</v>
      </c>
      <c r="G115" s="30" t="s">
        <v>724</v>
      </c>
      <c r="H115" s="30">
        <f>ROUND(G115*(1+$I$8),2)</f>
        <v>367.59</v>
      </c>
      <c r="I115" s="30">
        <f>TRUNC($F115*H115,2)</f>
        <v>735.18</v>
      </c>
      <c r="J115" s="25" t="s">
        <v>612</v>
      </c>
      <c r="K115" s="30"/>
      <c r="L115" s="32"/>
      <c r="M115" s="32"/>
    </row>
    <row r="116" spans="1:13" s="252" customFormat="1" ht="22.8" customHeight="1" x14ac:dyDescent="0.3">
      <c r="A116" s="322" t="s">
        <v>174</v>
      </c>
      <c r="B116" s="322" t="s">
        <v>35</v>
      </c>
      <c r="C116" s="323" t="s">
        <v>440</v>
      </c>
      <c r="D116" s="201" t="s">
        <v>439</v>
      </c>
      <c r="E116" s="245" t="s">
        <v>88</v>
      </c>
      <c r="F116" s="30">
        <v>1798.52</v>
      </c>
      <c r="G116" s="30">
        <v>2.1</v>
      </c>
      <c r="H116" s="30">
        <f>ROUND(G116*(1+$I$8),2)</f>
        <v>2.5299999999999998</v>
      </c>
      <c r="I116" s="30">
        <f>TRUNC($F116*H116,2)</f>
        <v>4550.25</v>
      </c>
      <c r="J116" s="25" t="s">
        <v>612</v>
      </c>
      <c r="K116" s="30"/>
      <c r="L116" s="32"/>
      <c r="M116" s="32"/>
    </row>
    <row r="117" spans="1:13" s="220" customFormat="1" x14ac:dyDescent="0.3">
      <c r="A117" s="214"/>
      <c r="B117" s="215"/>
      <c r="C117" s="215"/>
      <c r="D117" s="216"/>
      <c r="E117" s="217"/>
      <c r="F117" s="218"/>
      <c r="G117" s="218"/>
      <c r="H117" s="218"/>
      <c r="I117" s="218"/>
      <c r="K117" s="218"/>
      <c r="L117" s="221"/>
    </row>
    <row r="118" spans="1:13" s="48" customFormat="1" x14ac:dyDescent="0.3">
      <c r="A118" s="539" t="str">
        <f>UPPER([11]!VExtensoFree(I118))</f>
        <v>DOIS MILHÕES, QUINHENTOS E NOVENTA MIL, DUZENTOS E NOVENTA E CINCO REAIS E DEZENOVE CENTAVOS</v>
      </c>
      <c r="B118" s="539"/>
      <c r="C118" s="539"/>
      <c r="D118" s="539"/>
      <c r="E118" s="539"/>
      <c r="F118" s="539"/>
      <c r="G118" s="540" t="s">
        <v>127</v>
      </c>
      <c r="H118" s="541"/>
      <c r="I118" s="207">
        <f>SUM(I11:I117)/2</f>
        <v>2590295.1900000018</v>
      </c>
      <c r="K118" s="49"/>
      <c r="M118" s="471">
        <v>51805.9</v>
      </c>
    </row>
    <row r="119" spans="1:13" s="25" customFormat="1" x14ac:dyDescent="0.3">
      <c r="G119" s="96"/>
      <c r="H119" s="24"/>
      <c r="I119" s="150"/>
      <c r="K119" s="24"/>
      <c r="M119" s="472">
        <f>M118/I118</f>
        <v>1.999999853298572E-2</v>
      </c>
    </row>
    <row r="120" spans="1:13" s="25" customFormat="1" x14ac:dyDescent="0.3">
      <c r="G120" s="96"/>
      <c r="H120" s="24"/>
      <c r="I120" s="341">
        <f>SUMIF(F11:F117,"&gt;0",I11:I117)</f>
        <v>2590295.189999999</v>
      </c>
      <c r="K120" s="24"/>
    </row>
    <row r="121" spans="1:13" x14ac:dyDescent="0.3">
      <c r="I121" s="163"/>
      <c r="M121" s="203">
        <f>I118-M118</f>
        <v>2538489.2900000019</v>
      </c>
    </row>
    <row r="122" spans="1:13" x14ac:dyDescent="0.3">
      <c r="I122" s="203">
        <f>SUM(I12,I15,I27,I35,I41,I47,I53,I62,I71,I78,I95,I112)</f>
        <v>2590295.1900000004</v>
      </c>
    </row>
    <row r="124" spans="1:13" x14ac:dyDescent="0.3">
      <c r="I124" s="203">
        <f>SUM(I11:I118)/3</f>
        <v>2590295.1900000018</v>
      </c>
    </row>
    <row r="126" spans="1:13" x14ac:dyDescent="0.3">
      <c r="I126" s="203"/>
      <c r="L126" s="155" t="str">
        <f>[11]!VExtensoFree(M118)</f>
        <v>cinquenta e um mil, oitocentos e cinco reais e noventa centavos</v>
      </c>
    </row>
    <row r="127" spans="1:13" x14ac:dyDescent="0.3">
      <c r="I127" s="203"/>
    </row>
    <row r="128" spans="1:13" x14ac:dyDescent="0.3">
      <c r="I128" s="203"/>
    </row>
    <row r="129" spans="7:9" x14ac:dyDescent="0.3">
      <c r="G129" s="231"/>
      <c r="H129" s="158"/>
      <c r="I129" s="50"/>
    </row>
    <row r="130" spans="7:9" x14ac:dyDescent="0.3">
      <c r="G130" s="230"/>
      <c r="H130" s="95"/>
      <c r="I130" s="31"/>
    </row>
    <row r="131" spans="7:9" x14ac:dyDescent="0.3">
      <c r="I131" s="203"/>
    </row>
    <row r="133" spans="7:9" x14ac:dyDescent="0.3">
      <c r="H133" s="95"/>
      <c r="I133" s="203"/>
    </row>
  </sheetData>
  <mergeCells count="7">
    <mergeCell ref="G8:H8"/>
    <mergeCell ref="G9:I9"/>
    <mergeCell ref="A118:F118"/>
    <mergeCell ref="G118:H118"/>
    <mergeCell ref="A1:I1"/>
    <mergeCell ref="A2:E2"/>
    <mergeCell ref="G7:H7"/>
  </mergeCells>
  <phoneticPr fontId="11" type="noConversion"/>
  <printOptions horizontalCentered="1"/>
  <pageMargins left="0.59055118110236227" right="0.59055118110236227" top="1.3779527559055118" bottom="0.59055118110236227" header="0.39370078740157483" footer="0.39370078740157483"/>
  <pageSetup paperSize="9" scale="71" fitToHeight="0" orientation="portrait" r:id="rId1"/>
  <headerFooter>
    <oddHeader>&amp;L&amp;G&amp;R&amp;G</oddHeader>
    <oddFooter>Página &amp;P de &amp;N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72FA1-8B6F-40E2-8394-1A54E03D8F6E}">
  <sheetPr>
    <tabColor rgb="FF92D050"/>
    <pageSetUpPr fitToPage="1"/>
  </sheetPr>
  <dimension ref="A1:K410"/>
  <sheetViews>
    <sheetView view="pageBreakPreview" topLeftCell="A12" zoomScale="90" zoomScaleSheetLayoutView="90" workbookViewId="0">
      <pane ySplit="1008" activePane="bottomLeft"/>
      <selection activeCell="L12" sqref="L1:L1048576"/>
      <selection pane="bottomLeft" activeCell="S205" sqref="S205"/>
    </sheetView>
  </sheetViews>
  <sheetFormatPr defaultColWidth="9.109375" defaultRowHeight="13.8" x14ac:dyDescent="0.3"/>
  <cols>
    <col min="1" max="1" width="7.44140625" style="155" customWidth="1"/>
    <col min="2" max="2" width="50.6640625" style="155" customWidth="1"/>
    <col min="3" max="3" width="4.5546875" style="155" customWidth="1"/>
    <col min="4" max="4" width="9" style="155" bestFit="1" customWidth="1"/>
    <col min="5" max="5" width="9.33203125" style="155" customWidth="1"/>
    <col min="6" max="6" width="7.88671875" style="155" customWidth="1"/>
    <col min="7" max="7" width="8.6640625" style="155" bestFit="1" customWidth="1"/>
    <col min="8" max="8" width="8.88671875" style="155" bestFit="1" customWidth="1"/>
    <col min="9" max="9" width="5.44140625" style="155" bestFit="1" customWidth="1"/>
    <col min="10" max="10" width="12.33203125" style="156" bestFit="1" customWidth="1"/>
    <col min="11" max="11" width="12.88671875" style="155" customWidth="1"/>
    <col min="12" max="14" width="11.33203125" style="155" customWidth="1"/>
    <col min="15" max="16384" width="9.109375" style="155"/>
  </cols>
  <sheetData>
    <row r="1" spans="1:11" s="25" customFormat="1" ht="15.6" x14ac:dyDescent="0.3">
      <c r="A1" s="528" t="s">
        <v>27</v>
      </c>
      <c r="B1" s="530"/>
      <c r="C1" s="530"/>
      <c r="D1" s="530"/>
      <c r="E1" s="530"/>
      <c r="F1" s="530"/>
      <c r="G1" s="530"/>
      <c r="H1" s="531"/>
      <c r="J1" s="24"/>
    </row>
    <row r="2" spans="1:11" s="25" customFormat="1" x14ac:dyDescent="0.3">
      <c r="A2" s="532" t="s">
        <v>0</v>
      </c>
      <c r="B2" s="533"/>
      <c r="C2" s="533"/>
      <c r="D2" s="533"/>
      <c r="E2" s="533"/>
      <c r="F2" s="533"/>
      <c r="G2" s="533"/>
      <c r="H2" s="534"/>
      <c r="J2" s="24"/>
    </row>
    <row r="3" spans="1:11" s="25" customFormat="1" x14ac:dyDescent="0.3">
      <c r="A3" s="170"/>
      <c r="B3" s="170"/>
      <c r="C3" s="170"/>
      <c r="D3" s="170"/>
      <c r="E3" s="170"/>
      <c r="F3" s="170"/>
      <c r="G3" s="170"/>
      <c r="H3" s="170"/>
      <c r="J3" s="24"/>
    </row>
    <row r="4" spans="1:11" ht="13.95" customHeight="1" x14ac:dyDescent="0.3">
      <c r="A4" s="52" t="s">
        <v>607</v>
      </c>
      <c r="B4" s="161"/>
      <c r="C4" s="161"/>
      <c r="D4" s="161"/>
      <c r="E4" s="161"/>
      <c r="F4" s="161"/>
      <c r="G4" s="161"/>
      <c r="H4" s="161"/>
    </row>
    <row r="5" spans="1:11" x14ac:dyDescent="0.3">
      <c r="A5" s="39" t="s">
        <v>608</v>
      </c>
      <c r="B5" s="159"/>
      <c r="C5" s="159"/>
      <c r="D5" s="159"/>
      <c r="E5" s="159"/>
      <c r="F5" s="159"/>
      <c r="G5" s="159"/>
      <c r="H5" s="159"/>
    </row>
    <row r="6" spans="1:11" s="25" customFormat="1" x14ac:dyDescent="0.3">
      <c r="A6" s="39" t="s">
        <v>609</v>
      </c>
      <c r="B6" s="170"/>
      <c r="C6" s="170"/>
      <c r="D6" s="170"/>
      <c r="E6" s="170"/>
      <c r="F6" s="170"/>
      <c r="G6" s="170"/>
      <c r="H6" s="170"/>
      <c r="J6" s="24"/>
    </row>
    <row r="7" spans="1:11" s="45" customFormat="1" x14ac:dyDescent="0.3">
      <c r="A7" s="209" t="s">
        <v>1</v>
      </c>
      <c r="B7" s="209" t="s">
        <v>2</v>
      </c>
      <c r="C7" s="209" t="s">
        <v>3</v>
      </c>
      <c r="D7" s="27" t="s">
        <v>4</v>
      </c>
      <c r="E7" s="27" t="s">
        <v>69</v>
      </c>
      <c r="F7" s="27" t="s">
        <v>70</v>
      </c>
      <c r="G7" s="27" t="s">
        <v>5</v>
      </c>
      <c r="H7" s="27" t="s">
        <v>6</v>
      </c>
      <c r="I7" s="164"/>
      <c r="J7" s="46"/>
      <c r="K7" s="47"/>
    </row>
    <row r="8" spans="1:11" s="25" customFormat="1" x14ac:dyDescent="0.3">
      <c r="A8" s="35"/>
      <c r="B8" s="149"/>
      <c r="C8" s="35"/>
      <c r="D8" s="37"/>
      <c r="E8" s="37"/>
      <c r="F8" s="37"/>
      <c r="G8" s="37"/>
      <c r="H8" s="37"/>
      <c r="J8" s="34"/>
    </row>
    <row r="9" spans="1:11" s="171" customFormat="1" x14ac:dyDescent="0.3">
      <c r="A9" s="328" t="s">
        <v>7</v>
      </c>
      <c r="B9" s="199" t="s">
        <v>219</v>
      </c>
      <c r="C9" s="243"/>
      <c r="D9" s="28"/>
      <c r="E9" s="28"/>
      <c r="F9" s="28"/>
      <c r="G9" s="28"/>
      <c r="H9" s="28"/>
      <c r="I9" s="54"/>
      <c r="J9" s="340"/>
      <c r="K9" s="202"/>
    </row>
    <row r="10" spans="1:11" s="25" customFormat="1" x14ac:dyDescent="0.3">
      <c r="A10" s="320"/>
      <c r="B10" s="149"/>
      <c r="C10" s="244"/>
      <c r="D10" s="34"/>
      <c r="E10" s="34"/>
      <c r="F10" s="34"/>
      <c r="G10" s="34"/>
      <c r="H10" s="37"/>
      <c r="J10" s="34"/>
      <c r="K10" s="38"/>
    </row>
    <row r="11" spans="1:11" s="32" customFormat="1" x14ac:dyDescent="0.3">
      <c r="A11" s="322" t="s">
        <v>8</v>
      </c>
      <c r="B11" s="201" t="s">
        <v>220</v>
      </c>
      <c r="C11" s="245" t="s">
        <v>86</v>
      </c>
      <c r="D11" s="246"/>
      <c r="E11" s="246"/>
      <c r="F11" s="31"/>
      <c r="G11" s="31"/>
      <c r="H11" s="31"/>
      <c r="I11" s="25" t="s">
        <v>451</v>
      </c>
    </row>
    <row r="12" spans="1:11" s="32" customFormat="1" ht="60.75" customHeight="1" x14ac:dyDescent="0.3">
      <c r="A12" s="322"/>
      <c r="B12" s="424" t="s">
        <v>661</v>
      </c>
      <c r="C12" s="248"/>
      <c r="D12" s="34">
        <v>1</v>
      </c>
      <c r="E12" s="30"/>
      <c r="F12" s="30"/>
      <c r="G12" s="30"/>
      <c r="H12" s="30">
        <f>ROUND(PRODUCT(D12:G12),2)</f>
        <v>1</v>
      </c>
      <c r="J12" s="30"/>
      <c r="K12" s="25"/>
    </row>
    <row r="13" spans="1:11" s="25" customFormat="1" x14ac:dyDescent="0.3">
      <c r="A13" s="321"/>
      <c r="B13" s="36" t="str">
        <f>"Total item "&amp;A11</f>
        <v>Total item 1.1</v>
      </c>
      <c r="C13" s="244"/>
      <c r="D13" s="34"/>
      <c r="E13" s="34"/>
      <c r="F13" s="34"/>
      <c r="G13" s="34"/>
      <c r="H13" s="28">
        <f>SUM(H12:H12)</f>
        <v>1</v>
      </c>
      <c r="J13" s="34"/>
    </row>
    <row r="14" spans="1:11" s="25" customFormat="1" x14ac:dyDescent="0.3">
      <c r="A14" s="320"/>
      <c r="B14" s="149"/>
      <c r="C14" s="244"/>
      <c r="D14" s="34"/>
      <c r="E14" s="34"/>
      <c r="F14" s="34"/>
      <c r="G14" s="34"/>
      <c r="H14" s="37"/>
      <c r="J14" s="34"/>
      <c r="K14" s="38"/>
    </row>
    <row r="15" spans="1:11" s="171" customFormat="1" x14ac:dyDescent="0.3">
      <c r="A15" s="328" t="s">
        <v>9</v>
      </c>
      <c r="B15" s="199" t="s">
        <v>131</v>
      </c>
      <c r="C15" s="243"/>
      <c r="D15" s="28"/>
      <c r="E15" s="28"/>
      <c r="F15" s="28"/>
      <c r="G15" s="28"/>
      <c r="H15" s="28"/>
      <c r="J15" s="28"/>
      <c r="K15" s="202"/>
    </row>
    <row r="16" spans="1:11" s="25" customFormat="1" x14ac:dyDescent="0.3">
      <c r="A16" s="320"/>
      <c r="B16" s="149"/>
      <c r="C16" s="244"/>
      <c r="D16" s="34"/>
      <c r="E16" s="34"/>
      <c r="F16" s="34"/>
      <c r="G16" s="34"/>
      <c r="H16" s="37"/>
      <c r="J16" s="34"/>
      <c r="K16" s="38"/>
    </row>
    <row r="17" spans="1:11" s="32" customFormat="1" ht="41.4" x14ac:dyDescent="0.3">
      <c r="A17" s="322" t="s">
        <v>114</v>
      </c>
      <c r="B17" s="201" t="s">
        <v>449</v>
      </c>
      <c r="C17" s="245" t="s">
        <v>88</v>
      </c>
      <c r="D17" s="31"/>
      <c r="E17" s="31"/>
      <c r="F17" s="31"/>
      <c r="G17" s="31"/>
      <c r="H17" s="31"/>
      <c r="I17" s="25" t="s">
        <v>612</v>
      </c>
      <c r="J17" s="30"/>
    </row>
    <row r="18" spans="1:11" s="32" customFormat="1" x14ac:dyDescent="0.3">
      <c r="A18" s="322"/>
      <c r="B18" s="213" t="s">
        <v>132</v>
      </c>
      <c r="C18" s="248"/>
      <c r="D18" s="34"/>
      <c r="E18" s="30">
        <v>6</v>
      </c>
      <c r="F18" s="30"/>
      <c r="G18" s="30">
        <v>4.5</v>
      </c>
      <c r="H18" s="30">
        <f>ROUND(PRODUCT(D18:G18),2)</f>
        <v>27</v>
      </c>
      <c r="J18" s="30"/>
      <c r="K18" s="25"/>
    </row>
    <row r="19" spans="1:11" s="25" customFormat="1" x14ac:dyDescent="0.3">
      <c r="A19" s="321"/>
      <c r="B19" s="36" t="str">
        <f>"Total item "&amp;A17</f>
        <v>Total item 2.1</v>
      </c>
      <c r="C19" s="244"/>
      <c r="D19" s="34"/>
      <c r="E19" s="34"/>
      <c r="F19" s="34"/>
      <c r="G19" s="34"/>
      <c r="H19" s="28">
        <f>SUM(H18:H18)</f>
        <v>27</v>
      </c>
      <c r="J19" s="34"/>
    </row>
    <row r="20" spans="1:11" s="25" customFormat="1" x14ac:dyDescent="0.3">
      <c r="A20" s="320"/>
      <c r="B20" s="149"/>
      <c r="C20" s="244"/>
      <c r="D20" s="34"/>
      <c r="E20" s="34"/>
      <c r="F20" s="34"/>
      <c r="G20" s="34"/>
      <c r="H20" s="37"/>
      <c r="J20" s="34"/>
      <c r="K20" s="38"/>
    </row>
    <row r="21" spans="1:11" s="32" customFormat="1" ht="41.4" x14ac:dyDescent="0.3">
      <c r="A21" s="322" t="s">
        <v>185</v>
      </c>
      <c r="B21" s="201" t="s">
        <v>617</v>
      </c>
      <c r="C21" s="245" t="s">
        <v>88</v>
      </c>
      <c r="D21" s="31"/>
      <c r="E21" s="31" t="s">
        <v>622</v>
      </c>
      <c r="F21" s="31"/>
      <c r="G21" s="31"/>
      <c r="H21" s="31"/>
      <c r="I21" s="25" t="s">
        <v>612</v>
      </c>
      <c r="J21" s="30"/>
    </row>
    <row r="22" spans="1:11" s="32" customFormat="1" x14ac:dyDescent="0.3">
      <c r="A22" s="322"/>
      <c r="B22" s="213" t="s">
        <v>619</v>
      </c>
      <c r="C22" s="248"/>
      <c r="D22" s="34"/>
      <c r="E22" s="30">
        <v>1562.66</v>
      </c>
      <c r="F22" s="30"/>
      <c r="G22" s="30"/>
      <c r="H22" s="30">
        <f>ROUND(PRODUCT(D22:G22),2)</f>
        <v>1562.66</v>
      </c>
      <c r="J22" s="30"/>
      <c r="K22" s="25"/>
    </row>
    <row r="23" spans="1:11" s="25" customFormat="1" x14ac:dyDescent="0.3">
      <c r="A23" s="321"/>
      <c r="B23" s="36" t="str">
        <f>"Total item "&amp;A21</f>
        <v>Total item 2.2</v>
      </c>
      <c r="C23" s="244"/>
      <c r="D23" s="34"/>
      <c r="E23" s="34"/>
      <c r="F23" s="34"/>
      <c r="G23" s="34"/>
      <c r="H23" s="28">
        <f>SUM(H22:H22)</f>
        <v>1562.66</v>
      </c>
      <c r="J23" s="34"/>
    </row>
    <row r="24" spans="1:11" s="25" customFormat="1" x14ac:dyDescent="0.3">
      <c r="A24" s="320"/>
      <c r="B24" s="149"/>
      <c r="C24" s="244"/>
      <c r="D24" s="34"/>
      <c r="E24" s="34"/>
      <c r="F24" s="34"/>
      <c r="G24" s="34"/>
      <c r="H24" s="37"/>
      <c r="J24" s="34"/>
      <c r="K24" s="38"/>
    </row>
    <row r="25" spans="1:11" s="32" customFormat="1" ht="41.4" x14ac:dyDescent="0.3">
      <c r="A25" s="322" t="s">
        <v>189</v>
      </c>
      <c r="B25" s="201" t="s">
        <v>623</v>
      </c>
      <c r="C25" s="245" t="s">
        <v>80</v>
      </c>
      <c r="D25" s="31"/>
      <c r="E25" s="31" t="s">
        <v>622</v>
      </c>
      <c r="F25" s="31"/>
      <c r="G25" s="31"/>
      <c r="H25" s="31"/>
      <c r="I25" s="25" t="s">
        <v>612</v>
      </c>
      <c r="J25" s="30"/>
    </row>
    <row r="26" spans="1:11" s="32" customFormat="1" x14ac:dyDescent="0.3">
      <c r="A26" s="322"/>
      <c r="B26" s="213" t="s">
        <v>627</v>
      </c>
      <c r="C26" s="248"/>
      <c r="D26" s="34"/>
      <c r="E26" s="30">
        <v>1798.52</v>
      </c>
      <c r="F26" s="30"/>
      <c r="G26" s="30">
        <v>0.05</v>
      </c>
      <c r="H26" s="30">
        <f>ROUND(PRODUCT(D26:G26),2)</f>
        <v>89.93</v>
      </c>
      <c r="J26" s="30"/>
      <c r="K26" s="25"/>
    </row>
    <row r="27" spans="1:11" s="25" customFormat="1" x14ac:dyDescent="0.3">
      <c r="A27" s="321"/>
      <c r="B27" s="36" t="str">
        <f>"Total item "&amp;A25</f>
        <v>Total item 2.3</v>
      </c>
      <c r="C27" s="244"/>
      <c r="D27" s="34"/>
      <c r="E27" s="34"/>
      <c r="F27" s="34"/>
      <c r="G27" s="34"/>
      <c r="H27" s="28">
        <f>SUM(H26:H26)</f>
        <v>89.93</v>
      </c>
      <c r="J27" s="34"/>
    </row>
    <row r="28" spans="1:11" s="25" customFormat="1" x14ac:dyDescent="0.3">
      <c r="A28" s="320"/>
      <c r="B28" s="149"/>
      <c r="C28" s="244"/>
      <c r="D28" s="34"/>
      <c r="E28" s="34"/>
      <c r="F28" s="34"/>
      <c r="G28" s="34"/>
      <c r="H28" s="37"/>
      <c r="J28" s="34"/>
      <c r="K28" s="38"/>
    </row>
    <row r="29" spans="1:11" s="32" customFormat="1" ht="27.6" x14ac:dyDescent="0.3">
      <c r="A29" s="322" t="s">
        <v>454</v>
      </c>
      <c r="B29" s="201" t="s">
        <v>629</v>
      </c>
      <c r="C29" s="245" t="s">
        <v>88</v>
      </c>
      <c r="D29" s="31"/>
      <c r="E29" s="31" t="s">
        <v>622</v>
      </c>
      <c r="F29" s="31"/>
      <c r="G29" s="31"/>
      <c r="H29" s="31"/>
      <c r="I29" s="25" t="s">
        <v>612</v>
      </c>
      <c r="J29" s="30"/>
    </row>
    <row r="30" spans="1:11" s="32" customFormat="1" x14ac:dyDescent="0.3">
      <c r="A30" s="322"/>
      <c r="B30" s="213" t="s">
        <v>631</v>
      </c>
      <c r="C30" s="248"/>
      <c r="D30" s="34"/>
      <c r="E30" s="30">
        <v>1245.83</v>
      </c>
      <c r="F30" s="30"/>
      <c r="G30" s="30"/>
      <c r="H30" s="30">
        <f>ROUND(PRODUCT(D30:G30),2)</f>
        <v>1245.83</v>
      </c>
      <c r="J30" s="30"/>
      <c r="K30" s="25"/>
    </row>
    <row r="31" spans="1:11" s="25" customFormat="1" x14ac:dyDescent="0.3">
      <c r="A31" s="321"/>
      <c r="B31" s="36" t="str">
        <f>"Total item "&amp;A29</f>
        <v>Total item 2.4</v>
      </c>
      <c r="C31" s="244"/>
      <c r="D31" s="34"/>
      <c r="E31" s="34"/>
      <c r="F31" s="34"/>
      <c r="G31" s="34"/>
      <c r="H31" s="28">
        <f>SUM(H30:H30)</f>
        <v>1245.83</v>
      </c>
      <c r="J31" s="34"/>
    </row>
    <row r="32" spans="1:11" s="25" customFormat="1" x14ac:dyDescent="0.3">
      <c r="A32" s="320"/>
      <c r="B32" s="149"/>
      <c r="C32" s="244"/>
      <c r="D32" s="34"/>
      <c r="E32" s="34"/>
      <c r="F32" s="34"/>
      <c r="G32" s="34"/>
      <c r="H32" s="37"/>
      <c r="J32" s="34"/>
      <c r="K32" s="38"/>
    </row>
    <row r="33" spans="1:11" s="32" customFormat="1" ht="27.6" x14ac:dyDescent="0.3">
      <c r="A33" s="322" t="s">
        <v>745</v>
      </c>
      <c r="B33" s="201" t="s">
        <v>633</v>
      </c>
      <c r="C33" s="245" t="s">
        <v>88</v>
      </c>
      <c r="D33" s="31"/>
      <c r="E33" s="31" t="s">
        <v>622</v>
      </c>
      <c r="F33" s="31"/>
      <c r="G33" s="31"/>
      <c r="H33" s="31"/>
      <c r="I33" s="25" t="s">
        <v>612</v>
      </c>
      <c r="J33" s="30"/>
    </row>
    <row r="34" spans="1:11" s="32" customFormat="1" x14ac:dyDescent="0.3">
      <c r="A34" s="322"/>
      <c r="B34" s="213" t="s">
        <v>637</v>
      </c>
      <c r="C34" s="248"/>
      <c r="D34" s="34"/>
      <c r="E34" s="30">
        <v>87.42</v>
      </c>
      <c r="F34" s="30"/>
      <c r="G34" s="30"/>
      <c r="H34" s="30">
        <f>ROUND(PRODUCT(D34:G34),2)</f>
        <v>87.42</v>
      </c>
      <c r="J34" s="30"/>
      <c r="K34" s="25"/>
    </row>
    <row r="35" spans="1:11" s="25" customFormat="1" x14ac:dyDescent="0.3">
      <c r="A35" s="321"/>
      <c r="B35" s="36" t="str">
        <f>"Total item "&amp;A33</f>
        <v>Total item 2.5</v>
      </c>
      <c r="C35" s="244"/>
      <c r="D35" s="34"/>
      <c r="E35" s="34"/>
      <c r="F35" s="34"/>
      <c r="G35" s="34"/>
      <c r="H35" s="28">
        <f>SUM(H34:H34)</f>
        <v>87.42</v>
      </c>
      <c r="J35" s="34"/>
    </row>
    <row r="36" spans="1:11" s="25" customFormat="1" x14ac:dyDescent="0.3">
      <c r="A36" s="320"/>
      <c r="B36" s="149"/>
      <c r="C36" s="244"/>
      <c r="D36" s="34"/>
      <c r="E36" s="34"/>
      <c r="F36" s="34"/>
      <c r="G36" s="34"/>
      <c r="H36" s="37"/>
      <c r="J36" s="34"/>
      <c r="K36" s="38"/>
    </row>
    <row r="37" spans="1:11" s="32" customFormat="1" ht="27.6" x14ac:dyDescent="0.3">
      <c r="A37" s="322" t="s">
        <v>746</v>
      </c>
      <c r="B37" s="201" t="s">
        <v>638</v>
      </c>
      <c r="C37" s="245" t="s">
        <v>88</v>
      </c>
      <c r="D37" s="31"/>
      <c r="E37" s="31"/>
      <c r="F37" s="31"/>
      <c r="G37" s="31"/>
      <c r="H37" s="31"/>
      <c r="I37" s="25" t="s">
        <v>612</v>
      </c>
      <c r="J37" s="30"/>
    </row>
    <row r="38" spans="1:11" s="32" customFormat="1" x14ac:dyDescent="0.3">
      <c r="A38" s="322"/>
      <c r="B38" s="213" t="s">
        <v>642</v>
      </c>
      <c r="C38" s="248"/>
      <c r="D38" s="34"/>
      <c r="E38" s="30">
        <v>63</v>
      </c>
      <c r="F38" s="30"/>
      <c r="G38" s="30"/>
      <c r="H38" s="30">
        <f>ROUND(PRODUCT(D38:G38),2)</f>
        <v>63</v>
      </c>
      <c r="J38" s="30"/>
      <c r="K38" s="25"/>
    </row>
    <row r="39" spans="1:11" s="25" customFormat="1" x14ac:dyDescent="0.3">
      <c r="A39" s="321"/>
      <c r="B39" s="36" t="str">
        <f>"Total item "&amp;A37</f>
        <v>Total item 2.6</v>
      </c>
      <c r="C39" s="244"/>
      <c r="D39" s="34"/>
      <c r="E39" s="34"/>
      <c r="F39" s="34"/>
      <c r="G39" s="34"/>
      <c r="H39" s="28">
        <f>SUM(H38:H38)</f>
        <v>63</v>
      </c>
      <c r="J39" s="34"/>
    </row>
    <row r="40" spans="1:11" s="25" customFormat="1" x14ac:dyDescent="0.3">
      <c r="A40" s="320"/>
      <c r="B40" s="149"/>
      <c r="C40" s="244"/>
      <c r="D40" s="34"/>
      <c r="E40" s="34"/>
      <c r="F40" s="34"/>
      <c r="G40" s="34"/>
      <c r="H40" s="37"/>
      <c r="J40" s="34"/>
      <c r="K40" s="38"/>
    </row>
    <row r="41" spans="1:11" s="32" customFormat="1" x14ac:dyDescent="0.3">
      <c r="A41" s="322" t="s">
        <v>747</v>
      </c>
      <c r="B41" s="201" t="s">
        <v>671</v>
      </c>
      <c r="C41" s="245" t="s">
        <v>87</v>
      </c>
      <c r="D41" s="31"/>
      <c r="E41" s="31"/>
      <c r="F41" s="31"/>
      <c r="G41" s="31"/>
      <c r="H41" s="31"/>
      <c r="I41" s="25" t="s">
        <v>612</v>
      </c>
      <c r="J41" s="30"/>
    </row>
    <row r="42" spans="1:11" s="32" customFormat="1" x14ac:dyDescent="0.3">
      <c r="A42" s="322"/>
      <c r="B42" s="213" t="s">
        <v>482</v>
      </c>
      <c r="C42" s="248"/>
      <c r="D42" s="34"/>
      <c r="E42" s="30">
        <v>80</v>
      </c>
      <c r="F42" s="30"/>
      <c r="G42" s="30"/>
      <c r="H42" s="30">
        <f>ROUND(PRODUCT(D42:G42),2)</f>
        <v>80</v>
      </c>
      <c r="J42" s="30"/>
      <c r="K42" s="25"/>
    </row>
    <row r="43" spans="1:11" s="25" customFormat="1" x14ac:dyDescent="0.3">
      <c r="A43" s="321"/>
      <c r="B43" s="36" t="str">
        <f>"Total item "&amp;A41</f>
        <v>Total item 2.7</v>
      </c>
      <c r="C43" s="244"/>
      <c r="D43" s="34"/>
      <c r="E43" s="34"/>
      <c r="F43" s="34"/>
      <c r="G43" s="34"/>
      <c r="H43" s="28">
        <f>SUM(H41:H42)</f>
        <v>80</v>
      </c>
      <c r="J43" s="34"/>
    </row>
    <row r="44" spans="1:11" s="25" customFormat="1" x14ac:dyDescent="0.3">
      <c r="A44" s="320"/>
      <c r="B44" s="149"/>
      <c r="C44" s="244"/>
      <c r="D44" s="34"/>
      <c r="E44" s="34"/>
      <c r="F44" s="34"/>
      <c r="G44" s="34"/>
      <c r="H44" s="37"/>
      <c r="J44" s="34"/>
      <c r="K44" s="38"/>
    </row>
    <row r="45" spans="1:11" s="32" customFormat="1" ht="27.6" x14ac:dyDescent="0.3">
      <c r="A45" s="322" t="s">
        <v>862</v>
      </c>
      <c r="B45" s="201" t="s">
        <v>692</v>
      </c>
      <c r="C45" s="245" t="s">
        <v>88</v>
      </c>
      <c r="D45" s="31"/>
      <c r="E45" s="31"/>
      <c r="F45" s="31"/>
      <c r="G45" s="31"/>
      <c r="H45" s="31"/>
      <c r="I45" s="25" t="s">
        <v>612</v>
      </c>
      <c r="J45" s="30"/>
    </row>
    <row r="46" spans="1:11" s="32" customFormat="1" x14ac:dyDescent="0.3">
      <c r="A46" s="322"/>
      <c r="B46" s="213" t="s">
        <v>694</v>
      </c>
      <c r="C46" s="248"/>
      <c r="D46" s="34"/>
      <c r="E46" s="30">
        <v>1226.75</v>
      </c>
      <c r="F46" s="30"/>
      <c r="G46" s="30"/>
      <c r="H46" s="30">
        <f>ROUND(PRODUCT(D46:G46),2)</f>
        <v>1226.75</v>
      </c>
      <c r="J46" s="30"/>
      <c r="K46" s="25"/>
    </row>
    <row r="47" spans="1:11" s="25" customFormat="1" x14ac:dyDescent="0.3">
      <c r="A47" s="321"/>
      <c r="B47" s="36" t="str">
        <f>"Total item "&amp;A45</f>
        <v>Total item 2.8</v>
      </c>
      <c r="C47" s="244"/>
      <c r="D47" s="34"/>
      <c r="E47" s="34"/>
      <c r="F47" s="34"/>
      <c r="G47" s="34"/>
      <c r="H47" s="28">
        <f>SUM(H45:H46)</f>
        <v>1226.75</v>
      </c>
      <c r="J47" s="34"/>
    </row>
    <row r="48" spans="1:11" s="25" customFormat="1" x14ac:dyDescent="0.3">
      <c r="A48" s="320"/>
      <c r="B48" s="149"/>
      <c r="C48" s="244"/>
      <c r="D48" s="34"/>
      <c r="E48" s="34"/>
      <c r="F48" s="34"/>
      <c r="G48" s="34"/>
      <c r="H48" s="37"/>
      <c r="J48" s="34"/>
      <c r="K48" s="38"/>
    </row>
    <row r="49" spans="1:11" s="32" customFormat="1" x14ac:dyDescent="0.3">
      <c r="A49" s="322" t="s">
        <v>863</v>
      </c>
      <c r="B49" s="201" t="s">
        <v>452</v>
      </c>
      <c r="C49" s="245" t="s">
        <v>88</v>
      </c>
      <c r="D49" s="31"/>
      <c r="E49" s="31"/>
      <c r="F49" s="31"/>
      <c r="G49" s="31"/>
      <c r="H49" s="31"/>
      <c r="I49" s="25" t="s">
        <v>612</v>
      </c>
      <c r="J49" s="30"/>
    </row>
    <row r="50" spans="1:11" s="32" customFormat="1" x14ac:dyDescent="0.3">
      <c r="A50" s="322"/>
      <c r="B50" s="253" t="s">
        <v>643</v>
      </c>
      <c r="C50" s="248"/>
      <c r="D50" s="34"/>
      <c r="E50" s="30"/>
      <c r="F50" s="30"/>
      <c r="G50" s="30"/>
      <c r="H50" s="30"/>
      <c r="J50" s="30"/>
      <c r="K50" s="25"/>
    </row>
    <row r="51" spans="1:11" s="32" customFormat="1" x14ac:dyDescent="0.3">
      <c r="A51" s="322"/>
      <c r="B51" s="213" t="s">
        <v>479</v>
      </c>
      <c r="C51" s="248"/>
      <c r="D51" s="34"/>
      <c r="E51" s="30">
        <v>20</v>
      </c>
      <c r="F51" s="30"/>
      <c r="G51" s="30">
        <v>2.2000000000000002</v>
      </c>
      <c r="H51" s="30">
        <f t="shared" ref="H51:H52" si="0">ROUND(PRODUCT(D51:G51),2)</f>
        <v>44</v>
      </c>
      <c r="J51" s="30"/>
      <c r="K51" s="25"/>
    </row>
    <row r="52" spans="1:11" s="32" customFormat="1" x14ac:dyDescent="0.3">
      <c r="A52" s="322"/>
      <c r="B52" s="213" t="s">
        <v>490</v>
      </c>
      <c r="C52" s="248"/>
      <c r="D52" s="34"/>
      <c r="E52" s="30">
        <v>20</v>
      </c>
      <c r="F52" s="30"/>
      <c r="G52" s="30">
        <v>2.2000000000000002</v>
      </c>
      <c r="H52" s="30">
        <f t="shared" si="0"/>
        <v>44</v>
      </c>
      <c r="J52" s="30"/>
      <c r="K52" s="25"/>
    </row>
    <row r="53" spans="1:11" s="25" customFormat="1" x14ac:dyDescent="0.3">
      <c r="A53" s="321"/>
      <c r="B53" s="36" t="str">
        <f>"Total item "&amp;A49</f>
        <v>Total item 2.9</v>
      </c>
      <c r="C53" s="244"/>
      <c r="D53" s="34"/>
      <c r="E53" s="34"/>
      <c r="F53" s="34"/>
      <c r="G53" s="34"/>
      <c r="H53" s="28">
        <f>SUM(H50:H52)</f>
        <v>88</v>
      </c>
      <c r="J53" s="34"/>
    </row>
    <row r="54" spans="1:11" s="25" customFormat="1" x14ac:dyDescent="0.3">
      <c r="A54" s="320"/>
      <c r="B54" s="201"/>
      <c r="C54" s="244"/>
      <c r="D54" s="34"/>
      <c r="E54" s="34"/>
      <c r="F54" s="34"/>
      <c r="G54" s="34"/>
      <c r="H54" s="37"/>
      <c r="J54" s="34"/>
      <c r="K54" s="38"/>
    </row>
    <row r="55" spans="1:11" s="32" customFormat="1" ht="41.4" x14ac:dyDescent="0.3">
      <c r="A55" s="322" t="s">
        <v>864</v>
      </c>
      <c r="B55" s="201" t="s">
        <v>453</v>
      </c>
      <c r="C55" s="245" t="s">
        <v>87</v>
      </c>
      <c r="D55" s="31"/>
      <c r="E55" s="31"/>
      <c r="F55" s="31"/>
      <c r="G55" s="31"/>
      <c r="H55" s="31"/>
      <c r="I55" s="25" t="s">
        <v>612</v>
      </c>
      <c r="J55" s="30"/>
    </row>
    <row r="56" spans="1:11" s="32" customFormat="1" x14ac:dyDescent="0.3">
      <c r="A56" s="322"/>
      <c r="B56" s="213" t="s">
        <v>628</v>
      </c>
      <c r="C56" s="245"/>
      <c r="D56" s="30">
        <v>4</v>
      </c>
      <c r="E56" s="30">
        <v>2</v>
      </c>
      <c r="F56" s="31"/>
      <c r="G56" s="31"/>
      <c r="H56" s="30">
        <f t="shared" ref="H56" si="1">ROUND(PRODUCT(D56:G56),2)</f>
        <v>8</v>
      </c>
      <c r="I56" s="247"/>
      <c r="J56" s="30"/>
    </row>
    <row r="57" spans="1:11" s="25" customFormat="1" x14ac:dyDescent="0.3">
      <c r="A57" s="321"/>
      <c r="B57" s="36" t="str">
        <f>"Total item "&amp;A55</f>
        <v>Total item 2.10</v>
      </c>
      <c r="C57" s="244"/>
      <c r="D57" s="34"/>
      <c r="E57" s="34"/>
      <c r="F57" s="34"/>
      <c r="G57" s="34"/>
      <c r="H57" s="28">
        <f>SUM(H56:H56)</f>
        <v>8</v>
      </c>
      <c r="J57" s="34"/>
    </row>
    <row r="58" spans="1:11" s="25" customFormat="1" x14ac:dyDescent="0.3">
      <c r="A58" s="320"/>
      <c r="B58" s="149"/>
      <c r="C58" s="244"/>
      <c r="D58" s="34"/>
      <c r="E58" s="34"/>
      <c r="F58" s="34"/>
      <c r="G58" s="34"/>
      <c r="H58" s="37"/>
      <c r="J58" s="34"/>
      <c r="K58" s="38"/>
    </row>
    <row r="59" spans="1:11" s="171" customFormat="1" x14ac:dyDescent="0.3">
      <c r="A59" s="328" t="s">
        <v>10</v>
      </c>
      <c r="B59" s="199" t="s">
        <v>682</v>
      </c>
      <c r="C59" s="243"/>
      <c r="D59" s="28"/>
      <c r="E59" s="28"/>
      <c r="F59" s="28"/>
      <c r="G59" s="28"/>
      <c r="H59" s="28"/>
      <c r="J59" s="28"/>
      <c r="K59" s="202"/>
    </row>
    <row r="60" spans="1:11" s="220" customFormat="1" x14ac:dyDescent="0.3">
      <c r="A60" s="329"/>
      <c r="B60" s="216"/>
      <c r="C60" s="250"/>
      <c r="D60" s="218"/>
      <c r="E60" s="218"/>
      <c r="F60" s="218"/>
      <c r="G60" s="218"/>
      <c r="H60" s="219"/>
      <c r="J60" s="218"/>
      <c r="K60" s="221"/>
    </row>
    <row r="61" spans="1:11" s="32" customFormat="1" ht="69" x14ac:dyDescent="0.3">
      <c r="A61" s="322" t="s">
        <v>135</v>
      </c>
      <c r="B61" s="201" t="s">
        <v>683</v>
      </c>
      <c r="C61" s="245" t="s">
        <v>87</v>
      </c>
      <c r="D61" s="31"/>
      <c r="E61" s="31"/>
      <c r="F61" s="31"/>
      <c r="G61" s="31"/>
      <c r="H61" s="31"/>
      <c r="I61" s="25" t="s">
        <v>612</v>
      </c>
      <c r="J61" s="30"/>
    </row>
    <row r="62" spans="1:11" s="32" customFormat="1" x14ac:dyDescent="0.3">
      <c r="A62" s="322"/>
      <c r="B62" s="213" t="s">
        <v>687</v>
      </c>
      <c r="C62" s="245"/>
      <c r="D62" s="30"/>
      <c r="E62" s="30">
        <v>50</v>
      </c>
      <c r="F62" s="30"/>
      <c r="G62" s="30"/>
      <c r="H62" s="34">
        <f t="shared" ref="H62:H64" si="2">ROUND(PRODUCT(D62:G62),2)</f>
        <v>50</v>
      </c>
      <c r="I62" s="247"/>
      <c r="J62" s="30"/>
    </row>
    <row r="63" spans="1:11" s="32" customFormat="1" x14ac:dyDescent="0.3">
      <c r="A63" s="322"/>
      <c r="B63" s="213" t="s">
        <v>688</v>
      </c>
      <c r="C63" s="245"/>
      <c r="D63" s="30"/>
      <c r="E63" s="30">
        <v>60</v>
      </c>
      <c r="F63" s="30"/>
      <c r="G63" s="30"/>
      <c r="H63" s="34">
        <f t="shared" si="2"/>
        <v>60</v>
      </c>
      <c r="I63" s="247"/>
      <c r="J63" s="30"/>
    </row>
    <row r="64" spans="1:11" s="32" customFormat="1" x14ac:dyDescent="0.3">
      <c r="A64" s="322"/>
      <c r="B64" s="213" t="s">
        <v>689</v>
      </c>
      <c r="C64" s="245"/>
      <c r="D64" s="30"/>
      <c r="E64" s="30">
        <v>40</v>
      </c>
      <c r="F64" s="30"/>
      <c r="G64" s="30"/>
      <c r="H64" s="34">
        <f t="shared" si="2"/>
        <v>40</v>
      </c>
      <c r="I64" s="247"/>
      <c r="J64" s="30"/>
    </row>
    <row r="65" spans="1:11" s="25" customFormat="1" x14ac:dyDescent="0.3">
      <c r="A65" s="321"/>
      <c r="B65" s="36" t="str">
        <f>"Total item "&amp;A61</f>
        <v>Total item 3.1</v>
      </c>
      <c r="C65" s="244"/>
      <c r="D65" s="31"/>
      <c r="E65" s="34"/>
      <c r="F65" s="34"/>
      <c r="G65" s="34"/>
      <c r="H65" s="28">
        <f>SUM(H62:H64)</f>
        <v>150</v>
      </c>
      <c r="J65" s="34"/>
    </row>
    <row r="66" spans="1:11" s="220" customFormat="1" x14ac:dyDescent="0.3">
      <c r="A66" s="329"/>
      <c r="B66" s="216"/>
      <c r="C66" s="250"/>
      <c r="D66" s="218"/>
      <c r="E66" s="218"/>
      <c r="F66" s="218"/>
      <c r="G66" s="218"/>
      <c r="H66" s="219"/>
      <c r="J66" s="218"/>
      <c r="K66" s="221"/>
    </row>
    <row r="67" spans="1:11" s="32" customFormat="1" ht="41.4" x14ac:dyDescent="0.3">
      <c r="A67" s="322" t="s">
        <v>157</v>
      </c>
      <c r="B67" s="201" t="s">
        <v>695</v>
      </c>
      <c r="C67" s="245" t="s">
        <v>86</v>
      </c>
      <c r="D67" s="31"/>
      <c r="E67" s="31"/>
      <c r="F67" s="31"/>
      <c r="G67" s="31"/>
      <c r="H67" s="31"/>
      <c r="I67" s="25" t="s">
        <v>612</v>
      </c>
      <c r="J67" s="30"/>
    </row>
    <row r="68" spans="1:11" s="32" customFormat="1" x14ac:dyDescent="0.3">
      <c r="A68" s="322"/>
      <c r="B68" s="213" t="s">
        <v>687</v>
      </c>
      <c r="C68" s="248"/>
      <c r="D68" s="30">
        <v>4</v>
      </c>
      <c r="E68" s="30"/>
      <c r="F68" s="31"/>
      <c r="G68" s="31"/>
      <c r="H68" s="34">
        <f t="shared" ref="H68:H70" si="3">ROUND(PRODUCT(D68:G68),2)</f>
        <v>4</v>
      </c>
      <c r="J68" s="30"/>
    </row>
    <row r="69" spans="1:11" s="32" customFormat="1" x14ac:dyDescent="0.3">
      <c r="A69" s="322"/>
      <c r="B69" s="213" t="s">
        <v>688</v>
      </c>
      <c r="C69" s="248"/>
      <c r="D69" s="30">
        <v>5</v>
      </c>
      <c r="E69" s="447" t="s">
        <v>702</v>
      </c>
      <c r="F69" s="31"/>
      <c r="G69" s="31"/>
      <c r="H69" s="34">
        <f t="shared" si="3"/>
        <v>5</v>
      </c>
      <c r="J69" s="30"/>
    </row>
    <row r="70" spans="1:11" s="32" customFormat="1" x14ac:dyDescent="0.3">
      <c r="A70" s="322"/>
      <c r="B70" s="213" t="s">
        <v>689</v>
      </c>
      <c r="C70" s="248"/>
      <c r="D70" s="30">
        <v>3</v>
      </c>
      <c r="E70" s="30"/>
      <c r="F70" s="30"/>
      <c r="G70" s="30"/>
      <c r="H70" s="34">
        <f t="shared" si="3"/>
        <v>3</v>
      </c>
      <c r="J70" s="30"/>
      <c r="K70" s="25"/>
    </row>
    <row r="71" spans="1:11" s="25" customFormat="1" x14ac:dyDescent="0.3">
      <c r="A71" s="321"/>
      <c r="B71" s="36" t="str">
        <f>"Total item "&amp;A67</f>
        <v>Total item 3.2</v>
      </c>
      <c r="C71" s="244"/>
      <c r="D71" s="34"/>
      <c r="E71" s="34"/>
      <c r="F71" s="34"/>
      <c r="G71" s="34"/>
      <c r="H71" s="28">
        <f>SUM(H68:H70)</f>
        <v>12</v>
      </c>
      <c r="J71" s="34"/>
    </row>
    <row r="72" spans="1:11" s="220" customFormat="1" x14ac:dyDescent="0.3">
      <c r="A72" s="329"/>
      <c r="B72" s="216"/>
      <c r="C72" s="250"/>
      <c r="D72" s="218"/>
      <c r="E72" s="218"/>
      <c r="F72" s="218"/>
      <c r="G72" s="218"/>
      <c r="H72" s="219"/>
      <c r="J72" s="218"/>
      <c r="K72" s="221"/>
    </row>
    <row r="73" spans="1:11" s="32" customFormat="1" ht="55.2" x14ac:dyDescent="0.3">
      <c r="A73" s="322" t="s">
        <v>186</v>
      </c>
      <c r="B73" s="201" t="s">
        <v>698</v>
      </c>
      <c r="C73" s="245" t="s">
        <v>86</v>
      </c>
      <c r="D73" s="31"/>
      <c r="E73" s="31"/>
      <c r="F73" s="31"/>
      <c r="G73" s="31"/>
      <c r="H73" s="31"/>
      <c r="I73" s="25" t="s">
        <v>612</v>
      </c>
      <c r="J73" s="30"/>
    </row>
    <row r="74" spans="1:11" s="32" customFormat="1" x14ac:dyDescent="0.3">
      <c r="A74" s="322"/>
      <c r="B74" s="213" t="s">
        <v>688</v>
      </c>
      <c r="C74" s="248"/>
      <c r="D74" s="30">
        <v>1</v>
      </c>
      <c r="E74" s="31"/>
      <c r="F74" s="31"/>
      <c r="G74" s="31"/>
      <c r="H74" s="34">
        <f t="shared" ref="H74:H75" si="4">ROUND(PRODUCT(D74:G74),2)</f>
        <v>1</v>
      </c>
      <c r="J74" s="30"/>
    </row>
    <row r="75" spans="1:11" s="32" customFormat="1" x14ac:dyDescent="0.3">
      <c r="A75" s="322"/>
      <c r="B75" s="213" t="s">
        <v>689</v>
      </c>
      <c r="C75" s="248"/>
      <c r="D75" s="30">
        <v>1</v>
      </c>
      <c r="E75" s="30"/>
      <c r="F75" s="30"/>
      <c r="G75" s="30"/>
      <c r="H75" s="34">
        <f t="shared" si="4"/>
        <v>1</v>
      </c>
      <c r="J75" s="30"/>
      <c r="K75" s="25"/>
    </row>
    <row r="76" spans="1:11" s="25" customFormat="1" x14ac:dyDescent="0.3">
      <c r="A76" s="321"/>
      <c r="B76" s="36" t="str">
        <f>"Total item "&amp;A73</f>
        <v>Total item 3.3</v>
      </c>
      <c r="C76" s="244"/>
      <c r="D76" s="34"/>
      <c r="E76" s="34"/>
      <c r="F76" s="34"/>
      <c r="G76" s="34"/>
      <c r="H76" s="28">
        <f>SUM(H74:H75)</f>
        <v>2</v>
      </c>
      <c r="J76" s="34"/>
    </row>
    <row r="77" spans="1:11" s="220" customFormat="1" x14ac:dyDescent="0.3">
      <c r="A77" s="329"/>
      <c r="B77" s="216"/>
      <c r="C77" s="250"/>
      <c r="D77" s="218"/>
      <c r="E77" s="218"/>
      <c r="F77" s="218"/>
      <c r="G77" s="218"/>
      <c r="H77" s="219"/>
      <c r="J77" s="218"/>
      <c r="K77" s="221"/>
    </row>
    <row r="78" spans="1:11" s="32" customFormat="1" x14ac:dyDescent="0.3">
      <c r="A78" s="322" t="s">
        <v>260</v>
      </c>
      <c r="B78" s="201" t="s">
        <v>735</v>
      </c>
      <c r="C78" s="245" t="s">
        <v>88</v>
      </c>
      <c r="D78" s="31"/>
      <c r="E78" s="31"/>
      <c r="F78" s="31"/>
      <c r="G78" s="347"/>
      <c r="H78" s="31"/>
      <c r="I78" s="25" t="s">
        <v>612</v>
      </c>
      <c r="J78" s="30"/>
    </row>
    <row r="79" spans="1:11" s="32" customFormat="1" x14ac:dyDescent="0.3">
      <c r="A79" s="322"/>
      <c r="B79" s="33" t="s">
        <v>737</v>
      </c>
      <c r="C79" s="248"/>
      <c r="D79" s="208"/>
      <c r="E79" s="30">
        <v>300</v>
      </c>
      <c r="F79" s="30">
        <v>0.15</v>
      </c>
      <c r="G79" s="30"/>
      <c r="H79" s="34">
        <f t="shared" ref="H79" si="5">ROUND(PRODUCT(D79:G79),2)</f>
        <v>45</v>
      </c>
      <c r="J79" s="30"/>
    </row>
    <row r="80" spans="1:11" s="25" customFormat="1" x14ac:dyDescent="0.3">
      <c r="A80" s="321"/>
      <c r="B80" s="36" t="str">
        <f>"Total item "&amp;A78</f>
        <v>Total item 3.4</v>
      </c>
      <c r="C80" s="244"/>
      <c r="D80" s="34"/>
      <c r="E80" s="34"/>
      <c r="F80" s="34"/>
      <c r="G80" s="34"/>
      <c r="H80" s="28">
        <f>SUM(H79:H79)</f>
        <v>45</v>
      </c>
      <c r="J80" s="34"/>
    </row>
    <row r="81" spans="1:11" s="220" customFormat="1" x14ac:dyDescent="0.3">
      <c r="A81" s="329"/>
      <c r="B81" s="216"/>
      <c r="C81" s="217"/>
      <c r="D81" s="218"/>
      <c r="E81" s="218"/>
      <c r="F81" s="218"/>
      <c r="G81" s="218"/>
      <c r="H81" s="219"/>
      <c r="J81" s="218"/>
      <c r="K81" s="221"/>
    </row>
    <row r="82" spans="1:11" s="32" customFormat="1" ht="27.6" x14ac:dyDescent="0.3">
      <c r="A82" s="322" t="s">
        <v>459</v>
      </c>
      <c r="B82" s="201" t="s">
        <v>738</v>
      </c>
      <c r="C82" s="29" t="s">
        <v>87</v>
      </c>
      <c r="D82" s="31"/>
      <c r="E82" s="31"/>
      <c r="F82" s="31"/>
      <c r="G82" s="31"/>
      <c r="H82" s="31"/>
      <c r="I82" s="25" t="s">
        <v>612</v>
      </c>
      <c r="J82" s="30"/>
    </row>
    <row r="83" spans="1:11" s="32" customFormat="1" x14ac:dyDescent="0.3">
      <c r="A83" s="322"/>
      <c r="B83" s="33" t="s">
        <v>740</v>
      </c>
      <c r="C83" s="348"/>
      <c r="D83" s="208"/>
      <c r="E83" s="30">
        <f>19+3.2</f>
        <v>22.2</v>
      </c>
      <c r="F83" s="30"/>
      <c r="G83" s="30"/>
      <c r="H83" s="34">
        <f t="shared" ref="H83" si="6">ROUND(PRODUCT(D83:G83),2)</f>
        <v>22.2</v>
      </c>
      <c r="J83" s="30"/>
    </row>
    <row r="84" spans="1:11" s="25" customFormat="1" x14ac:dyDescent="0.3">
      <c r="A84" s="321"/>
      <c r="B84" s="36" t="str">
        <f>"Total item "&amp;A82</f>
        <v>Total item 3.5</v>
      </c>
      <c r="C84" s="353"/>
      <c r="D84" s="34"/>
      <c r="E84" s="34"/>
      <c r="F84" s="34"/>
      <c r="G84" s="34"/>
      <c r="H84" s="28">
        <f>SUM(H83:H83)</f>
        <v>22.2</v>
      </c>
      <c r="J84" s="34"/>
    </row>
    <row r="85" spans="1:11" s="220" customFormat="1" x14ac:dyDescent="0.3">
      <c r="A85" s="329"/>
      <c r="B85" s="216"/>
      <c r="C85" s="217"/>
      <c r="D85" s="218"/>
      <c r="E85" s="218"/>
      <c r="F85" s="218"/>
      <c r="G85" s="218"/>
      <c r="H85" s="219"/>
      <c r="J85" s="218"/>
      <c r="K85" s="221"/>
    </row>
    <row r="86" spans="1:11" s="32" customFormat="1" ht="41.4" x14ac:dyDescent="0.3">
      <c r="A86" s="322" t="s">
        <v>462</v>
      </c>
      <c r="B86" s="201" t="s">
        <v>741</v>
      </c>
      <c r="C86" s="29" t="s">
        <v>87</v>
      </c>
      <c r="D86" s="31"/>
      <c r="E86" s="31"/>
      <c r="F86" s="31"/>
      <c r="G86" s="31"/>
      <c r="H86" s="31"/>
      <c r="I86" s="25" t="s">
        <v>612</v>
      </c>
      <c r="J86" s="30"/>
    </row>
    <row r="87" spans="1:11" s="32" customFormat="1" x14ac:dyDescent="0.3">
      <c r="A87" s="322"/>
      <c r="B87" s="33" t="s">
        <v>744</v>
      </c>
      <c r="C87" s="348"/>
      <c r="D87" s="208"/>
      <c r="E87" s="30">
        <v>50</v>
      </c>
      <c r="F87" s="30"/>
      <c r="G87" s="30"/>
      <c r="H87" s="34">
        <f t="shared" ref="H87" si="7">ROUND(PRODUCT(D87:G87),2)</f>
        <v>50</v>
      </c>
      <c r="J87" s="30"/>
    </row>
    <row r="88" spans="1:11" s="25" customFormat="1" x14ac:dyDescent="0.3">
      <c r="A88" s="321"/>
      <c r="B88" s="36" t="str">
        <f>"Total item "&amp;A86</f>
        <v>Total item 3.6</v>
      </c>
      <c r="C88" s="353"/>
      <c r="D88" s="34"/>
      <c r="E88" s="34"/>
      <c r="F88" s="34"/>
      <c r="G88" s="34"/>
      <c r="H88" s="28">
        <f>SUM(H87:H87)</f>
        <v>50</v>
      </c>
      <c r="J88" s="34"/>
    </row>
    <row r="89" spans="1:11" s="25" customFormat="1" x14ac:dyDescent="0.3">
      <c r="A89" s="320"/>
      <c r="B89" s="36"/>
      <c r="C89" s="244"/>
      <c r="D89" s="34"/>
      <c r="E89" s="34"/>
      <c r="F89" s="34"/>
      <c r="G89" s="34"/>
      <c r="H89" s="37"/>
      <c r="J89" s="34"/>
      <c r="K89" s="38"/>
    </row>
    <row r="90" spans="1:11" s="275" customFormat="1" x14ac:dyDescent="0.3">
      <c r="A90" s="328" t="s">
        <v>11</v>
      </c>
      <c r="B90" s="199" t="s">
        <v>261</v>
      </c>
      <c r="C90" s="243"/>
      <c r="D90" s="28"/>
      <c r="E90" s="28"/>
      <c r="F90" s="28"/>
      <c r="G90" s="28"/>
      <c r="H90" s="28"/>
      <c r="I90" s="171"/>
      <c r="J90" s="28"/>
      <c r="K90" s="202"/>
    </row>
    <row r="91" spans="1:11" s="275" customFormat="1" x14ac:dyDescent="0.3">
      <c r="A91" s="328"/>
      <c r="B91" s="199" t="s">
        <v>461</v>
      </c>
      <c r="C91" s="243"/>
      <c r="D91" s="28"/>
      <c r="E91" s="28"/>
      <c r="F91" s="28"/>
      <c r="G91" s="28"/>
      <c r="H91" s="28"/>
      <c r="I91" s="171"/>
      <c r="J91" s="28"/>
      <c r="K91" s="202"/>
    </row>
    <row r="92" spans="1:11" s="276" customFormat="1" x14ac:dyDescent="0.3">
      <c r="A92" s="320"/>
      <c r="B92" s="36"/>
      <c r="C92" s="244"/>
      <c r="D92" s="34"/>
      <c r="E92" s="34"/>
      <c r="F92" s="34"/>
      <c r="G92" s="34"/>
      <c r="H92" s="37"/>
      <c r="I92" s="25"/>
      <c r="J92" s="34"/>
      <c r="K92" s="38"/>
    </row>
    <row r="93" spans="1:11" s="252" customFormat="1" ht="55.2" x14ac:dyDescent="0.3">
      <c r="A93" s="322" t="s">
        <v>136</v>
      </c>
      <c r="B93" s="201" t="s">
        <v>675</v>
      </c>
      <c r="C93" s="245" t="s">
        <v>124</v>
      </c>
      <c r="D93" s="442"/>
      <c r="E93" s="443" t="s">
        <v>674</v>
      </c>
      <c r="F93" s="443" t="s">
        <v>183</v>
      </c>
      <c r="G93" s="444"/>
      <c r="H93" s="34"/>
      <c r="I93" s="25" t="s">
        <v>612</v>
      </c>
      <c r="J93" s="30"/>
      <c r="K93" s="32"/>
    </row>
    <row r="94" spans="1:11" s="252" customFormat="1" x14ac:dyDescent="0.3">
      <c r="A94" s="322"/>
      <c r="B94" s="33" t="s">
        <v>673</v>
      </c>
      <c r="C94" s="248"/>
      <c r="D94" s="30">
        <v>13</v>
      </c>
      <c r="E94" s="30">
        <v>6.83</v>
      </c>
      <c r="F94" s="30">
        <v>63</v>
      </c>
      <c r="G94" s="30"/>
      <c r="H94" s="34">
        <f t="shared" ref="H94" si="8">ROUND(PRODUCT(D94:G94),2)</f>
        <v>5593.77</v>
      </c>
      <c r="I94" s="32"/>
      <c r="J94" s="30"/>
      <c r="K94" s="25"/>
    </row>
    <row r="95" spans="1:11" s="276" customFormat="1" x14ac:dyDescent="0.3">
      <c r="A95" s="321"/>
      <c r="B95" s="36" t="str">
        <f>"Total item "&amp;A93</f>
        <v>Total item 4.1</v>
      </c>
      <c r="C95" s="244"/>
      <c r="D95" s="34"/>
      <c r="E95" s="34"/>
      <c r="F95" s="34"/>
      <c r="G95" s="34"/>
      <c r="H95" s="28">
        <f>SUM(H94:H94)</f>
        <v>5593.77</v>
      </c>
      <c r="I95" s="25"/>
      <c r="J95" s="34"/>
      <c r="K95" s="25"/>
    </row>
    <row r="96" spans="1:11" s="276" customFormat="1" x14ac:dyDescent="0.3">
      <c r="A96" s="320"/>
      <c r="B96" s="36"/>
      <c r="C96" s="244"/>
      <c r="D96" s="34"/>
      <c r="E96" s="34"/>
      <c r="F96" s="34"/>
      <c r="G96" s="34"/>
      <c r="H96" s="37"/>
      <c r="I96" s="25"/>
      <c r="J96" s="34"/>
      <c r="K96" s="38"/>
    </row>
    <row r="97" spans="1:11" s="275" customFormat="1" ht="11.25" customHeight="1" x14ac:dyDescent="0.3">
      <c r="A97" s="328"/>
      <c r="B97" s="199" t="s">
        <v>262</v>
      </c>
      <c r="C97" s="243"/>
      <c r="D97" s="28"/>
      <c r="E97" s="28"/>
      <c r="F97" s="28"/>
      <c r="G97" s="28"/>
      <c r="H97" s="28"/>
      <c r="I97" s="171"/>
      <c r="J97" s="28"/>
      <c r="K97" s="202"/>
    </row>
    <row r="98" spans="1:11" s="276" customFormat="1" x14ac:dyDescent="0.3">
      <c r="A98" s="320"/>
      <c r="B98" s="36"/>
      <c r="C98" s="244"/>
      <c r="D98" s="34"/>
      <c r="E98" s="34"/>
      <c r="F98" s="34"/>
      <c r="G98" s="34"/>
      <c r="H98" s="37"/>
      <c r="I98" s="25"/>
      <c r="J98" s="34"/>
      <c r="K98" s="38"/>
    </row>
    <row r="99" spans="1:11" s="252" customFormat="1" ht="82.8" x14ac:dyDescent="0.3">
      <c r="A99" s="322" t="s">
        <v>158</v>
      </c>
      <c r="B99" s="201" t="s">
        <v>658</v>
      </c>
      <c r="C99" s="245" t="s">
        <v>88</v>
      </c>
      <c r="D99" s="31"/>
      <c r="E99" s="31"/>
      <c r="F99" s="31"/>
      <c r="G99" s="31"/>
      <c r="H99" s="34"/>
      <c r="I99" s="25" t="s">
        <v>612</v>
      </c>
      <c r="J99" s="30"/>
      <c r="K99" s="32"/>
    </row>
    <row r="100" spans="1:11" s="252" customFormat="1" x14ac:dyDescent="0.3">
      <c r="A100" s="322"/>
      <c r="B100" s="33" t="s">
        <v>659</v>
      </c>
      <c r="C100" s="245"/>
      <c r="D100" s="30"/>
      <c r="E100" s="30">
        <v>65</v>
      </c>
      <c r="F100" s="30">
        <v>6</v>
      </c>
      <c r="G100" s="30"/>
      <c r="H100" s="34">
        <f t="shared" ref="H100" si="9">ROUND(PRODUCT(D100:G100),2)</f>
        <v>390</v>
      </c>
      <c r="I100" s="32"/>
      <c r="J100" s="30"/>
      <c r="K100" s="32"/>
    </row>
    <row r="101" spans="1:11" s="276" customFormat="1" x14ac:dyDescent="0.3">
      <c r="A101" s="321"/>
      <c r="B101" s="36" t="str">
        <f>"Total item "&amp;A99</f>
        <v>Total item 4.2</v>
      </c>
      <c r="C101" s="244"/>
      <c r="D101" s="34"/>
      <c r="E101" s="34"/>
      <c r="F101" s="34"/>
      <c r="G101" s="34"/>
      <c r="H101" s="28">
        <f>SUM(H100:H100)</f>
        <v>390</v>
      </c>
      <c r="I101" s="25"/>
      <c r="J101" s="34"/>
      <c r="K101" s="25"/>
    </row>
    <row r="102" spans="1:11" s="276" customFormat="1" x14ac:dyDescent="0.3">
      <c r="A102" s="320"/>
      <c r="B102" s="36"/>
      <c r="C102" s="244"/>
      <c r="D102" s="34"/>
      <c r="E102" s="34"/>
      <c r="F102" s="34"/>
      <c r="G102" s="34"/>
      <c r="H102" s="37"/>
      <c r="I102" s="25"/>
      <c r="J102" s="34"/>
      <c r="K102" s="38"/>
    </row>
    <row r="103" spans="1:11" s="171" customFormat="1" x14ac:dyDescent="0.3">
      <c r="A103" s="328" t="s">
        <v>12</v>
      </c>
      <c r="B103" s="199" t="s">
        <v>227</v>
      </c>
      <c r="C103" s="243"/>
      <c r="D103" s="28"/>
      <c r="E103" s="28"/>
      <c r="F103" s="28"/>
      <c r="G103" s="28"/>
      <c r="H103" s="28"/>
      <c r="J103" s="28"/>
      <c r="K103" s="202"/>
    </row>
    <row r="104" spans="1:11" s="220" customFormat="1" x14ac:dyDescent="0.3">
      <c r="A104" s="329"/>
      <c r="B104" s="216"/>
      <c r="C104" s="250"/>
      <c r="D104" s="218"/>
      <c r="E104" s="218"/>
      <c r="F104" s="218"/>
      <c r="G104" s="218"/>
      <c r="H104" s="219"/>
      <c r="J104" s="218"/>
      <c r="K104" s="221"/>
    </row>
    <row r="105" spans="1:11" s="32" customFormat="1" ht="55.2" x14ac:dyDescent="0.3">
      <c r="A105" s="322" t="s">
        <v>137</v>
      </c>
      <c r="B105" s="201" t="s">
        <v>677</v>
      </c>
      <c r="C105" s="245" t="s">
        <v>88</v>
      </c>
      <c r="D105" s="31"/>
      <c r="E105" s="31" t="s">
        <v>622</v>
      </c>
      <c r="F105" s="31"/>
      <c r="G105" s="31"/>
      <c r="H105" s="31"/>
      <c r="I105" s="25" t="s">
        <v>612</v>
      </c>
      <c r="J105" s="30"/>
    </row>
    <row r="106" spans="1:11" s="32" customFormat="1" x14ac:dyDescent="0.3">
      <c r="A106" s="322"/>
      <c r="B106" s="253" t="s">
        <v>681</v>
      </c>
      <c r="C106" s="245"/>
      <c r="D106" s="30"/>
      <c r="E106" s="30">
        <v>26.46</v>
      </c>
      <c r="F106" s="30"/>
      <c r="G106" s="30"/>
      <c r="H106" s="34">
        <f t="shared" ref="H106" si="10">ROUND(PRODUCT(D106:G106),2)</f>
        <v>26.46</v>
      </c>
      <c r="J106" s="30"/>
    </row>
    <row r="107" spans="1:11" s="25" customFormat="1" x14ac:dyDescent="0.3">
      <c r="A107" s="321"/>
      <c r="B107" s="36" t="str">
        <f>"Total item "&amp;A105</f>
        <v>Total item 5.1</v>
      </c>
      <c r="C107" s="244"/>
      <c r="D107" s="34"/>
      <c r="E107" s="34"/>
      <c r="F107" s="34"/>
      <c r="G107" s="34"/>
      <c r="H107" s="28">
        <f>SUM(H106:H106)</f>
        <v>26.46</v>
      </c>
      <c r="J107" s="34"/>
    </row>
    <row r="108" spans="1:11" s="220" customFormat="1" x14ac:dyDescent="0.3">
      <c r="A108" s="329"/>
      <c r="B108" s="216"/>
      <c r="C108" s="250"/>
      <c r="D108" s="218"/>
      <c r="E108" s="218"/>
      <c r="F108" s="218"/>
      <c r="G108" s="218"/>
      <c r="H108" s="219"/>
      <c r="J108" s="218"/>
      <c r="K108" s="221"/>
    </row>
    <row r="109" spans="1:11" s="32" customFormat="1" ht="55.2" x14ac:dyDescent="0.3">
      <c r="A109" s="322" t="s">
        <v>159</v>
      </c>
      <c r="B109" s="201" t="s">
        <v>263</v>
      </c>
      <c r="C109" s="245" t="s">
        <v>88</v>
      </c>
      <c r="D109" s="31"/>
      <c r="E109" s="31" t="s">
        <v>150</v>
      </c>
      <c r="F109" s="31"/>
      <c r="G109" s="31"/>
      <c r="H109" s="31"/>
      <c r="I109" s="25" t="s">
        <v>612</v>
      </c>
      <c r="J109" s="30"/>
    </row>
    <row r="110" spans="1:11" s="32" customFormat="1" x14ac:dyDescent="0.3">
      <c r="A110" s="322"/>
      <c r="B110" s="213" t="s">
        <v>752</v>
      </c>
      <c r="C110" s="245"/>
      <c r="D110" s="30">
        <v>2</v>
      </c>
      <c r="E110" s="30">
        <f>H107</f>
        <v>26.46</v>
      </c>
      <c r="F110" s="31"/>
      <c r="G110" s="31"/>
      <c r="H110" s="34">
        <f t="shared" ref="H110:H112" si="11">ROUND(PRODUCT(D110:G110),2)</f>
        <v>52.92</v>
      </c>
      <c r="J110" s="30"/>
    </row>
    <row r="111" spans="1:11" s="32" customFormat="1" x14ac:dyDescent="0.3">
      <c r="A111" s="322"/>
      <c r="B111" s="253" t="s">
        <v>665</v>
      </c>
      <c r="C111" s="245"/>
      <c r="D111" s="30">
        <v>2</v>
      </c>
      <c r="E111" s="30">
        <f>E30</f>
        <v>1245.83</v>
      </c>
      <c r="F111" s="30"/>
      <c r="G111" s="30"/>
      <c r="H111" s="34">
        <f t="shared" si="11"/>
        <v>2491.66</v>
      </c>
      <c r="J111" s="30"/>
    </row>
    <row r="112" spans="1:11" s="32" customFormat="1" x14ac:dyDescent="0.3">
      <c r="A112" s="322"/>
      <c r="B112" s="253"/>
      <c r="C112" s="245"/>
      <c r="D112" s="30">
        <v>2</v>
      </c>
      <c r="E112" s="30">
        <f>E46</f>
        <v>1226.75</v>
      </c>
      <c r="F112" s="30"/>
      <c r="G112" s="30"/>
      <c r="H112" s="34">
        <f t="shared" si="11"/>
        <v>2453.5</v>
      </c>
      <c r="J112" s="30"/>
    </row>
    <row r="113" spans="1:11" s="25" customFormat="1" x14ac:dyDescent="0.3">
      <c r="A113" s="321"/>
      <c r="B113" s="36" t="str">
        <f>"Total item "&amp;A109</f>
        <v>Total item 5.2</v>
      </c>
      <c r="C113" s="244"/>
      <c r="D113" s="34"/>
      <c r="E113" s="34"/>
      <c r="F113" s="34"/>
      <c r="G113" s="34"/>
      <c r="H113" s="28">
        <f>SUM(H110:H112)</f>
        <v>4998.08</v>
      </c>
      <c r="J113" s="34"/>
    </row>
    <row r="114" spans="1:11" s="25" customFormat="1" x14ac:dyDescent="0.3">
      <c r="A114" s="320"/>
      <c r="B114" s="36"/>
      <c r="C114" s="244"/>
      <c r="D114" s="34"/>
      <c r="E114" s="34"/>
      <c r="F114" s="34"/>
      <c r="G114" s="34"/>
      <c r="H114" s="37"/>
      <c r="J114" s="34"/>
      <c r="K114" s="38"/>
    </row>
    <row r="115" spans="1:11" s="32" customFormat="1" ht="55.2" x14ac:dyDescent="0.3">
      <c r="A115" s="322" t="s">
        <v>160</v>
      </c>
      <c r="B115" s="201" t="s">
        <v>228</v>
      </c>
      <c r="C115" s="245" t="s">
        <v>88</v>
      </c>
      <c r="D115" s="31"/>
      <c r="E115" s="31" t="s">
        <v>150</v>
      </c>
      <c r="F115" s="31"/>
      <c r="G115" s="31"/>
      <c r="H115" s="31"/>
      <c r="I115" s="25" t="s">
        <v>612</v>
      </c>
      <c r="J115" s="30"/>
    </row>
    <row r="116" spans="1:11" s="32" customFormat="1" x14ac:dyDescent="0.3">
      <c r="A116" s="322"/>
      <c r="B116" s="213" t="s">
        <v>751</v>
      </c>
      <c r="C116" s="245"/>
      <c r="D116" s="30"/>
      <c r="E116" s="30">
        <f>H113</f>
        <v>4998.08</v>
      </c>
      <c r="F116" s="30"/>
      <c r="G116" s="30"/>
      <c r="H116" s="34">
        <f t="shared" ref="H116" si="12">ROUND(PRODUCT(D116:G116),2)</f>
        <v>4998.08</v>
      </c>
      <c r="J116" s="30"/>
    </row>
    <row r="117" spans="1:11" s="25" customFormat="1" x14ac:dyDescent="0.3">
      <c r="A117" s="321"/>
      <c r="B117" s="36" t="str">
        <f>"Total item "&amp;A115</f>
        <v>Total item 5.3</v>
      </c>
      <c r="C117" s="244"/>
      <c r="D117" s="34"/>
      <c r="E117" s="34"/>
      <c r="F117" s="34"/>
      <c r="G117" s="34"/>
      <c r="H117" s="28">
        <f>SUM(H116:H116)</f>
        <v>4998.08</v>
      </c>
      <c r="J117" s="34"/>
    </row>
    <row r="118" spans="1:11" s="276" customFormat="1" x14ac:dyDescent="0.3">
      <c r="A118" s="320"/>
      <c r="B118" s="201"/>
      <c r="C118" s="244"/>
      <c r="D118" s="34"/>
      <c r="E118" s="34"/>
      <c r="F118" s="34"/>
      <c r="G118" s="34"/>
      <c r="H118" s="37"/>
      <c r="I118" s="25"/>
      <c r="J118" s="34"/>
      <c r="K118" s="38"/>
    </row>
    <row r="119" spans="1:11" s="252" customFormat="1" ht="55.2" x14ac:dyDescent="0.3">
      <c r="A119" s="322" t="s">
        <v>229</v>
      </c>
      <c r="B119" s="201" t="s">
        <v>476</v>
      </c>
      <c r="C119" s="245" t="s">
        <v>88</v>
      </c>
      <c r="D119" s="31"/>
      <c r="E119" s="31" t="s">
        <v>666</v>
      </c>
      <c r="F119" s="31"/>
      <c r="G119" s="31"/>
      <c r="H119" s="31"/>
      <c r="I119" s="25" t="s">
        <v>612</v>
      </c>
      <c r="J119" s="30"/>
      <c r="K119" s="32"/>
    </row>
    <row r="120" spans="1:11" s="32" customFormat="1" x14ac:dyDescent="0.3">
      <c r="A120" s="322"/>
      <c r="B120" s="253" t="s">
        <v>665</v>
      </c>
      <c r="C120" s="245"/>
      <c r="D120" s="30"/>
      <c r="E120" s="30">
        <f>E30</f>
        <v>1245.83</v>
      </c>
      <c r="F120" s="30"/>
      <c r="G120" s="30"/>
      <c r="H120" s="34">
        <f t="shared" ref="H120" si="13">ROUND(PRODUCT(D120:G120),2)</f>
        <v>1245.83</v>
      </c>
      <c r="J120" s="30"/>
    </row>
    <row r="121" spans="1:11" s="276" customFormat="1" x14ac:dyDescent="0.3">
      <c r="A121" s="321"/>
      <c r="B121" s="36" t="str">
        <f>"Total item "&amp;A119</f>
        <v>Total item 5.5</v>
      </c>
      <c r="C121" s="244"/>
      <c r="D121" s="34"/>
      <c r="E121" s="34"/>
      <c r="F121" s="34"/>
      <c r="G121" s="34"/>
      <c r="H121" s="28">
        <f>SUM(H120:H120)</f>
        <v>1245.83</v>
      </c>
      <c r="I121" s="25"/>
      <c r="J121" s="34"/>
      <c r="K121" s="25"/>
    </row>
    <row r="122" spans="1:11" s="220" customFormat="1" x14ac:dyDescent="0.3">
      <c r="A122" s="329"/>
      <c r="B122" s="216"/>
      <c r="C122" s="250"/>
      <c r="D122" s="218"/>
      <c r="E122" s="218"/>
      <c r="F122" s="218"/>
      <c r="G122" s="218"/>
      <c r="H122" s="219"/>
      <c r="J122" s="218"/>
      <c r="K122" s="221"/>
    </row>
    <row r="123" spans="1:11" s="171" customFormat="1" x14ac:dyDescent="0.3">
      <c r="A123" s="328" t="s">
        <v>15</v>
      </c>
      <c r="B123" s="199" t="s">
        <v>264</v>
      </c>
      <c r="C123" s="243"/>
      <c r="D123" s="28"/>
      <c r="E123" s="28"/>
      <c r="F123" s="28"/>
      <c r="G123" s="28"/>
      <c r="H123" s="28"/>
      <c r="J123" s="28"/>
      <c r="K123" s="202"/>
    </row>
    <row r="124" spans="1:11" s="276" customFormat="1" x14ac:dyDescent="0.3">
      <c r="A124" s="320"/>
      <c r="B124" s="36"/>
      <c r="C124" s="244"/>
      <c r="D124" s="34"/>
      <c r="E124" s="34"/>
      <c r="F124" s="34"/>
      <c r="G124" s="34"/>
      <c r="H124" s="37"/>
      <c r="I124" s="25"/>
      <c r="J124" s="34"/>
      <c r="K124" s="38"/>
    </row>
    <row r="125" spans="1:11" s="252" customFormat="1" ht="27.6" x14ac:dyDescent="0.3">
      <c r="A125" s="322" t="s">
        <v>138</v>
      </c>
      <c r="B125" s="201" t="s">
        <v>455</v>
      </c>
      <c r="C125" s="245" t="s">
        <v>80</v>
      </c>
      <c r="D125" s="31"/>
      <c r="E125" s="31" t="s">
        <v>481</v>
      </c>
      <c r="F125" s="31"/>
      <c r="G125" s="31"/>
      <c r="H125" s="31"/>
      <c r="I125" s="25" t="s">
        <v>612</v>
      </c>
      <c r="J125" s="30"/>
      <c r="K125" s="32"/>
    </row>
    <row r="126" spans="1:11" s="252" customFormat="1" x14ac:dyDescent="0.3">
      <c r="A126" s="322"/>
      <c r="B126" s="213" t="s">
        <v>652</v>
      </c>
      <c r="C126" s="248"/>
      <c r="D126" s="34"/>
      <c r="E126" s="30">
        <f>E26</f>
        <v>1798.52</v>
      </c>
      <c r="F126" s="30"/>
      <c r="G126" s="30">
        <v>0.03</v>
      </c>
      <c r="H126" s="34">
        <f t="shared" ref="H126" si="14">ROUND(PRODUCT(D126:G126),2)</f>
        <v>53.96</v>
      </c>
      <c r="I126" s="32"/>
      <c r="J126" s="30"/>
      <c r="K126" s="32"/>
    </row>
    <row r="127" spans="1:11" s="276" customFormat="1" x14ac:dyDescent="0.3">
      <c r="A127" s="321"/>
      <c r="B127" s="36" t="str">
        <f>"Total item "&amp;A125</f>
        <v>Total item 6.1</v>
      </c>
      <c r="C127" s="244"/>
      <c r="D127" s="34"/>
      <c r="E127" s="34"/>
      <c r="F127" s="34"/>
      <c r="G127" s="34"/>
      <c r="H127" s="28">
        <f>SUM(H126:H126)</f>
        <v>53.96</v>
      </c>
      <c r="I127" s="25"/>
      <c r="J127" s="34"/>
      <c r="K127" s="25"/>
    </row>
    <row r="128" spans="1:11" s="276" customFormat="1" x14ac:dyDescent="0.3">
      <c r="A128" s="320"/>
      <c r="B128" s="36"/>
      <c r="C128" s="244"/>
      <c r="D128" s="34"/>
      <c r="E128" s="34"/>
      <c r="F128" s="34"/>
      <c r="G128" s="34"/>
      <c r="H128" s="37"/>
      <c r="I128" s="25"/>
      <c r="J128" s="34"/>
      <c r="K128" s="38"/>
    </row>
    <row r="129" spans="1:11" s="252" customFormat="1" ht="60.6" customHeight="1" x14ac:dyDescent="0.3">
      <c r="A129" s="322" t="s">
        <v>161</v>
      </c>
      <c r="B129" s="201" t="s">
        <v>320</v>
      </c>
      <c r="C129" s="245" t="s">
        <v>88</v>
      </c>
      <c r="D129" s="31"/>
      <c r="E129" s="31" t="s">
        <v>481</v>
      </c>
      <c r="F129" s="31"/>
      <c r="G129" s="31"/>
      <c r="H129" s="31"/>
      <c r="I129" s="25" t="s">
        <v>612</v>
      </c>
      <c r="J129" s="30"/>
      <c r="K129" s="32"/>
    </row>
    <row r="130" spans="1:11" s="252" customFormat="1" x14ac:dyDescent="0.3">
      <c r="A130" s="322"/>
      <c r="B130" s="213" t="s">
        <v>652</v>
      </c>
      <c r="C130" s="248"/>
      <c r="D130" s="34"/>
      <c r="E130" s="30">
        <f>E126</f>
        <v>1798.52</v>
      </c>
      <c r="F130" s="30"/>
      <c r="G130" s="30"/>
      <c r="H130" s="34">
        <f>ROUND(PRODUCT(D130:G130),2)</f>
        <v>1798.52</v>
      </c>
      <c r="I130" s="32"/>
      <c r="J130" s="30"/>
      <c r="K130" s="32"/>
    </row>
    <row r="131" spans="1:11" s="276" customFormat="1" x14ac:dyDescent="0.3">
      <c r="A131" s="321"/>
      <c r="B131" s="36" t="str">
        <f>"Total item "&amp;A129</f>
        <v>Total item 6.2</v>
      </c>
      <c r="C131" s="244"/>
      <c r="D131" s="34"/>
      <c r="E131" s="34"/>
      <c r="F131" s="34"/>
      <c r="G131" s="34"/>
      <c r="H131" s="28">
        <f>SUM(H130:H130)</f>
        <v>1798.52</v>
      </c>
      <c r="I131" s="25"/>
      <c r="J131" s="34"/>
      <c r="K131" s="25"/>
    </row>
    <row r="132" spans="1:11" s="251" customFormat="1" x14ac:dyDescent="0.3">
      <c r="A132" s="329"/>
      <c r="B132" s="201"/>
      <c r="C132" s="250"/>
      <c r="D132" s="218"/>
      <c r="E132" s="218"/>
      <c r="F132" s="218"/>
      <c r="G132" s="218"/>
      <c r="H132" s="219"/>
      <c r="I132" s="220"/>
      <c r="J132" s="218"/>
      <c r="K132" s="221"/>
    </row>
    <row r="133" spans="1:11" s="252" customFormat="1" ht="69" x14ac:dyDescent="0.3">
      <c r="A133" s="322" t="s">
        <v>230</v>
      </c>
      <c r="B133" s="201" t="s">
        <v>820</v>
      </c>
      <c r="C133" s="245" t="s">
        <v>88</v>
      </c>
      <c r="D133" s="31"/>
      <c r="E133" s="31" t="s">
        <v>481</v>
      </c>
      <c r="F133" s="31"/>
      <c r="G133" s="31"/>
      <c r="H133" s="31"/>
      <c r="I133" s="25" t="s">
        <v>612</v>
      </c>
      <c r="J133" s="30"/>
      <c r="K133" s="32"/>
    </row>
    <row r="134" spans="1:11" s="252" customFormat="1" x14ac:dyDescent="0.3">
      <c r="A134" s="322"/>
      <c r="B134" s="213" t="s">
        <v>652</v>
      </c>
      <c r="C134" s="245"/>
      <c r="D134" s="30"/>
      <c r="E134" s="30">
        <f>E130</f>
        <v>1798.52</v>
      </c>
      <c r="F134" s="30"/>
      <c r="G134" s="30"/>
      <c r="H134" s="34">
        <f>ROUND(PRODUCT(D134:G134),2)</f>
        <v>1798.52</v>
      </c>
      <c r="I134" s="32"/>
      <c r="J134" s="30"/>
      <c r="K134" s="32"/>
    </row>
    <row r="135" spans="1:11" s="251" customFormat="1" x14ac:dyDescent="0.3">
      <c r="A135" s="321"/>
      <c r="B135" s="36" t="str">
        <f>"Total item "&amp;A133</f>
        <v>Total item 6.3</v>
      </c>
      <c r="C135" s="244"/>
      <c r="D135" s="34"/>
      <c r="E135" s="34"/>
      <c r="F135" s="34"/>
      <c r="G135" s="34"/>
      <c r="H135" s="28">
        <f>SUM(H134:H134)</f>
        <v>1798.52</v>
      </c>
      <c r="I135" s="220"/>
      <c r="J135" s="218"/>
      <c r="K135" s="220"/>
    </row>
    <row r="136" spans="1:11" s="220" customFormat="1" x14ac:dyDescent="0.3">
      <c r="A136" s="329"/>
      <c r="B136" s="216"/>
      <c r="C136" s="250"/>
      <c r="D136" s="218"/>
      <c r="E136" s="218"/>
      <c r="F136" s="218"/>
      <c r="G136" s="218"/>
      <c r="H136" s="219"/>
      <c r="J136" s="218"/>
      <c r="K136" s="221"/>
    </row>
    <row r="137" spans="1:11" s="32" customFormat="1" ht="55.2" x14ac:dyDescent="0.3">
      <c r="A137" s="322" t="s">
        <v>231</v>
      </c>
      <c r="B137" s="201" t="s">
        <v>483</v>
      </c>
      <c r="C137" s="245" t="s">
        <v>87</v>
      </c>
      <c r="D137" s="31"/>
      <c r="E137" s="31"/>
      <c r="F137" s="31"/>
      <c r="G137" s="31"/>
      <c r="H137" s="31"/>
      <c r="I137" s="25" t="s">
        <v>612</v>
      </c>
      <c r="J137" s="30"/>
    </row>
    <row r="138" spans="1:11" s="32" customFormat="1" x14ac:dyDescent="0.3">
      <c r="A138" s="322"/>
      <c r="B138" s="213" t="s">
        <v>482</v>
      </c>
      <c r="C138" s="248"/>
      <c r="D138" s="208"/>
      <c r="E138" s="30">
        <v>80</v>
      </c>
      <c r="F138" s="30"/>
      <c r="G138" s="30"/>
      <c r="H138" s="34">
        <f t="shared" ref="H138" si="15">ROUND(PRODUCT(D138:G138),2)</f>
        <v>80</v>
      </c>
      <c r="J138" s="30"/>
    </row>
    <row r="139" spans="1:11" s="25" customFormat="1" x14ac:dyDescent="0.3">
      <c r="A139" s="321"/>
      <c r="B139" s="36" t="str">
        <f>"Total item "&amp;A137</f>
        <v>Total item 6.4</v>
      </c>
      <c r="C139" s="244"/>
      <c r="D139" s="34"/>
      <c r="E139" s="34"/>
      <c r="F139" s="34"/>
      <c r="G139" s="34"/>
      <c r="H139" s="28">
        <f>SUM(H138:H138)</f>
        <v>80</v>
      </c>
      <c r="J139" s="34"/>
    </row>
    <row r="140" spans="1:11" s="25" customFormat="1" x14ac:dyDescent="0.3">
      <c r="A140" s="320"/>
      <c r="B140" s="36"/>
      <c r="C140" s="244"/>
      <c r="D140" s="34"/>
      <c r="E140" s="34"/>
      <c r="F140" s="34"/>
      <c r="G140" s="34"/>
      <c r="H140" s="37"/>
      <c r="J140" s="34"/>
      <c r="K140" s="38"/>
    </row>
    <row r="141" spans="1:11" s="275" customFormat="1" x14ac:dyDescent="0.3">
      <c r="A141" s="328" t="s">
        <v>21</v>
      </c>
      <c r="B141" s="199" t="s">
        <v>265</v>
      </c>
      <c r="C141" s="243"/>
      <c r="D141" s="28"/>
      <c r="E141" s="28"/>
      <c r="F141" s="28"/>
      <c r="G141" s="28"/>
      <c r="H141" s="28"/>
      <c r="I141" s="171"/>
      <c r="J141" s="28"/>
      <c r="K141" s="202"/>
    </row>
    <row r="142" spans="1:11" s="276" customFormat="1" x14ac:dyDescent="0.3">
      <c r="A142" s="320"/>
      <c r="B142" s="36"/>
      <c r="C142" s="244"/>
      <c r="D142" s="34"/>
      <c r="E142" s="34"/>
      <c r="F142" s="34"/>
      <c r="G142" s="34"/>
      <c r="H142" s="37"/>
      <c r="I142" s="25"/>
      <c r="J142" s="34"/>
      <c r="K142" s="38"/>
    </row>
    <row r="143" spans="1:11" s="252" customFormat="1" ht="27.6" x14ac:dyDescent="0.3">
      <c r="A143" s="322" t="s">
        <v>139</v>
      </c>
      <c r="B143" s="201" t="s">
        <v>412</v>
      </c>
      <c r="C143" s="245" t="s">
        <v>88</v>
      </c>
      <c r="D143" s="31"/>
      <c r="E143" s="31" t="s">
        <v>266</v>
      </c>
      <c r="F143" s="31"/>
      <c r="G143" s="31"/>
      <c r="H143" s="31"/>
      <c r="I143" s="25" t="s">
        <v>612</v>
      </c>
      <c r="J143" s="30"/>
      <c r="K143" s="32"/>
    </row>
    <row r="144" spans="1:11" s="252" customFormat="1" x14ac:dyDescent="0.3">
      <c r="A144" s="322"/>
      <c r="B144" s="213" t="s">
        <v>343</v>
      </c>
      <c r="C144" s="245"/>
      <c r="D144" s="30"/>
      <c r="E144" s="30">
        <f>E22</f>
        <v>1562.66</v>
      </c>
      <c r="F144" s="30"/>
      <c r="G144" s="30"/>
      <c r="H144" s="34">
        <f t="shared" ref="H144:H145" si="16">ROUND(PRODUCT(D144:G144),2)</f>
        <v>1562.66</v>
      </c>
      <c r="I144" s="32"/>
      <c r="J144" s="30"/>
      <c r="K144" s="32"/>
    </row>
    <row r="145" spans="1:11" s="252" customFormat="1" x14ac:dyDescent="0.3">
      <c r="A145" s="322"/>
      <c r="B145" s="33" t="s">
        <v>659</v>
      </c>
      <c r="C145" s="245"/>
      <c r="D145" s="30"/>
      <c r="E145" s="30">
        <v>65</v>
      </c>
      <c r="F145" s="30">
        <v>6</v>
      </c>
      <c r="G145" s="30"/>
      <c r="H145" s="34">
        <f t="shared" si="16"/>
        <v>390</v>
      </c>
      <c r="I145" s="32"/>
      <c r="J145" s="30"/>
      <c r="K145" s="32"/>
    </row>
    <row r="146" spans="1:11" s="276" customFormat="1" x14ac:dyDescent="0.3">
      <c r="A146" s="321"/>
      <c r="B146" s="36" t="str">
        <f>"Total item "&amp;A143</f>
        <v>Total item 7.1</v>
      </c>
      <c r="C146" s="244"/>
      <c r="D146" s="34"/>
      <c r="E146" s="34"/>
      <c r="F146" s="34"/>
      <c r="G146" s="34"/>
      <c r="H146" s="28">
        <f>SUM(H144:H145)</f>
        <v>1952.66</v>
      </c>
      <c r="I146" s="25"/>
      <c r="J146" s="34"/>
      <c r="K146" s="25"/>
    </row>
    <row r="147" spans="1:11" s="276" customFormat="1" x14ac:dyDescent="0.3">
      <c r="A147" s="320"/>
      <c r="B147" s="36"/>
      <c r="C147" s="244"/>
      <c r="D147" s="34"/>
      <c r="E147" s="34"/>
      <c r="F147" s="34"/>
      <c r="G147" s="34"/>
      <c r="H147" s="37"/>
      <c r="I147" s="25"/>
      <c r="J147" s="34"/>
      <c r="K147" s="38"/>
    </row>
    <row r="148" spans="1:11" s="252" customFormat="1" x14ac:dyDescent="0.3">
      <c r="A148" s="322" t="s">
        <v>162</v>
      </c>
      <c r="B148" s="201" t="s">
        <v>414</v>
      </c>
      <c r="C148" s="245" t="s">
        <v>87</v>
      </c>
      <c r="D148" s="31"/>
      <c r="E148" s="31" t="s">
        <v>191</v>
      </c>
      <c r="F148" s="31"/>
      <c r="G148" s="31"/>
      <c r="H148" s="31"/>
      <c r="I148" s="25" t="s">
        <v>612</v>
      </c>
      <c r="J148" s="30"/>
      <c r="K148" s="32"/>
    </row>
    <row r="149" spans="1:11" s="252" customFormat="1" x14ac:dyDescent="0.3">
      <c r="A149" s="322"/>
      <c r="B149" s="213" t="s">
        <v>343</v>
      </c>
      <c r="C149" s="248"/>
      <c r="D149" s="30">
        <v>2</v>
      </c>
      <c r="E149" s="30">
        <v>62</v>
      </c>
      <c r="F149" s="30"/>
      <c r="G149" s="30"/>
      <c r="H149" s="34">
        <f>ROUND(PRODUCT(D149:G149),2)</f>
        <v>124</v>
      </c>
      <c r="I149" s="32"/>
      <c r="J149" s="30"/>
      <c r="K149" s="32"/>
    </row>
    <row r="150" spans="1:11" s="252" customFormat="1" x14ac:dyDescent="0.3">
      <c r="A150" s="322"/>
      <c r="B150" s="213"/>
      <c r="C150" s="248"/>
      <c r="D150" s="30"/>
      <c r="E150" s="30">
        <v>63</v>
      </c>
      <c r="F150" s="30"/>
      <c r="G150" s="30"/>
      <c r="H150" s="34">
        <f t="shared" ref="H150" si="17">ROUND(PRODUCT(D150:G150),2)</f>
        <v>63</v>
      </c>
      <c r="I150" s="32"/>
      <c r="J150" s="30"/>
      <c r="K150" s="32"/>
    </row>
    <row r="151" spans="1:11" s="276" customFormat="1" x14ac:dyDescent="0.3">
      <c r="A151" s="321"/>
      <c r="B151" s="36" t="str">
        <f>"Total item "&amp;A148</f>
        <v>Total item 7.2</v>
      </c>
      <c r="C151" s="244"/>
      <c r="D151" s="34"/>
      <c r="E151" s="34"/>
      <c r="F151" s="34"/>
      <c r="G151" s="34"/>
      <c r="H151" s="28">
        <f>SUM(H149:H150)</f>
        <v>187</v>
      </c>
      <c r="I151" s="25"/>
      <c r="J151" s="34"/>
      <c r="K151" s="25"/>
    </row>
    <row r="152" spans="1:11" s="276" customFormat="1" x14ac:dyDescent="0.3">
      <c r="A152" s="320"/>
      <c r="B152" s="36"/>
      <c r="C152" s="244"/>
      <c r="D152" s="34"/>
      <c r="E152" s="34"/>
      <c r="F152" s="34"/>
      <c r="G152" s="34"/>
      <c r="H152" s="37"/>
      <c r="I152" s="25"/>
      <c r="J152" s="34"/>
      <c r="K152" s="38"/>
    </row>
    <row r="153" spans="1:11" s="252" customFormat="1" ht="41.4" x14ac:dyDescent="0.3">
      <c r="A153" s="322" t="s">
        <v>218</v>
      </c>
      <c r="B153" s="201" t="s">
        <v>416</v>
      </c>
      <c r="C153" s="245" t="s">
        <v>87</v>
      </c>
      <c r="D153" s="31"/>
      <c r="E153" s="31"/>
      <c r="F153" s="31"/>
      <c r="G153" s="31"/>
      <c r="H153" s="31"/>
      <c r="I153" s="25" t="s">
        <v>612</v>
      </c>
      <c r="J153" s="30"/>
      <c r="K153" s="32"/>
    </row>
    <row r="154" spans="1:11" s="252" customFormat="1" x14ac:dyDescent="0.3">
      <c r="A154" s="322"/>
      <c r="B154" s="213" t="s">
        <v>655</v>
      </c>
      <c r="C154" s="248"/>
      <c r="D154" s="30">
        <v>4</v>
      </c>
      <c r="E154" s="30">
        <f>E38</f>
        <v>63</v>
      </c>
      <c r="F154" s="30"/>
      <c r="G154" s="30"/>
      <c r="H154" s="34">
        <f>ROUND(PRODUCT(D154:G154),2)</f>
        <v>252</v>
      </c>
      <c r="I154" s="32"/>
      <c r="J154" s="30"/>
      <c r="K154" s="32"/>
    </row>
    <row r="155" spans="1:11" s="276" customFormat="1" x14ac:dyDescent="0.3">
      <c r="A155" s="321"/>
      <c r="B155" s="36" t="str">
        <f>"Total item "&amp;A153</f>
        <v>Total item 7.4</v>
      </c>
      <c r="C155" s="244"/>
      <c r="D155" s="34"/>
      <c r="E155" s="34"/>
      <c r="F155" s="34"/>
      <c r="G155" s="34"/>
      <c r="H155" s="28">
        <f>SUM(H154:H154)</f>
        <v>252</v>
      </c>
      <c r="I155" s="25"/>
      <c r="J155" s="34"/>
      <c r="K155" s="25"/>
    </row>
    <row r="156" spans="1:11" s="276" customFormat="1" x14ac:dyDescent="0.3">
      <c r="A156" s="320"/>
      <c r="B156" s="36"/>
      <c r="C156" s="244"/>
      <c r="D156" s="34"/>
      <c r="E156" s="34"/>
      <c r="F156" s="34"/>
      <c r="G156" s="34"/>
      <c r="H156" s="37"/>
      <c r="I156" s="25"/>
      <c r="J156" s="34"/>
      <c r="K156" s="38"/>
    </row>
    <row r="157" spans="1:11" s="252" customFormat="1" ht="39.6" customHeight="1" x14ac:dyDescent="0.3">
      <c r="A157" s="322" t="s">
        <v>267</v>
      </c>
      <c r="B157" s="201" t="s">
        <v>713</v>
      </c>
      <c r="C157" s="245" t="s">
        <v>87</v>
      </c>
      <c r="D157" s="31"/>
      <c r="E157" s="31" t="s">
        <v>266</v>
      </c>
      <c r="F157" s="31"/>
      <c r="G157" s="31"/>
      <c r="H157" s="31"/>
      <c r="I157" s="25" t="s">
        <v>612</v>
      </c>
      <c r="J157" s="30"/>
      <c r="K157" s="32"/>
    </row>
    <row r="158" spans="1:11" s="252" customFormat="1" x14ac:dyDescent="0.3">
      <c r="A158" s="322"/>
      <c r="B158" s="213" t="s">
        <v>681</v>
      </c>
      <c r="C158" s="248"/>
      <c r="D158" s="30"/>
      <c r="E158" s="30">
        <v>38.07</v>
      </c>
      <c r="F158" s="30"/>
      <c r="G158" s="30"/>
      <c r="H158" s="34">
        <f>ROUND(PRODUCT(D158:G158),2)</f>
        <v>38.07</v>
      </c>
      <c r="I158" s="32"/>
      <c r="J158" s="30"/>
      <c r="K158" s="32"/>
    </row>
    <row r="159" spans="1:11" s="276" customFormat="1" x14ac:dyDescent="0.3">
      <c r="A159" s="321"/>
      <c r="B159" s="36" t="str">
        <f>"Total item "&amp;A157</f>
        <v>Total item 7.5</v>
      </c>
      <c r="C159" s="244"/>
      <c r="D159" s="34"/>
      <c r="E159" s="34"/>
      <c r="F159" s="34"/>
      <c r="G159" s="34"/>
      <c r="H159" s="28">
        <f>SUM(H158:H158)</f>
        <v>38.07</v>
      </c>
      <c r="I159" s="25"/>
      <c r="J159" s="34"/>
      <c r="K159" s="25"/>
    </row>
    <row r="160" spans="1:11" s="276" customFormat="1" x14ac:dyDescent="0.3">
      <c r="A160" s="320"/>
      <c r="B160" s="36"/>
      <c r="C160" s="244"/>
      <c r="D160" s="34"/>
      <c r="E160" s="34"/>
      <c r="F160" s="34"/>
      <c r="G160" s="34"/>
      <c r="H160" s="37"/>
      <c r="I160" s="25"/>
      <c r="J160" s="34"/>
      <c r="K160" s="38"/>
    </row>
    <row r="161" spans="1:11" s="252" customFormat="1" ht="33.6" customHeight="1" x14ac:dyDescent="0.3">
      <c r="A161" s="322" t="s">
        <v>268</v>
      </c>
      <c r="B161" s="201" t="s">
        <v>486</v>
      </c>
      <c r="C161" s="245" t="s">
        <v>87</v>
      </c>
      <c r="D161" s="31"/>
      <c r="E161" s="31"/>
      <c r="F161" s="31"/>
      <c r="G161" s="31"/>
      <c r="H161" s="31"/>
      <c r="I161" s="25" t="s">
        <v>612</v>
      </c>
      <c r="J161" s="30"/>
      <c r="K161" s="32"/>
    </row>
    <row r="162" spans="1:11" s="252" customFormat="1" ht="27.6" x14ac:dyDescent="0.3">
      <c r="A162" s="322"/>
      <c r="B162" s="213" t="s">
        <v>344</v>
      </c>
      <c r="C162" s="248"/>
      <c r="D162" s="30">
        <v>12</v>
      </c>
      <c r="E162" s="30">
        <v>4.7</v>
      </c>
      <c r="F162" s="30"/>
      <c r="G162" s="30"/>
      <c r="H162" s="34">
        <f>ROUND(PRODUCT(D162:G162),2)</f>
        <v>56.4</v>
      </c>
      <c r="I162" s="32"/>
      <c r="J162" s="30"/>
      <c r="K162" s="32"/>
    </row>
    <row r="163" spans="1:11" s="252" customFormat="1" x14ac:dyDescent="0.3">
      <c r="A163" s="322"/>
      <c r="B163" s="213" t="s">
        <v>272</v>
      </c>
      <c r="C163" s="248"/>
      <c r="D163" s="30">
        <v>2</v>
      </c>
      <c r="E163" s="30">
        <v>65</v>
      </c>
      <c r="F163" s="30"/>
      <c r="G163" s="30"/>
      <c r="H163" s="34">
        <f>ROUND(PRODUCT(D163:G163),2)</f>
        <v>130</v>
      </c>
      <c r="I163" s="32"/>
      <c r="J163" s="30"/>
      <c r="K163" s="32"/>
    </row>
    <row r="164" spans="1:11" s="276" customFormat="1" x14ac:dyDescent="0.3">
      <c r="A164" s="321"/>
      <c r="B164" s="36" t="str">
        <f>"Total item "&amp;A161</f>
        <v>Total item 7.6</v>
      </c>
      <c r="C164" s="244"/>
      <c r="D164" s="34"/>
      <c r="E164" s="34"/>
      <c r="F164" s="34"/>
      <c r="G164" s="34"/>
      <c r="H164" s="28">
        <f>SUM(H162:H163)</f>
        <v>186.4</v>
      </c>
      <c r="I164" s="25"/>
      <c r="J164" s="34"/>
      <c r="K164" s="25"/>
    </row>
    <row r="165" spans="1:11" s="276" customFormat="1" x14ac:dyDescent="0.3">
      <c r="A165" s="320"/>
      <c r="B165" s="36"/>
      <c r="C165" s="244"/>
      <c r="D165" s="34"/>
      <c r="E165" s="34"/>
      <c r="F165" s="34"/>
      <c r="G165" s="34"/>
      <c r="H165" s="37"/>
      <c r="I165" s="25"/>
      <c r="J165" s="34"/>
      <c r="K165" s="38"/>
    </row>
    <row r="166" spans="1:11" s="252" customFormat="1" ht="69" x14ac:dyDescent="0.3">
      <c r="A166" s="322" t="s">
        <v>345</v>
      </c>
      <c r="B166" s="201" t="s">
        <v>731</v>
      </c>
      <c r="C166" s="245" t="s">
        <v>87</v>
      </c>
      <c r="D166" s="31"/>
      <c r="E166" s="31"/>
      <c r="F166" s="31"/>
      <c r="G166" s="31"/>
      <c r="H166" s="31"/>
      <c r="I166" s="25" t="s">
        <v>612</v>
      </c>
      <c r="J166" s="30"/>
      <c r="K166" s="32"/>
    </row>
    <row r="167" spans="1:11" s="252" customFormat="1" x14ac:dyDescent="0.3">
      <c r="A167" s="322"/>
      <c r="B167" s="213" t="s">
        <v>272</v>
      </c>
      <c r="C167" s="248"/>
      <c r="D167" s="30"/>
      <c r="E167" s="30">
        <v>50</v>
      </c>
      <c r="F167" s="30"/>
      <c r="G167" s="30"/>
      <c r="H167" s="34">
        <f>ROUND(PRODUCT(D167:G167),2)</f>
        <v>50</v>
      </c>
      <c r="I167" s="32"/>
      <c r="J167" s="30"/>
      <c r="K167" s="32"/>
    </row>
    <row r="168" spans="1:11" s="276" customFormat="1" x14ac:dyDescent="0.3">
      <c r="A168" s="321"/>
      <c r="B168" s="36" t="str">
        <f>"Total item "&amp;A166</f>
        <v>Total item 7.7</v>
      </c>
      <c r="C168" s="244"/>
      <c r="D168" s="34"/>
      <c r="E168" s="34"/>
      <c r="F168" s="34"/>
      <c r="G168" s="34"/>
      <c r="H168" s="28">
        <f>SUM(H167:H167)</f>
        <v>50</v>
      </c>
      <c r="I168" s="25"/>
      <c r="J168" s="34"/>
      <c r="K168" s="25"/>
    </row>
    <row r="169" spans="1:11" s="276" customFormat="1" x14ac:dyDescent="0.3">
      <c r="A169" s="320"/>
      <c r="B169" s="36"/>
      <c r="C169" s="244"/>
      <c r="D169" s="34"/>
      <c r="E169" s="34"/>
      <c r="F169" s="34"/>
      <c r="G169" s="34"/>
      <c r="H169" s="37"/>
      <c r="I169" s="25"/>
      <c r="J169" s="34"/>
      <c r="K169" s="38"/>
    </row>
    <row r="170" spans="1:11" s="252" customFormat="1" ht="55.2" x14ac:dyDescent="0.3">
      <c r="A170" s="322" t="s">
        <v>961</v>
      </c>
      <c r="B170" s="201" t="s">
        <v>727</v>
      </c>
      <c r="C170" s="245" t="s">
        <v>86</v>
      </c>
      <c r="D170" s="31"/>
      <c r="E170" s="31"/>
      <c r="F170" s="31"/>
      <c r="G170" s="31"/>
      <c r="H170" s="31"/>
      <c r="I170" s="25" t="s">
        <v>612</v>
      </c>
      <c r="J170" s="30"/>
      <c r="K170" s="32"/>
    </row>
    <row r="171" spans="1:11" s="252" customFormat="1" x14ac:dyDescent="0.3">
      <c r="A171" s="322"/>
      <c r="B171" s="213" t="s">
        <v>346</v>
      </c>
      <c r="C171" s="248"/>
      <c r="D171" s="30">
        <v>12</v>
      </c>
      <c r="E171" s="30"/>
      <c r="F171" s="30"/>
      <c r="G171" s="30"/>
      <c r="H171" s="34">
        <f>ROUND(PRODUCT(D171:G171),2)</f>
        <v>12</v>
      </c>
      <c r="I171" s="32"/>
      <c r="J171" s="30"/>
      <c r="K171" s="32"/>
    </row>
    <row r="172" spans="1:11" s="276" customFormat="1" x14ac:dyDescent="0.3">
      <c r="A172" s="321"/>
      <c r="B172" s="36" t="str">
        <f>"Total item "&amp;A170</f>
        <v>Total item 7.8</v>
      </c>
      <c r="C172" s="244"/>
      <c r="D172" s="34"/>
      <c r="E172" s="34"/>
      <c r="F172" s="34"/>
      <c r="G172" s="34"/>
      <c r="H172" s="28">
        <f>SUM(H171:H171)</f>
        <v>12</v>
      </c>
      <c r="I172" s="25"/>
      <c r="J172" s="34"/>
      <c r="K172" s="25"/>
    </row>
    <row r="173" spans="1:11" s="251" customFormat="1" x14ac:dyDescent="0.3">
      <c r="A173" s="329"/>
      <c r="B173" s="216"/>
      <c r="C173" s="250"/>
      <c r="D173" s="218"/>
      <c r="E173" s="218"/>
      <c r="F173" s="218"/>
      <c r="G173" s="218"/>
      <c r="H173" s="219"/>
      <c r="I173" s="220"/>
      <c r="J173" s="218"/>
      <c r="K173" s="221"/>
    </row>
    <row r="174" spans="1:11" s="275" customFormat="1" x14ac:dyDescent="0.3">
      <c r="A174" s="328" t="s">
        <v>22</v>
      </c>
      <c r="B174" s="199" t="s">
        <v>269</v>
      </c>
      <c r="C174" s="243"/>
      <c r="D174" s="28"/>
      <c r="E174" s="28"/>
      <c r="F174" s="28"/>
      <c r="G174" s="28"/>
      <c r="H174" s="28"/>
      <c r="I174" s="171"/>
      <c r="J174" s="28"/>
      <c r="K174" s="202"/>
    </row>
    <row r="175" spans="1:11" s="251" customFormat="1" x14ac:dyDescent="0.3">
      <c r="A175" s="329"/>
      <c r="B175" s="216"/>
      <c r="C175" s="250"/>
      <c r="D175" s="218"/>
      <c r="E175" s="218"/>
      <c r="F175" s="218"/>
      <c r="G175" s="218"/>
      <c r="H175" s="219"/>
      <c r="I175" s="220"/>
      <c r="J175" s="218"/>
      <c r="K175" s="221"/>
    </row>
    <row r="176" spans="1:11" s="252" customFormat="1" ht="41.4" x14ac:dyDescent="0.3">
      <c r="A176" s="322" t="s">
        <v>140</v>
      </c>
      <c r="B176" s="201" t="s">
        <v>273</v>
      </c>
      <c r="C176" s="245" t="s">
        <v>88</v>
      </c>
      <c r="D176" s="31"/>
      <c r="E176" s="31"/>
      <c r="F176" s="31"/>
      <c r="G176" s="31"/>
      <c r="H176" s="31"/>
      <c r="I176" s="25" t="s">
        <v>612</v>
      </c>
      <c r="J176" s="30"/>
      <c r="K176" s="32"/>
    </row>
    <row r="177" spans="1:11" s="252" customFormat="1" x14ac:dyDescent="0.3">
      <c r="A177" s="322"/>
      <c r="B177" s="33" t="s">
        <v>763</v>
      </c>
      <c r="C177" s="245"/>
      <c r="D177" s="30"/>
      <c r="E177" s="30">
        <v>0.8</v>
      </c>
      <c r="F177" s="30"/>
      <c r="G177" s="30">
        <v>2.1</v>
      </c>
      <c r="H177" s="34">
        <f t="shared" ref="H177:H181" si="18">ROUND(PRODUCT(D177:G177),2)</f>
        <v>1.68</v>
      </c>
      <c r="I177" s="32"/>
      <c r="J177" s="30"/>
      <c r="K177" s="32"/>
    </row>
    <row r="178" spans="1:11" s="252" customFormat="1" x14ac:dyDescent="0.3">
      <c r="A178" s="322"/>
      <c r="B178" s="33" t="s">
        <v>764</v>
      </c>
      <c r="C178" s="245"/>
      <c r="D178" s="30"/>
      <c r="E178" s="30">
        <v>0.6</v>
      </c>
      <c r="F178" s="30"/>
      <c r="G178" s="30">
        <v>2.1</v>
      </c>
      <c r="H178" s="34">
        <f t="shared" si="18"/>
        <v>1.26</v>
      </c>
      <c r="I178" s="32"/>
      <c r="J178" s="30"/>
      <c r="K178" s="32"/>
    </row>
    <row r="179" spans="1:11" s="252" customFormat="1" x14ac:dyDescent="0.3">
      <c r="A179" s="322"/>
      <c r="B179" s="33" t="s">
        <v>756</v>
      </c>
      <c r="C179" s="245"/>
      <c r="D179" s="30">
        <v>2</v>
      </c>
      <c r="E179" s="30">
        <v>0.9</v>
      </c>
      <c r="F179" s="30"/>
      <c r="G179" s="30">
        <v>2.1</v>
      </c>
      <c r="H179" s="34">
        <f t="shared" si="18"/>
        <v>3.78</v>
      </c>
      <c r="I179" s="32"/>
      <c r="J179" s="30"/>
      <c r="K179" s="32"/>
    </row>
    <row r="180" spans="1:11" s="252" customFormat="1" x14ac:dyDescent="0.3">
      <c r="A180" s="322"/>
      <c r="B180" s="33" t="s">
        <v>757</v>
      </c>
      <c r="C180" s="245"/>
      <c r="D180" s="30">
        <v>2</v>
      </c>
      <c r="E180" s="30">
        <v>0.9</v>
      </c>
      <c r="F180" s="30"/>
      <c r="G180" s="30">
        <v>1.6</v>
      </c>
      <c r="H180" s="34">
        <f t="shared" si="18"/>
        <v>2.88</v>
      </c>
      <c r="I180" s="32"/>
      <c r="J180" s="30"/>
      <c r="K180" s="32"/>
    </row>
    <row r="181" spans="1:11" s="252" customFormat="1" x14ac:dyDescent="0.3">
      <c r="A181" s="322"/>
      <c r="B181" s="33" t="s">
        <v>758</v>
      </c>
      <c r="C181" s="245"/>
      <c r="D181" s="30">
        <v>6</v>
      </c>
      <c r="E181" s="30">
        <v>0.6</v>
      </c>
      <c r="F181" s="30"/>
      <c r="G181" s="30">
        <v>1.6</v>
      </c>
      <c r="H181" s="34">
        <f t="shared" si="18"/>
        <v>5.76</v>
      </c>
      <c r="I181" s="32"/>
      <c r="J181" s="30"/>
      <c r="K181" s="32"/>
    </row>
    <row r="182" spans="1:11" s="276" customFormat="1" x14ac:dyDescent="0.3">
      <c r="A182" s="321"/>
      <c r="B182" s="36" t="str">
        <f>"Total item "&amp;A176</f>
        <v>Total item 8.1</v>
      </c>
      <c r="C182" s="244"/>
      <c r="D182" s="34"/>
      <c r="E182" s="34"/>
      <c r="F182" s="34"/>
      <c r="G182" s="34"/>
      <c r="H182" s="28">
        <f>SUM(H177:H181)</f>
        <v>15.36</v>
      </c>
      <c r="I182" s="25"/>
      <c r="J182" s="34"/>
      <c r="K182" s="25"/>
    </row>
    <row r="183" spans="1:11" s="251" customFormat="1" x14ac:dyDescent="0.3">
      <c r="A183" s="329"/>
      <c r="B183" s="216"/>
      <c r="C183" s="250"/>
      <c r="D183" s="218"/>
      <c r="E183" s="218"/>
      <c r="F183" s="218"/>
      <c r="G183" s="218"/>
      <c r="H183" s="219"/>
      <c r="I183" s="220"/>
      <c r="J183" s="218"/>
      <c r="K183" s="221"/>
    </row>
    <row r="184" spans="1:11" s="252" customFormat="1" ht="33.6" customHeight="1" x14ac:dyDescent="0.3">
      <c r="A184" s="322" t="s">
        <v>163</v>
      </c>
      <c r="B184" s="201" t="s">
        <v>759</v>
      </c>
      <c r="C184" s="245" t="s">
        <v>86</v>
      </c>
      <c r="D184" s="31"/>
      <c r="E184" s="31"/>
      <c r="F184" s="31"/>
      <c r="G184" s="31"/>
      <c r="H184" s="31"/>
      <c r="I184" s="25" t="s">
        <v>612</v>
      </c>
      <c r="J184" s="30"/>
      <c r="K184" s="32"/>
    </row>
    <row r="185" spans="1:11" s="252" customFormat="1" x14ac:dyDescent="0.3">
      <c r="A185" s="322"/>
      <c r="B185" s="33" t="s">
        <v>418</v>
      </c>
      <c r="C185" s="245"/>
      <c r="D185" s="30"/>
      <c r="E185" s="30">
        <v>3.1</v>
      </c>
      <c r="F185" s="30"/>
      <c r="G185" s="30">
        <v>2.7</v>
      </c>
      <c r="H185" s="34">
        <f t="shared" ref="H185:H193" si="19">ROUND(PRODUCT(D185:G185),2)</f>
        <v>8.3699999999999992</v>
      </c>
      <c r="I185" s="32"/>
      <c r="J185" s="30"/>
      <c r="K185" s="32"/>
    </row>
    <row r="186" spans="1:11" s="252" customFormat="1" x14ac:dyDescent="0.3">
      <c r="A186" s="322"/>
      <c r="B186" s="33" t="s">
        <v>347</v>
      </c>
      <c r="C186" s="245"/>
      <c r="D186" s="30"/>
      <c r="E186" s="30">
        <v>1.9</v>
      </c>
      <c r="F186" s="30"/>
      <c r="G186" s="30">
        <v>2.7</v>
      </c>
      <c r="H186" s="34">
        <f t="shared" si="19"/>
        <v>5.13</v>
      </c>
      <c r="I186" s="32"/>
      <c r="J186" s="30"/>
      <c r="K186" s="32"/>
    </row>
    <row r="187" spans="1:11" s="252" customFormat="1" x14ac:dyDescent="0.3">
      <c r="A187" s="322"/>
      <c r="B187" s="33" t="s">
        <v>348</v>
      </c>
      <c r="C187" s="245"/>
      <c r="D187" s="30"/>
      <c r="E187" s="30">
        <v>2.65</v>
      </c>
      <c r="F187" s="30"/>
      <c r="G187" s="30">
        <v>2.7</v>
      </c>
      <c r="H187" s="34">
        <f t="shared" si="19"/>
        <v>7.16</v>
      </c>
      <c r="I187" s="32"/>
      <c r="J187" s="30"/>
      <c r="K187" s="32"/>
    </row>
    <row r="188" spans="1:11" s="252" customFormat="1" x14ac:dyDescent="0.3">
      <c r="A188" s="322"/>
      <c r="B188" s="33" t="s">
        <v>487</v>
      </c>
      <c r="C188" s="245"/>
      <c r="D188" s="30"/>
      <c r="E188" s="30">
        <v>3</v>
      </c>
      <c r="F188" s="30"/>
      <c r="G188" s="30">
        <v>2.7</v>
      </c>
      <c r="H188" s="34">
        <f t="shared" si="19"/>
        <v>8.1</v>
      </c>
      <c r="I188" s="32"/>
      <c r="J188" s="30"/>
      <c r="K188" s="32"/>
    </row>
    <row r="189" spans="1:11" s="252" customFormat="1" x14ac:dyDescent="0.3">
      <c r="A189" s="322"/>
      <c r="B189" s="33" t="s">
        <v>488</v>
      </c>
      <c r="C189" s="245"/>
      <c r="D189" s="30">
        <v>2</v>
      </c>
      <c r="E189" s="30">
        <v>3.2</v>
      </c>
      <c r="F189" s="30"/>
      <c r="G189" s="30">
        <v>2.7</v>
      </c>
      <c r="H189" s="34">
        <f t="shared" si="19"/>
        <v>17.28</v>
      </c>
      <c r="I189" s="32"/>
      <c r="J189" s="30"/>
      <c r="K189" s="32"/>
    </row>
    <row r="190" spans="1:11" s="252" customFormat="1" x14ac:dyDescent="0.3">
      <c r="A190" s="322"/>
      <c r="B190" s="33" t="s">
        <v>761</v>
      </c>
      <c r="C190" s="245"/>
      <c r="D190" s="30"/>
      <c r="E190" s="30">
        <v>2.85</v>
      </c>
      <c r="F190" s="30"/>
      <c r="G190" s="30">
        <v>2.7</v>
      </c>
      <c r="H190" s="34">
        <f t="shared" si="19"/>
        <v>7.7</v>
      </c>
      <c r="I190" s="32"/>
      <c r="J190" s="30"/>
      <c r="K190" s="32"/>
    </row>
    <row r="191" spans="1:11" s="252" customFormat="1" x14ac:dyDescent="0.3">
      <c r="A191" s="322"/>
      <c r="B191" s="33" t="s">
        <v>762</v>
      </c>
      <c r="C191" s="245"/>
      <c r="D191" s="30"/>
      <c r="E191" s="30">
        <v>2.7</v>
      </c>
      <c r="F191" s="30"/>
      <c r="G191" s="30">
        <v>2.7</v>
      </c>
      <c r="H191" s="34">
        <f t="shared" si="19"/>
        <v>7.29</v>
      </c>
      <c r="I191" s="32"/>
      <c r="J191" s="30"/>
      <c r="K191" s="32"/>
    </row>
    <row r="192" spans="1:11" s="252" customFormat="1" x14ac:dyDescent="0.3">
      <c r="A192" s="322"/>
      <c r="B192" s="33" t="s">
        <v>763</v>
      </c>
      <c r="C192" s="245"/>
      <c r="D192" s="30"/>
      <c r="E192" s="30">
        <v>0.8</v>
      </c>
      <c r="F192" s="30"/>
      <c r="G192" s="30">
        <v>2.1</v>
      </c>
      <c r="H192" s="34">
        <f t="shared" si="19"/>
        <v>1.68</v>
      </c>
      <c r="I192" s="32"/>
      <c r="J192" s="30"/>
      <c r="K192" s="32"/>
    </row>
    <row r="193" spans="1:11" s="252" customFormat="1" x14ac:dyDescent="0.3">
      <c r="A193" s="322"/>
      <c r="B193" s="33" t="s">
        <v>764</v>
      </c>
      <c r="C193" s="245"/>
      <c r="D193" s="30"/>
      <c r="E193" s="30">
        <v>0.6</v>
      </c>
      <c r="F193" s="30"/>
      <c r="G193" s="30">
        <v>2.1</v>
      </c>
      <c r="H193" s="34">
        <f t="shared" si="19"/>
        <v>1.26</v>
      </c>
      <c r="I193" s="32"/>
      <c r="J193" s="30"/>
      <c r="K193" s="32"/>
    </row>
    <row r="194" spans="1:11" s="276" customFormat="1" x14ac:dyDescent="0.3">
      <c r="A194" s="321"/>
      <c r="B194" s="36" t="str">
        <f>"Total item "&amp;A184</f>
        <v>Total item 8.2</v>
      </c>
      <c r="C194" s="244"/>
      <c r="D194" s="34"/>
      <c r="E194" s="34"/>
      <c r="F194" s="34"/>
      <c r="G194" s="34"/>
      <c r="H194" s="28">
        <f>SUM(H185:H193)</f>
        <v>63.97</v>
      </c>
      <c r="I194" s="25"/>
      <c r="J194" s="34"/>
      <c r="K194" s="25"/>
    </row>
    <row r="195" spans="1:11" s="251" customFormat="1" x14ac:dyDescent="0.3">
      <c r="A195" s="329"/>
      <c r="B195" s="216"/>
      <c r="C195" s="250"/>
      <c r="D195" s="218"/>
      <c r="E195" s="218"/>
      <c r="F195" s="218"/>
      <c r="G195" s="218"/>
      <c r="H195" s="219"/>
      <c r="I195" s="220"/>
      <c r="J195" s="218"/>
      <c r="K195" s="221"/>
    </row>
    <row r="196" spans="1:11" s="252" customFormat="1" ht="27.6" x14ac:dyDescent="0.3">
      <c r="A196" s="322" t="s">
        <v>164</v>
      </c>
      <c r="B196" s="201" t="s">
        <v>271</v>
      </c>
      <c r="C196" s="245" t="s">
        <v>88</v>
      </c>
      <c r="D196" s="31"/>
      <c r="E196" s="31"/>
      <c r="F196" s="31"/>
      <c r="G196" s="31"/>
      <c r="H196" s="31"/>
      <c r="I196" s="25" t="s">
        <v>612</v>
      </c>
      <c r="J196" s="30"/>
      <c r="K196" s="32"/>
    </row>
    <row r="197" spans="1:11" s="252" customFormat="1" x14ac:dyDescent="0.3">
      <c r="A197" s="322"/>
      <c r="B197" s="33" t="s">
        <v>763</v>
      </c>
      <c r="C197" s="245"/>
      <c r="D197" s="30"/>
      <c r="E197" s="30">
        <v>1</v>
      </c>
      <c r="F197" s="30"/>
      <c r="G197" s="30">
        <v>2.2000000000000002</v>
      </c>
      <c r="H197" s="34">
        <f t="shared" ref="H197:H198" si="20">ROUND(PRODUCT(D197:G197),2)</f>
        <v>2.2000000000000002</v>
      </c>
      <c r="I197" s="25"/>
      <c r="J197" s="30"/>
      <c r="K197" s="32"/>
    </row>
    <row r="198" spans="1:11" s="252" customFormat="1" x14ac:dyDescent="0.3">
      <c r="A198" s="322"/>
      <c r="B198" s="33" t="s">
        <v>764</v>
      </c>
      <c r="C198" s="245"/>
      <c r="D198" s="30"/>
      <c r="E198" s="30">
        <v>0.8</v>
      </c>
      <c r="F198" s="30"/>
      <c r="G198" s="30">
        <v>2.2000000000000002</v>
      </c>
      <c r="H198" s="34">
        <f t="shared" si="20"/>
        <v>1.76</v>
      </c>
      <c r="I198" s="25"/>
      <c r="J198" s="30"/>
      <c r="K198" s="32"/>
    </row>
    <row r="199" spans="1:11" s="276" customFormat="1" x14ac:dyDescent="0.3">
      <c r="A199" s="321"/>
      <c r="B199" s="36" t="str">
        <f>"Total item "&amp;A196</f>
        <v>Total item 8.3</v>
      </c>
      <c r="C199" s="244"/>
      <c r="D199" s="34"/>
      <c r="E199" s="34"/>
      <c r="F199" s="34"/>
      <c r="G199" s="34"/>
      <c r="H199" s="28">
        <f>SUM(H197:H198)</f>
        <v>3.96</v>
      </c>
      <c r="I199" s="25"/>
      <c r="J199" s="34"/>
      <c r="K199" s="25"/>
    </row>
    <row r="200" spans="1:11" s="251" customFormat="1" x14ac:dyDescent="0.3">
      <c r="A200" s="329"/>
      <c r="B200" s="216"/>
      <c r="C200" s="250"/>
      <c r="D200" s="218"/>
      <c r="E200" s="218"/>
      <c r="F200" s="218"/>
      <c r="G200" s="218"/>
      <c r="H200" s="219"/>
      <c r="I200" s="220"/>
      <c r="J200" s="218"/>
      <c r="K200" s="221"/>
    </row>
    <row r="201" spans="1:11" s="252" customFormat="1" ht="96.6" x14ac:dyDescent="0.3">
      <c r="A201" s="322" t="s">
        <v>165</v>
      </c>
      <c r="B201" s="201" t="s">
        <v>767</v>
      </c>
      <c r="C201" s="245" t="s">
        <v>88</v>
      </c>
      <c r="D201" s="31"/>
      <c r="E201" s="31"/>
      <c r="F201" s="31"/>
      <c r="G201" s="31"/>
      <c r="H201" s="31"/>
      <c r="I201" s="25" t="s">
        <v>612</v>
      </c>
      <c r="J201" s="30"/>
      <c r="K201" s="32"/>
    </row>
    <row r="202" spans="1:11" s="252" customFormat="1" x14ac:dyDescent="0.3">
      <c r="A202" s="322"/>
      <c r="B202" s="33" t="s">
        <v>768</v>
      </c>
      <c r="C202" s="245"/>
      <c r="D202" s="30">
        <v>3</v>
      </c>
      <c r="E202" s="30">
        <v>1.65</v>
      </c>
      <c r="F202" s="30"/>
      <c r="G202" s="30">
        <v>1</v>
      </c>
      <c r="H202" s="34">
        <f t="shared" ref="H202" si="21">ROUND(PRODUCT(D202:G202),2)</f>
        <v>4.95</v>
      </c>
      <c r="I202" s="32"/>
      <c r="J202" s="30"/>
      <c r="K202" s="32"/>
    </row>
    <row r="203" spans="1:11" s="276" customFormat="1" x14ac:dyDescent="0.3">
      <c r="A203" s="321"/>
      <c r="B203" s="36" t="str">
        <f>"Total item "&amp;A201</f>
        <v>Total item 8.4</v>
      </c>
      <c r="C203" s="244"/>
      <c r="D203" s="34"/>
      <c r="E203" s="34"/>
      <c r="F203" s="34"/>
      <c r="G203" s="34"/>
      <c r="H203" s="28">
        <f>SUM(H202:H202)</f>
        <v>4.95</v>
      </c>
      <c r="I203" s="25"/>
      <c r="J203" s="34"/>
      <c r="K203" s="25"/>
    </row>
    <row r="204" spans="1:11" s="251" customFormat="1" x14ac:dyDescent="0.3">
      <c r="A204" s="329"/>
      <c r="B204" s="216"/>
      <c r="C204" s="250"/>
      <c r="D204" s="218"/>
      <c r="E204" s="218"/>
      <c r="F204" s="218"/>
      <c r="G204" s="218"/>
      <c r="H204" s="219"/>
      <c r="I204" s="220"/>
      <c r="J204" s="218"/>
      <c r="K204" s="221"/>
    </row>
    <row r="205" spans="1:11" s="252" customFormat="1" ht="42" customHeight="1" x14ac:dyDescent="0.3">
      <c r="A205" s="322" t="s">
        <v>247</v>
      </c>
      <c r="B205" s="201" t="s">
        <v>419</v>
      </c>
      <c r="C205" s="245" t="s">
        <v>86</v>
      </c>
      <c r="D205" s="31"/>
      <c r="E205" s="31"/>
      <c r="F205" s="31"/>
      <c r="G205" s="31"/>
      <c r="H205" s="31"/>
      <c r="I205" s="25" t="s">
        <v>612</v>
      </c>
      <c r="J205" s="30"/>
      <c r="K205" s="32"/>
    </row>
    <row r="206" spans="1:11" s="252" customFormat="1" x14ac:dyDescent="0.3">
      <c r="A206" s="322"/>
      <c r="B206" s="33" t="s">
        <v>763</v>
      </c>
      <c r="C206" s="245"/>
      <c r="D206" s="30">
        <v>1</v>
      </c>
      <c r="E206" s="30"/>
      <c r="F206" s="30"/>
      <c r="G206" s="30"/>
      <c r="H206" s="34">
        <f t="shared" ref="H206:H210" si="22">ROUND(PRODUCT(D206:G206),2)</f>
        <v>1</v>
      </c>
      <c r="I206" s="32"/>
      <c r="J206" s="30"/>
      <c r="K206" s="32"/>
    </row>
    <row r="207" spans="1:11" s="252" customFormat="1" x14ac:dyDescent="0.3">
      <c r="A207" s="322"/>
      <c r="B207" s="33" t="s">
        <v>764</v>
      </c>
      <c r="C207" s="245"/>
      <c r="D207" s="30">
        <v>1</v>
      </c>
      <c r="E207" s="30"/>
      <c r="F207" s="30"/>
      <c r="G207" s="30"/>
      <c r="H207" s="34">
        <f t="shared" si="22"/>
        <v>1</v>
      </c>
      <c r="I207" s="32"/>
      <c r="J207" s="30"/>
      <c r="K207" s="32"/>
    </row>
    <row r="208" spans="1:11" s="252" customFormat="1" x14ac:dyDescent="0.3">
      <c r="A208" s="322"/>
      <c r="B208" s="33" t="s">
        <v>756</v>
      </c>
      <c r="C208" s="245"/>
      <c r="D208" s="30">
        <v>2</v>
      </c>
      <c r="E208" s="30"/>
      <c r="F208" s="30"/>
      <c r="G208" s="30"/>
      <c r="H208" s="34">
        <f t="shared" si="22"/>
        <v>2</v>
      </c>
      <c r="I208" s="32"/>
      <c r="J208" s="30"/>
      <c r="K208" s="32"/>
    </row>
    <row r="209" spans="1:11" s="252" customFormat="1" x14ac:dyDescent="0.3">
      <c r="A209" s="322"/>
      <c r="B209" s="33" t="s">
        <v>757</v>
      </c>
      <c r="C209" s="245"/>
      <c r="D209" s="30">
        <v>2</v>
      </c>
      <c r="E209" s="30"/>
      <c r="F209" s="30"/>
      <c r="G209" s="30"/>
      <c r="H209" s="34">
        <f t="shared" si="22"/>
        <v>2</v>
      </c>
      <c r="I209" s="32"/>
      <c r="J209" s="30"/>
      <c r="K209" s="32"/>
    </row>
    <row r="210" spans="1:11" s="252" customFormat="1" x14ac:dyDescent="0.3">
      <c r="A210" s="322"/>
      <c r="B210" s="33" t="s">
        <v>758</v>
      </c>
      <c r="C210" s="245"/>
      <c r="D210" s="30">
        <v>6</v>
      </c>
      <c r="E210" s="30"/>
      <c r="F210" s="30"/>
      <c r="G210" s="30"/>
      <c r="H210" s="34">
        <f t="shared" si="22"/>
        <v>6</v>
      </c>
      <c r="I210" s="32"/>
      <c r="J210" s="30"/>
      <c r="K210" s="32"/>
    </row>
    <row r="211" spans="1:11" s="276" customFormat="1" x14ac:dyDescent="0.3">
      <c r="A211" s="321"/>
      <c r="B211" s="36" t="str">
        <f>"Total item "&amp;A205</f>
        <v>Total item 8.5</v>
      </c>
      <c r="C211" s="244"/>
      <c r="D211" s="34"/>
      <c r="E211" s="34"/>
      <c r="F211" s="34"/>
      <c r="G211" s="34"/>
      <c r="H211" s="28">
        <f>SUM(H206:H210)</f>
        <v>12</v>
      </c>
      <c r="I211" s="25"/>
      <c r="J211" s="34"/>
      <c r="K211" s="25"/>
    </row>
    <row r="212" spans="1:11" s="251" customFormat="1" x14ac:dyDescent="0.3">
      <c r="A212" s="329"/>
      <c r="B212" s="216"/>
      <c r="C212" s="250"/>
      <c r="D212" s="218"/>
      <c r="E212" s="218"/>
      <c r="F212" s="218"/>
      <c r="G212" s="218"/>
      <c r="H212" s="219"/>
      <c r="I212" s="220"/>
      <c r="J212" s="218"/>
      <c r="K212" s="221"/>
    </row>
    <row r="213" spans="1:11" s="252" customFormat="1" ht="27.6" x14ac:dyDescent="0.3">
      <c r="A213" s="322" t="s">
        <v>248</v>
      </c>
      <c r="B213" s="201" t="s">
        <v>771</v>
      </c>
      <c r="C213" s="245" t="s">
        <v>87</v>
      </c>
      <c r="D213" s="31"/>
      <c r="E213" s="31" t="s">
        <v>191</v>
      </c>
      <c r="F213" s="31"/>
      <c r="G213" s="31"/>
      <c r="H213" s="31"/>
      <c r="I213" s="25" t="s">
        <v>612</v>
      </c>
      <c r="J213" s="30"/>
      <c r="K213" s="32"/>
    </row>
    <row r="214" spans="1:11" s="252" customFormat="1" x14ac:dyDescent="0.3">
      <c r="A214" s="322"/>
      <c r="B214" s="33" t="s">
        <v>802</v>
      </c>
      <c r="C214" s="245"/>
      <c r="D214" s="30"/>
      <c r="E214" s="30">
        <v>397.22</v>
      </c>
      <c r="F214" s="30"/>
      <c r="G214" s="30"/>
      <c r="H214" s="34">
        <f t="shared" ref="H214:H215" si="23">ROUND(PRODUCT(D214:G214),2)</f>
        <v>397.22</v>
      </c>
      <c r="I214" s="32"/>
      <c r="J214" s="30"/>
      <c r="K214" s="32"/>
    </row>
    <row r="215" spans="1:11" s="252" customFormat="1" x14ac:dyDescent="0.3">
      <c r="A215" s="322"/>
      <c r="B215" s="33" t="s">
        <v>801</v>
      </c>
      <c r="C215" s="245"/>
      <c r="D215" s="30">
        <v>20</v>
      </c>
      <c r="E215" s="30">
        <v>43.72</v>
      </c>
      <c r="F215" s="30"/>
      <c r="G215" s="30"/>
      <c r="H215" s="34">
        <f t="shared" si="23"/>
        <v>874.4</v>
      </c>
      <c r="I215" s="32"/>
      <c r="J215" s="30"/>
      <c r="K215" s="32"/>
    </row>
    <row r="216" spans="1:11" s="276" customFormat="1" x14ac:dyDescent="0.3">
      <c r="A216" s="321"/>
      <c r="B216" s="36" t="str">
        <f>"Total item "&amp;A213</f>
        <v>Total item 8.6</v>
      </c>
      <c r="C216" s="244"/>
      <c r="D216" s="34"/>
      <c r="E216" s="34"/>
      <c r="F216" s="34"/>
      <c r="G216" s="34"/>
      <c r="H216" s="28">
        <f>SUM(H214:H215)</f>
        <v>1271.6199999999999</v>
      </c>
      <c r="I216" s="25"/>
      <c r="J216" s="34"/>
      <c r="K216" s="25"/>
    </row>
    <row r="217" spans="1:11" s="251" customFormat="1" x14ac:dyDescent="0.3">
      <c r="A217" s="329"/>
      <c r="B217" s="216"/>
      <c r="C217" s="250"/>
      <c r="D217" s="218"/>
      <c r="E217" s="218"/>
      <c r="F217" s="218"/>
      <c r="G217" s="218"/>
      <c r="H217" s="219"/>
      <c r="I217" s="220"/>
      <c r="J217" s="218"/>
      <c r="K217" s="221"/>
    </row>
    <row r="218" spans="1:11" s="252" customFormat="1" ht="41.4" x14ac:dyDescent="0.3">
      <c r="A218" s="322" t="s">
        <v>489</v>
      </c>
      <c r="B218" s="201" t="s">
        <v>258</v>
      </c>
      <c r="C218" s="245" t="s">
        <v>86</v>
      </c>
      <c r="D218" s="31"/>
      <c r="E218" s="31"/>
      <c r="F218" s="31"/>
      <c r="G218" s="31"/>
      <c r="H218" s="31"/>
      <c r="I218" s="25" t="s">
        <v>612</v>
      </c>
      <c r="J218" s="30"/>
      <c r="K218" s="32"/>
    </row>
    <row r="219" spans="1:11" s="252" customFormat="1" x14ac:dyDescent="0.3">
      <c r="A219" s="322"/>
      <c r="B219" s="33" t="s">
        <v>681</v>
      </c>
      <c r="C219" s="245"/>
      <c r="D219" s="30">
        <v>4</v>
      </c>
      <c r="E219" s="30"/>
      <c r="F219" s="30"/>
      <c r="G219" s="30"/>
      <c r="H219" s="34">
        <f>ROUND(PRODUCT(D219:G219),2)</f>
        <v>4</v>
      </c>
      <c r="I219" s="32"/>
      <c r="J219" s="30"/>
      <c r="K219" s="32"/>
    </row>
    <row r="220" spans="1:11" s="276" customFormat="1" x14ac:dyDescent="0.3">
      <c r="A220" s="321"/>
      <c r="B220" s="36" t="str">
        <f>"Total item "&amp;A218</f>
        <v>Total item 8.7</v>
      </c>
      <c r="C220" s="244"/>
      <c r="D220" s="34"/>
      <c r="E220" s="34"/>
      <c r="F220" s="34"/>
      <c r="G220" s="34"/>
      <c r="H220" s="28">
        <f>SUM(H219:H219)</f>
        <v>4</v>
      </c>
      <c r="I220" s="25"/>
      <c r="J220" s="34"/>
      <c r="K220" s="25"/>
    </row>
    <row r="221" spans="1:11" s="251" customFormat="1" x14ac:dyDescent="0.3">
      <c r="A221" s="329"/>
      <c r="B221" s="216"/>
      <c r="C221" s="250"/>
      <c r="D221" s="218"/>
      <c r="E221" s="218"/>
      <c r="F221" s="218"/>
      <c r="G221" s="218"/>
      <c r="H221" s="219"/>
      <c r="I221" s="220"/>
      <c r="J221" s="218"/>
      <c r="K221" s="221"/>
    </row>
    <row r="222" spans="1:11" s="171" customFormat="1" x14ac:dyDescent="0.3">
      <c r="A222" s="328" t="s">
        <v>23</v>
      </c>
      <c r="B222" s="199" t="s">
        <v>126</v>
      </c>
      <c r="C222" s="243"/>
      <c r="D222" s="28"/>
      <c r="E222" s="28"/>
      <c r="F222" s="28"/>
      <c r="G222" s="28"/>
      <c r="H222" s="28"/>
      <c r="J222" s="28"/>
      <c r="K222" s="202"/>
    </row>
    <row r="223" spans="1:11" s="220" customFormat="1" x14ac:dyDescent="0.3">
      <c r="A223" s="329"/>
      <c r="B223" s="216"/>
      <c r="C223" s="250"/>
      <c r="D223" s="218"/>
      <c r="E223" s="218"/>
      <c r="F223" s="218"/>
      <c r="G223" s="218"/>
      <c r="H223" s="219"/>
      <c r="J223" s="218"/>
      <c r="K223" s="221"/>
    </row>
    <row r="224" spans="1:11" s="280" customFormat="1" ht="27.6" x14ac:dyDescent="0.3">
      <c r="A224" s="330" t="s">
        <v>184</v>
      </c>
      <c r="B224" s="201" t="s">
        <v>421</v>
      </c>
      <c r="C224" s="277" t="s">
        <v>88</v>
      </c>
      <c r="D224" s="278"/>
      <c r="E224" s="31" t="s">
        <v>266</v>
      </c>
      <c r="F224" s="278"/>
      <c r="G224" s="278"/>
      <c r="H224" s="278"/>
      <c r="I224" s="25" t="s">
        <v>612</v>
      </c>
      <c r="J224" s="279"/>
      <c r="K224" s="324"/>
    </row>
    <row r="225" spans="1:11" s="32" customFormat="1" x14ac:dyDescent="0.3">
      <c r="A225" s="322"/>
      <c r="B225" s="253" t="s">
        <v>690</v>
      </c>
      <c r="C225" s="245"/>
      <c r="D225" s="30"/>
      <c r="E225" s="30">
        <f>E46</f>
        <v>1226.75</v>
      </c>
      <c r="F225" s="30"/>
      <c r="G225" s="30"/>
      <c r="H225" s="34">
        <f t="shared" ref="H225" si="24">ROUND(PRODUCT(D225:G225),2)</f>
        <v>1226.75</v>
      </c>
      <c r="J225" s="30"/>
    </row>
    <row r="226" spans="1:11" s="25" customFormat="1" x14ac:dyDescent="0.3">
      <c r="A226" s="321"/>
      <c r="B226" s="36" t="str">
        <f>"Total item "&amp;A224</f>
        <v>Total item 9.1</v>
      </c>
      <c r="C226" s="244"/>
      <c r="D226" s="34"/>
      <c r="E226" s="34"/>
      <c r="F226" s="34"/>
      <c r="G226" s="34"/>
      <c r="H226" s="28">
        <f>SUM(H225:H225)</f>
        <v>1226.75</v>
      </c>
      <c r="J226" s="34"/>
      <c r="K226" s="38"/>
    </row>
    <row r="227" spans="1:11" s="220" customFormat="1" x14ac:dyDescent="0.3">
      <c r="A227" s="329"/>
      <c r="B227" s="216"/>
      <c r="C227" s="250"/>
      <c r="D227" s="218"/>
      <c r="E227" s="218"/>
      <c r="F227" s="218"/>
      <c r="G227" s="218"/>
      <c r="H227" s="219"/>
      <c r="J227" s="218"/>
      <c r="K227" s="221"/>
    </row>
    <row r="228" spans="1:11" s="32" customFormat="1" ht="27.6" x14ac:dyDescent="0.3">
      <c r="A228" s="322" t="s">
        <v>166</v>
      </c>
      <c r="B228" s="201" t="s">
        <v>422</v>
      </c>
      <c r="C228" s="245" t="s">
        <v>88</v>
      </c>
      <c r="D228" s="31"/>
      <c r="E228" s="31" t="s">
        <v>266</v>
      </c>
      <c r="F228" s="31"/>
      <c r="G228" s="31"/>
      <c r="H228" s="31"/>
      <c r="I228" s="25" t="s">
        <v>612</v>
      </c>
      <c r="J228" s="30"/>
      <c r="K228" s="281"/>
    </row>
    <row r="229" spans="1:11" s="32" customFormat="1" x14ac:dyDescent="0.3">
      <c r="A229" s="322"/>
      <c r="B229" s="33" t="s">
        <v>423</v>
      </c>
      <c r="C229" s="245"/>
      <c r="D229" s="30"/>
      <c r="E229" s="30">
        <f>H226</f>
        <v>1226.75</v>
      </c>
      <c r="F229" s="30"/>
      <c r="G229" s="30"/>
      <c r="H229" s="34">
        <f t="shared" ref="H229" si="25">ROUND(PRODUCT(D229:G229),2)</f>
        <v>1226.75</v>
      </c>
      <c r="J229" s="30"/>
      <c r="K229" s="281"/>
    </row>
    <row r="230" spans="1:11" s="25" customFormat="1" x14ac:dyDescent="0.3">
      <c r="A230" s="321"/>
      <c r="B230" s="36" t="str">
        <f>"Total item "&amp;A228</f>
        <v>Total item 9.2</v>
      </c>
      <c r="C230" s="244"/>
      <c r="D230" s="34"/>
      <c r="E230" s="34"/>
      <c r="F230" s="34"/>
      <c r="G230" s="34"/>
      <c r="H230" s="28">
        <f>SUM(H229:H229)</f>
        <v>1226.75</v>
      </c>
      <c r="J230" s="34"/>
      <c r="K230" s="38"/>
    </row>
    <row r="231" spans="1:11" s="220" customFormat="1" x14ac:dyDescent="0.3">
      <c r="A231" s="329"/>
      <c r="B231" s="216"/>
      <c r="C231" s="250"/>
      <c r="D231" s="218"/>
      <c r="E231" s="218"/>
      <c r="F231" s="218"/>
      <c r="G231" s="218"/>
      <c r="H231" s="219"/>
      <c r="J231" s="218"/>
      <c r="K231" s="221"/>
    </row>
    <row r="232" spans="1:11" s="32" customFormat="1" ht="27.6" x14ac:dyDescent="0.3">
      <c r="A232" s="322" t="s">
        <v>167</v>
      </c>
      <c r="B232" s="201" t="s">
        <v>424</v>
      </c>
      <c r="C232" s="245" t="s">
        <v>88</v>
      </c>
      <c r="D232" s="31"/>
      <c r="E232" s="31" t="s">
        <v>266</v>
      </c>
      <c r="F232" s="31"/>
      <c r="G232" s="31"/>
      <c r="H232" s="31"/>
      <c r="I232" s="25" t="s">
        <v>612</v>
      </c>
      <c r="J232" s="30"/>
      <c r="K232" s="281"/>
    </row>
    <row r="233" spans="1:11" s="32" customFormat="1" x14ac:dyDescent="0.3">
      <c r="A233" s="322"/>
      <c r="B233" s="33" t="s">
        <v>425</v>
      </c>
      <c r="C233" s="245"/>
      <c r="D233" s="30"/>
      <c r="E233" s="30">
        <f>H230</f>
        <v>1226.75</v>
      </c>
      <c r="F233" s="30"/>
      <c r="G233" s="30"/>
      <c r="H233" s="34">
        <f t="shared" ref="H233" si="26">ROUND(PRODUCT(D233:G233),2)</f>
        <v>1226.75</v>
      </c>
      <c r="J233" s="30"/>
    </row>
    <row r="234" spans="1:11" s="25" customFormat="1" x14ac:dyDescent="0.3">
      <c r="A234" s="321"/>
      <c r="B234" s="36" t="str">
        <f>"Total item "&amp;A232</f>
        <v>Total item 9.3</v>
      </c>
      <c r="C234" s="244"/>
      <c r="D234" s="34"/>
      <c r="E234" s="34"/>
      <c r="F234" s="34"/>
      <c r="G234" s="34"/>
      <c r="H234" s="28">
        <f>SUM(H233:H233)</f>
        <v>1226.75</v>
      </c>
      <c r="J234" s="34"/>
      <c r="K234" s="38"/>
    </row>
    <row r="235" spans="1:11" s="220" customFormat="1" x14ac:dyDescent="0.3">
      <c r="A235" s="329"/>
      <c r="B235" s="216"/>
      <c r="C235" s="250"/>
      <c r="D235" s="218"/>
      <c r="E235" s="218"/>
      <c r="F235" s="218"/>
      <c r="G235" s="218"/>
      <c r="H235" s="219"/>
      <c r="J235" s="218"/>
      <c r="K235" s="221"/>
    </row>
    <row r="236" spans="1:11" s="32" customFormat="1" ht="41.4" x14ac:dyDescent="0.3">
      <c r="A236" s="322" t="s">
        <v>168</v>
      </c>
      <c r="B236" s="201" t="s">
        <v>216</v>
      </c>
      <c r="C236" s="245" t="s">
        <v>88</v>
      </c>
      <c r="D236" s="31"/>
      <c r="E236" s="31"/>
      <c r="F236" s="31"/>
      <c r="G236" s="31"/>
      <c r="H236" s="31"/>
      <c r="I236" s="25" t="s">
        <v>612</v>
      </c>
      <c r="J236" s="30"/>
      <c r="K236" s="281"/>
    </row>
    <row r="237" spans="1:11" s="252" customFormat="1" x14ac:dyDescent="0.3">
      <c r="A237" s="322"/>
      <c r="B237" s="33" t="s">
        <v>763</v>
      </c>
      <c r="C237" s="245"/>
      <c r="D237" s="30"/>
      <c r="E237" s="30">
        <v>1</v>
      </c>
      <c r="F237" s="30"/>
      <c r="G237" s="30">
        <v>2.2000000000000002</v>
      </c>
      <c r="H237" s="34">
        <f t="shared" ref="H237:H240" si="27">ROUND(PRODUCT(D237:G237),2)</f>
        <v>2.2000000000000002</v>
      </c>
      <c r="I237" s="25"/>
      <c r="J237" s="30"/>
      <c r="K237" s="32"/>
    </row>
    <row r="238" spans="1:11" s="252" customFormat="1" x14ac:dyDescent="0.3">
      <c r="A238" s="322"/>
      <c r="B238" s="33" t="s">
        <v>764</v>
      </c>
      <c r="C238" s="245"/>
      <c r="D238" s="30"/>
      <c r="E238" s="30">
        <v>0.8</v>
      </c>
      <c r="F238" s="30"/>
      <c r="G238" s="30">
        <v>2.2000000000000002</v>
      </c>
      <c r="H238" s="34">
        <f t="shared" si="27"/>
        <v>1.76</v>
      </c>
      <c r="I238" s="25"/>
      <c r="J238" s="30"/>
      <c r="K238" s="32"/>
    </row>
    <row r="239" spans="1:11" s="32" customFormat="1" x14ac:dyDescent="0.3">
      <c r="A239" s="322"/>
      <c r="B239" s="33" t="s">
        <v>802</v>
      </c>
      <c r="C239" s="245"/>
      <c r="D239" s="30"/>
      <c r="E239" s="30">
        <v>397.22</v>
      </c>
      <c r="F239" s="30">
        <v>0.15</v>
      </c>
      <c r="G239" s="30"/>
      <c r="H239" s="34">
        <f t="shared" si="27"/>
        <v>59.58</v>
      </c>
      <c r="J239" s="30"/>
      <c r="K239" s="281"/>
    </row>
    <row r="240" spans="1:11" s="32" customFormat="1" x14ac:dyDescent="0.3">
      <c r="A240" s="322"/>
      <c r="B240" s="33" t="s">
        <v>801</v>
      </c>
      <c r="C240" s="245"/>
      <c r="D240" s="30"/>
      <c r="E240" s="30">
        <v>43.72</v>
      </c>
      <c r="F240" s="30">
        <v>0.15</v>
      </c>
      <c r="G240" s="30"/>
      <c r="H240" s="34">
        <f t="shared" si="27"/>
        <v>6.56</v>
      </c>
      <c r="J240" s="30"/>
      <c r="K240" s="281"/>
    </row>
    <row r="241" spans="1:11" s="25" customFormat="1" x14ac:dyDescent="0.3">
      <c r="A241" s="321"/>
      <c r="B241" s="36" t="str">
        <f>"Total item "&amp;A236</f>
        <v>Total item 9.4</v>
      </c>
      <c r="C241" s="244"/>
      <c r="D241" s="34"/>
      <c r="E241" s="34"/>
      <c r="F241" s="34"/>
      <c r="G241" s="34"/>
      <c r="H241" s="28">
        <f>SUM(H237:H240)</f>
        <v>70.099999999999994</v>
      </c>
      <c r="J241" s="34"/>
      <c r="K241" s="38"/>
    </row>
    <row r="242" spans="1:11" s="25" customFormat="1" x14ac:dyDescent="0.3">
      <c r="A242" s="320"/>
      <c r="B242" s="36"/>
      <c r="C242" s="244"/>
      <c r="D242" s="34"/>
      <c r="E242" s="34"/>
      <c r="F242" s="34"/>
      <c r="G242" s="34"/>
      <c r="H242" s="37"/>
      <c r="J242" s="34"/>
      <c r="K242" s="38"/>
    </row>
    <row r="243" spans="1:11" s="32" customFormat="1" ht="55.2" x14ac:dyDescent="0.3">
      <c r="A243" s="322" t="s">
        <v>192</v>
      </c>
      <c r="B243" s="201" t="s">
        <v>133</v>
      </c>
      <c r="C243" s="245" t="s">
        <v>88</v>
      </c>
      <c r="D243" s="31"/>
      <c r="E243" s="31"/>
      <c r="F243" s="31"/>
      <c r="G243" s="31"/>
      <c r="H243" s="31"/>
      <c r="I243" s="25" t="s">
        <v>612</v>
      </c>
      <c r="J243" s="30"/>
      <c r="K243" s="281"/>
    </row>
    <row r="244" spans="1:11" s="32" customFormat="1" x14ac:dyDescent="0.3">
      <c r="A244" s="322"/>
      <c r="B244" s="249" t="s">
        <v>423</v>
      </c>
      <c r="C244" s="245"/>
      <c r="D244" s="30"/>
      <c r="E244" s="30">
        <f>H241</f>
        <v>70.099999999999994</v>
      </c>
      <c r="F244" s="30"/>
      <c r="G244" s="30"/>
      <c r="H244" s="34">
        <f t="shared" ref="H244" si="28">ROUND(PRODUCT(D244:G244),2)</f>
        <v>70.099999999999994</v>
      </c>
      <c r="J244" s="30"/>
      <c r="K244" s="281"/>
    </row>
    <row r="245" spans="1:11" s="25" customFormat="1" x14ac:dyDescent="0.3">
      <c r="A245" s="321"/>
      <c r="B245" s="36" t="str">
        <f>"Total item "&amp;A243</f>
        <v>Total item 9.5</v>
      </c>
      <c r="C245" s="244"/>
      <c r="D245" s="34"/>
      <c r="E245" s="34"/>
      <c r="F245" s="34"/>
      <c r="G245" s="34"/>
      <c r="H245" s="28">
        <f>SUM(H244:H244)</f>
        <v>70.099999999999994</v>
      </c>
      <c r="J245" s="34"/>
      <c r="K245" s="38"/>
    </row>
    <row r="246" spans="1:11" s="220" customFormat="1" x14ac:dyDescent="0.3">
      <c r="A246" s="329"/>
      <c r="B246" s="216"/>
      <c r="C246" s="250"/>
      <c r="D246" s="218"/>
      <c r="E246" s="218"/>
      <c r="F246" s="218"/>
      <c r="G246" s="218"/>
      <c r="H246" s="219"/>
      <c r="J246" s="218"/>
      <c r="K246" s="221"/>
    </row>
    <row r="247" spans="1:11" s="171" customFormat="1" x14ac:dyDescent="0.3">
      <c r="A247" s="328" t="s">
        <v>24</v>
      </c>
      <c r="B247" s="199" t="s">
        <v>232</v>
      </c>
      <c r="C247" s="243"/>
      <c r="D247" s="28"/>
      <c r="E247" s="28"/>
      <c r="F247" s="28"/>
      <c r="G247" s="28"/>
      <c r="H247" s="28"/>
      <c r="J247" s="28"/>
      <c r="K247" s="202"/>
    </row>
    <row r="248" spans="1:11" s="25" customFormat="1" x14ac:dyDescent="0.3">
      <c r="A248" s="320"/>
      <c r="B248" s="36"/>
      <c r="C248" s="244"/>
      <c r="D248" s="34"/>
      <c r="E248" s="34"/>
      <c r="F248" s="34"/>
      <c r="G248" s="34"/>
      <c r="H248" s="37"/>
      <c r="J248" s="34"/>
      <c r="K248" s="38"/>
    </row>
    <row r="249" spans="1:11" s="32" customFormat="1" ht="55.2" x14ac:dyDescent="0.3">
      <c r="A249" s="322" t="s">
        <v>147</v>
      </c>
      <c r="B249" s="201" t="s">
        <v>151</v>
      </c>
      <c r="C249" s="245" t="s">
        <v>86</v>
      </c>
      <c r="D249" s="31"/>
      <c r="E249" s="31"/>
      <c r="F249" s="31"/>
      <c r="G249" s="31"/>
      <c r="H249" s="31"/>
      <c r="I249" s="25" t="s">
        <v>612</v>
      </c>
      <c r="J249" s="30"/>
    </row>
    <row r="250" spans="1:11" s="32" customFormat="1" x14ac:dyDescent="0.3">
      <c r="A250" s="322"/>
      <c r="B250" s="33" t="s">
        <v>810</v>
      </c>
      <c r="C250" s="245"/>
      <c r="D250" s="30">
        <v>110</v>
      </c>
      <c r="E250" s="30"/>
      <c r="F250" s="30"/>
      <c r="G250" s="30"/>
      <c r="H250" s="34">
        <f t="shared" ref="H250:H251" si="29">ROUND(PRODUCT(D250:G250),2)</f>
        <v>110</v>
      </c>
      <c r="J250" s="30"/>
    </row>
    <row r="251" spans="1:11" s="32" customFormat="1" x14ac:dyDescent="0.3">
      <c r="A251" s="322"/>
      <c r="B251" s="213" t="s">
        <v>788</v>
      </c>
      <c r="C251" s="245"/>
      <c r="D251" s="30">
        <v>11</v>
      </c>
      <c r="E251" s="30"/>
      <c r="F251" s="30"/>
      <c r="G251" s="30"/>
      <c r="H251" s="34">
        <f t="shared" si="29"/>
        <v>11</v>
      </c>
      <c r="J251" s="30"/>
    </row>
    <row r="252" spans="1:11" s="25" customFormat="1" x14ac:dyDescent="0.3">
      <c r="A252" s="321"/>
      <c r="B252" s="36" t="str">
        <f>"Total item "&amp;A249</f>
        <v>Total item 10.1</v>
      </c>
      <c r="C252" s="244"/>
      <c r="D252" s="34"/>
      <c r="E252" s="34"/>
      <c r="F252" s="34"/>
      <c r="G252" s="34"/>
      <c r="H252" s="28">
        <f>SUM(H250:H251)</f>
        <v>121</v>
      </c>
      <c r="J252" s="34"/>
    </row>
    <row r="253" spans="1:11" s="25" customFormat="1" x14ac:dyDescent="0.3">
      <c r="A253" s="320"/>
      <c r="B253" s="36"/>
      <c r="C253" s="244"/>
      <c r="D253" s="34"/>
      <c r="E253" s="34"/>
      <c r="F253" s="34"/>
      <c r="G253" s="34"/>
      <c r="H253" s="37"/>
      <c r="J253" s="34"/>
      <c r="K253" s="38"/>
    </row>
    <row r="254" spans="1:11" s="32" customFormat="1" ht="27.6" x14ac:dyDescent="0.3">
      <c r="A254" s="322" t="s">
        <v>169</v>
      </c>
      <c r="B254" s="201" t="s">
        <v>236</v>
      </c>
      <c r="C254" s="245" t="s">
        <v>86</v>
      </c>
      <c r="D254" s="31"/>
      <c r="E254" s="31"/>
      <c r="F254" s="31"/>
      <c r="G254" s="31"/>
      <c r="H254" s="31"/>
      <c r="I254" s="25" t="s">
        <v>612</v>
      </c>
      <c r="J254" s="30"/>
    </row>
    <row r="255" spans="1:11" s="32" customFormat="1" x14ac:dyDescent="0.3">
      <c r="A255" s="322"/>
      <c r="B255" s="33" t="s">
        <v>798</v>
      </c>
      <c r="C255" s="248"/>
      <c r="D255" s="30">
        <v>8</v>
      </c>
      <c r="E255" s="31"/>
      <c r="F255" s="31"/>
      <c r="G255" s="31"/>
      <c r="H255" s="34">
        <f t="shared" ref="H255" si="30">ROUND(PRODUCT(D255:G255),2)</f>
        <v>8</v>
      </c>
      <c r="J255" s="30"/>
    </row>
    <row r="256" spans="1:11" s="25" customFormat="1" x14ac:dyDescent="0.3">
      <c r="A256" s="321"/>
      <c r="B256" s="36" t="str">
        <f>"Total item "&amp;A254</f>
        <v>Total item 10.2</v>
      </c>
      <c r="C256" s="244"/>
      <c r="D256" s="34"/>
      <c r="E256" s="34"/>
      <c r="F256" s="34"/>
      <c r="G256" s="34"/>
      <c r="H256" s="28">
        <f>SUM(H255:H255)</f>
        <v>8</v>
      </c>
      <c r="J256" s="34"/>
    </row>
    <row r="257" spans="1:11" s="25" customFormat="1" x14ac:dyDescent="0.3">
      <c r="A257" s="320"/>
      <c r="B257" s="36"/>
      <c r="C257" s="244"/>
      <c r="D257" s="34"/>
      <c r="E257" s="34"/>
      <c r="F257" s="34"/>
      <c r="G257" s="34"/>
      <c r="H257" s="37"/>
      <c r="J257" s="34"/>
      <c r="K257" s="38"/>
    </row>
    <row r="258" spans="1:11" s="32" customFormat="1" ht="41.4" x14ac:dyDescent="0.3">
      <c r="A258" s="322" t="s">
        <v>170</v>
      </c>
      <c r="B258" s="201" t="s">
        <v>153</v>
      </c>
      <c r="C258" s="245" t="s">
        <v>86</v>
      </c>
      <c r="D258" s="31"/>
      <c r="E258" s="31"/>
      <c r="F258" s="31"/>
      <c r="G258" s="31"/>
      <c r="H258" s="31"/>
      <c r="I258" s="25" t="s">
        <v>612</v>
      </c>
      <c r="J258" s="30"/>
    </row>
    <row r="259" spans="1:11" s="32" customFormat="1" x14ac:dyDescent="0.3">
      <c r="A259" s="322"/>
      <c r="B259" s="33" t="s">
        <v>798</v>
      </c>
      <c r="C259" s="245"/>
      <c r="D259" s="30">
        <v>8</v>
      </c>
      <c r="E259" s="31"/>
      <c r="F259" s="31"/>
      <c r="G259" s="31"/>
      <c r="H259" s="34">
        <f t="shared" ref="H259:H261" si="31">ROUND(PRODUCT(D259:G259),2)</f>
        <v>8</v>
      </c>
      <c r="J259" s="30"/>
    </row>
    <row r="260" spans="1:11" s="32" customFormat="1" x14ac:dyDescent="0.3">
      <c r="A260" s="322"/>
      <c r="B260" s="213" t="s">
        <v>235</v>
      </c>
      <c r="C260" s="245"/>
      <c r="D260" s="30">
        <v>113</v>
      </c>
      <c r="E260" s="30"/>
      <c r="F260" s="30"/>
      <c r="G260" s="30"/>
      <c r="H260" s="34">
        <f t="shared" si="31"/>
        <v>113</v>
      </c>
      <c r="J260" s="30"/>
    </row>
    <row r="261" spans="1:11" s="32" customFormat="1" x14ac:dyDescent="0.3">
      <c r="A261" s="322"/>
      <c r="B261" s="213" t="s">
        <v>250</v>
      </c>
      <c r="C261" s="245"/>
      <c r="D261" s="30">
        <v>8</v>
      </c>
      <c r="E261" s="30"/>
      <c r="F261" s="30"/>
      <c r="G261" s="30"/>
      <c r="H261" s="34">
        <f t="shared" si="31"/>
        <v>8</v>
      </c>
      <c r="J261" s="30"/>
    </row>
    <row r="262" spans="1:11" s="25" customFormat="1" x14ac:dyDescent="0.3">
      <c r="A262" s="321"/>
      <c r="B262" s="36" t="str">
        <f>"Total item "&amp;A258</f>
        <v>Total item 10.3</v>
      </c>
      <c r="C262" s="244"/>
      <c r="D262" s="34"/>
      <c r="E262" s="34"/>
      <c r="F262" s="34"/>
      <c r="G262" s="34"/>
      <c r="H262" s="28">
        <f>SUM(H259:H261)</f>
        <v>129</v>
      </c>
      <c r="J262" s="34"/>
    </row>
    <row r="263" spans="1:11" s="25" customFormat="1" x14ac:dyDescent="0.3">
      <c r="A263" s="320"/>
      <c r="B263" s="36"/>
      <c r="C263" s="244"/>
      <c r="D263" s="34"/>
      <c r="E263" s="34"/>
      <c r="F263" s="34"/>
      <c r="G263" s="34"/>
      <c r="H263" s="37"/>
      <c r="J263" s="34"/>
      <c r="K263" s="38"/>
    </row>
    <row r="264" spans="1:11" s="32" customFormat="1" ht="27.6" x14ac:dyDescent="0.3">
      <c r="A264" s="322" t="s">
        <v>287</v>
      </c>
      <c r="B264" s="201" t="s">
        <v>145</v>
      </c>
      <c r="C264" s="245" t="s">
        <v>86</v>
      </c>
      <c r="D264" s="31"/>
      <c r="E264" s="31"/>
      <c r="F264" s="31"/>
      <c r="G264" s="31"/>
      <c r="H264" s="31"/>
      <c r="I264" s="25" t="s">
        <v>612</v>
      </c>
      <c r="J264" s="30"/>
    </row>
    <row r="265" spans="1:11" s="32" customFormat="1" x14ac:dyDescent="0.3">
      <c r="A265" s="322"/>
      <c r="B265" s="33" t="s">
        <v>809</v>
      </c>
      <c r="C265" s="248"/>
      <c r="D265" s="30">
        <v>8</v>
      </c>
      <c r="E265" s="31"/>
      <c r="F265" s="31"/>
      <c r="G265" s="31"/>
      <c r="H265" s="34">
        <f t="shared" ref="H265" si="32">ROUND(PRODUCT(D265:G265),2)</f>
        <v>8</v>
      </c>
      <c r="J265" s="30"/>
    </row>
    <row r="266" spans="1:11" s="25" customFormat="1" x14ac:dyDescent="0.3">
      <c r="A266" s="321"/>
      <c r="B266" s="36" t="str">
        <f>"Total item "&amp;A264</f>
        <v>Total item 10.4</v>
      </c>
      <c r="C266" s="244"/>
      <c r="D266" s="34"/>
      <c r="E266" s="34"/>
      <c r="F266" s="34"/>
      <c r="G266" s="34"/>
      <c r="H266" s="28">
        <f>SUM(H265:H265)</f>
        <v>8</v>
      </c>
      <c r="J266" s="34"/>
    </row>
    <row r="267" spans="1:11" s="25" customFormat="1" x14ac:dyDescent="0.3">
      <c r="A267" s="320"/>
      <c r="B267" s="36"/>
      <c r="C267" s="244"/>
      <c r="D267" s="34"/>
      <c r="E267" s="34"/>
      <c r="F267" s="34"/>
      <c r="G267" s="34"/>
      <c r="H267" s="37"/>
      <c r="J267" s="34"/>
      <c r="K267" s="38"/>
    </row>
    <row r="268" spans="1:11" s="32" customFormat="1" ht="69" x14ac:dyDescent="0.3">
      <c r="A268" s="322" t="s">
        <v>288</v>
      </c>
      <c r="B268" s="201" t="s">
        <v>441</v>
      </c>
      <c r="C268" s="245" t="s">
        <v>86</v>
      </c>
      <c r="D268" s="31"/>
      <c r="E268" s="31"/>
      <c r="F268" s="31"/>
      <c r="G268" s="31"/>
      <c r="H268" s="31"/>
      <c r="I268" s="25" t="s">
        <v>612</v>
      </c>
      <c r="J268" s="30"/>
    </row>
    <row r="269" spans="1:11" s="32" customFormat="1" x14ac:dyDescent="0.3">
      <c r="A269" s="322"/>
      <c r="B269" s="33" t="s">
        <v>810</v>
      </c>
      <c r="C269" s="248"/>
      <c r="D269" s="30">
        <v>111</v>
      </c>
      <c r="E269" s="30"/>
      <c r="F269" s="30"/>
      <c r="G269" s="30"/>
      <c r="H269" s="34">
        <f t="shared" ref="H269" si="33">ROUND(PRODUCT(D269:G269),2)</f>
        <v>111</v>
      </c>
      <c r="J269" s="30"/>
    </row>
    <row r="270" spans="1:11" s="25" customFormat="1" x14ac:dyDescent="0.3">
      <c r="A270" s="321"/>
      <c r="B270" s="36" t="str">
        <f>"Total item "&amp;A268</f>
        <v>Total item 10.5</v>
      </c>
      <c r="C270" s="244"/>
      <c r="D270" s="34"/>
      <c r="E270" s="34"/>
      <c r="F270" s="34"/>
      <c r="G270" s="34"/>
      <c r="H270" s="28">
        <f>SUM(H269:H269)</f>
        <v>111</v>
      </c>
      <c r="J270" s="34"/>
    </row>
    <row r="271" spans="1:11" s="25" customFormat="1" x14ac:dyDescent="0.3">
      <c r="A271" s="320"/>
      <c r="B271" s="36"/>
      <c r="C271" s="244"/>
      <c r="D271" s="34"/>
      <c r="E271" s="34"/>
      <c r="F271" s="34"/>
      <c r="G271" s="34"/>
      <c r="H271" s="37"/>
      <c r="J271" s="34"/>
      <c r="K271" s="38"/>
    </row>
    <row r="272" spans="1:11" s="32" customFormat="1" ht="27.6" x14ac:dyDescent="0.3">
      <c r="A272" s="322" t="s">
        <v>289</v>
      </c>
      <c r="B272" s="201" t="s">
        <v>359</v>
      </c>
      <c r="C272" s="245" t="s">
        <v>86</v>
      </c>
      <c r="D272" s="31"/>
      <c r="E272" s="31"/>
      <c r="F272" s="31"/>
      <c r="G272" s="31"/>
      <c r="H272" s="31"/>
      <c r="I272" s="25" t="s">
        <v>612</v>
      </c>
      <c r="J272" s="30"/>
    </row>
    <row r="273" spans="1:11" s="32" customFormat="1" x14ac:dyDescent="0.3">
      <c r="A273" s="322"/>
      <c r="B273" s="249" t="s">
        <v>249</v>
      </c>
      <c r="C273" s="245"/>
      <c r="D273" s="31"/>
      <c r="E273" s="31"/>
      <c r="F273" s="31"/>
      <c r="G273" s="31"/>
      <c r="H273" s="34"/>
      <c r="J273" s="30"/>
    </row>
    <row r="274" spans="1:11" s="32" customFormat="1" x14ac:dyDescent="0.3">
      <c r="A274" s="322"/>
      <c r="B274" s="213" t="s">
        <v>531</v>
      </c>
      <c r="C274" s="245"/>
      <c r="D274" s="30">
        <v>2</v>
      </c>
      <c r="E274" s="30"/>
      <c r="F274" s="30"/>
      <c r="G274" s="30"/>
      <c r="H274" s="34">
        <f t="shared" ref="H274" si="34">ROUND(PRODUCT(D274:G274),2)</f>
        <v>2</v>
      </c>
      <c r="J274" s="30"/>
    </row>
    <row r="275" spans="1:11" s="25" customFormat="1" x14ac:dyDescent="0.3">
      <c r="A275" s="321"/>
      <c r="B275" s="36" t="str">
        <f>"Total item "&amp;A272</f>
        <v>Total item 10.6</v>
      </c>
      <c r="C275" s="244"/>
      <c r="D275" s="34"/>
      <c r="E275" s="34"/>
      <c r="F275" s="34"/>
      <c r="G275" s="34"/>
      <c r="H275" s="28">
        <f>SUM(H273:H274)</f>
        <v>2</v>
      </c>
      <c r="J275" s="34"/>
    </row>
    <row r="276" spans="1:11" s="25" customFormat="1" x14ac:dyDescent="0.3">
      <c r="A276" s="320"/>
      <c r="B276" s="36"/>
      <c r="C276" s="244"/>
      <c r="D276" s="34"/>
      <c r="E276" s="34"/>
      <c r="F276" s="34"/>
      <c r="G276" s="34"/>
      <c r="H276" s="37"/>
      <c r="J276" s="34"/>
      <c r="K276" s="38"/>
    </row>
    <row r="277" spans="1:11" s="32" customFormat="1" ht="30.75" customHeight="1" x14ac:dyDescent="0.3">
      <c r="A277" s="322" t="s">
        <v>290</v>
      </c>
      <c r="B277" s="201" t="s">
        <v>532</v>
      </c>
      <c r="C277" s="245" t="s">
        <v>86</v>
      </c>
      <c r="D277" s="31"/>
      <c r="E277" s="31"/>
      <c r="F277" s="31"/>
      <c r="G277" s="31"/>
      <c r="H277" s="31"/>
      <c r="I277" s="25" t="s">
        <v>612</v>
      </c>
      <c r="J277" s="30"/>
    </row>
    <row r="278" spans="1:11" s="32" customFormat="1" x14ac:dyDescent="0.3">
      <c r="A278" s="322"/>
      <c r="B278" s="33" t="s">
        <v>815</v>
      </c>
      <c r="C278" s="245"/>
      <c r="D278" s="30">
        <v>2</v>
      </c>
      <c r="E278" s="30"/>
      <c r="F278" s="30"/>
      <c r="G278" s="30"/>
      <c r="H278" s="34">
        <f t="shared" ref="H278" si="35">ROUND(PRODUCT(D278:G278),2)</f>
        <v>2</v>
      </c>
      <c r="J278" s="30"/>
    </row>
    <row r="279" spans="1:11" s="25" customFormat="1" x14ac:dyDescent="0.3">
      <c r="A279" s="321"/>
      <c r="B279" s="36" t="str">
        <f>"Total item "&amp;A277</f>
        <v>Total item 10.7</v>
      </c>
      <c r="C279" s="244"/>
      <c r="D279" s="34"/>
      <c r="E279" s="34"/>
      <c r="F279" s="34"/>
      <c r="G279" s="34"/>
      <c r="H279" s="28">
        <f>SUM(H278:H278)</f>
        <v>2</v>
      </c>
      <c r="J279" s="34"/>
    </row>
    <row r="280" spans="1:11" s="25" customFormat="1" x14ac:dyDescent="0.3">
      <c r="A280" s="320"/>
      <c r="B280" s="36"/>
      <c r="C280" s="244"/>
      <c r="D280" s="34"/>
      <c r="E280" s="34"/>
      <c r="F280" s="34"/>
      <c r="G280" s="34"/>
      <c r="H280" s="37"/>
      <c r="J280" s="34"/>
      <c r="K280" s="38"/>
    </row>
    <row r="281" spans="1:11" s="32" customFormat="1" ht="41.4" x14ac:dyDescent="0.3">
      <c r="A281" s="322" t="s">
        <v>291</v>
      </c>
      <c r="B281" s="201" t="s">
        <v>251</v>
      </c>
      <c r="C281" s="245" t="s">
        <v>86</v>
      </c>
      <c r="D281" s="31"/>
      <c r="E281" s="31"/>
      <c r="F281" s="31"/>
      <c r="G281" s="31"/>
      <c r="H281" s="31"/>
      <c r="I281" s="25" t="s">
        <v>612</v>
      </c>
      <c r="J281" s="30"/>
    </row>
    <row r="282" spans="1:11" s="32" customFormat="1" x14ac:dyDescent="0.3">
      <c r="A282" s="322"/>
      <c r="B282" s="33" t="s">
        <v>798</v>
      </c>
      <c r="C282" s="245"/>
      <c r="D282" s="30">
        <v>3</v>
      </c>
      <c r="E282" s="30"/>
      <c r="F282" s="30"/>
      <c r="G282" s="30"/>
      <c r="H282" s="34">
        <f t="shared" ref="H282:H284" si="36">ROUND(PRODUCT(D282:G282),2)</f>
        <v>3</v>
      </c>
      <c r="J282" s="30"/>
    </row>
    <row r="283" spans="1:11" s="32" customFormat="1" x14ac:dyDescent="0.3">
      <c r="A283" s="322"/>
      <c r="B283" s="33" t="s">
        <v>810</v>
      </c>
      <c r="C283" s="245"/>
      <c r="D283" s="30">
        <v>110</v>
      </c>
      <c r="E283" s="30"/>
      <c r="F283" s="30"/>
      <c r="G283" s="30"/>
      <c r="H283" s="34">
        <f t="shared" si="36"/>
        <v>110</v>
      </c>
      <c r="J283" s="30"/>
    </row>
    <row r="284" spans="1:11" s="32" customFormat="1" x14ac:dyDescent="0.3">
      <c r="A284" s="322"/>
      <c r="B284" s="213" t="s">
        <v>533</v>
      </c>
      <c r="C284" s="245"/>
      <c r="D284" s="30">
        <v>1</v>
      </c>
      <c r="E284" s="30"/>
      <c r="F284" s="30"/>
      <c r="G284" s="30"/>
      <c r="H284" s="34">
        <f t="shared" si="36"/>
        <v>1</v>
      </c>
      <c r="J284" s="30"/>
    </row>
    <row r="285" spans="1:11" s="25" customFormat="1" x14ac:dyDescent="0.3">
      <c r="A285" s="321"/>
      <c r="B285" s="36" t="str">
        <f>"Total item "&amp;A281</f>
        <v>Total item 10.8</v>
      </c>
      <c r="C285" s="244"/>
      <c r="D285" s="34"/>
      <c r="E285" s="34"/>
      <c r="F285" s="34"/>
      <c r="G285" s="34"/>
      <c r="H285" s="28">
        <f>SUM(H282:H284)</f>
        <v>114</v>
      </c>
      <c r="J285" s="34"/>
    </row>
    <row r="286" spans="1:11" s="25" customFormat="1" x14ac:dyDescent="0.3">
      <c r="A286" s="320"/>
      <c r="B286" s="201"/>
      <c r="C286" s="244"/>
      <c r="D286" s="34"/>
      <c r="E286" s="34"/>
      <c r="F286" s="34"/>
      <c r="G286" s="34"/>
      <c r="H286" s="37"/>
      <c r="J286" s="34"/>
      <c r="K286" s="38"/>
    </row>
    <row r="287" spans="1:11" s="32" customFormat="1" ht="27.6" x14ac:dyDescent="0.3">
      <c r="A287" s="322" t="s">
        <v>292</v>
      </c>
      <c r="B287" s="201" t="s">
        <v>141</v>
      </c>
      <c r="C287" s="245" t="s">
        <v>86</v>
      </c>
      <c r="D287" s="31"/>
      <c r="E287" s="31"/>
      <c r="F287" s="31"/>
      <c r="G287" s="31"/>
      <c r="H287" s="31"/>
      <c r="I287" s="25" t="s">
        <v>612</v>
      </c>
      <c r="J287" s="30"/>
    </row>
    <row r="288" spans="1:11" s="32" customFormat="1" x14ac:dyDescent="0.3">
      <c r="A288" s="322"/>
      <c r="B288" s="249" t="s">
        <v>233</v>
      </c>
      <c r="C288" s="245"/>
      <c r="D288" s="31"/>
      <c r="E288" s="31"/>
      <c r="F288" s="31"/>
      <c r="G288" s="31"/>
      <c r="H288" s="34"/>
      <c r="J288" s="30"/>
    </row>
    <row r="289" spans="1:11" s="32" customFormat="1" x14ac:dyDescent="0.3">
      <c r="A289" s="322"/>
      <c r="B289" s="213" t="s">
        <v>234</v>
      </c>
      <c r="C289" s="245"/>
      <c r="D289" s="30">
        <v>8</v>
      </c>
      <c r="E289" s="30"/>
      <c r="F289" s="30"/>
      <c r="G289" s="30"/>
      <c r="H289" s="34">
        <f t="shared" ref="H289" si="37">ROUND(PRODUCT(D289:G289),2)</f>
        <v>8</v>
      </c>
      <c r="J289" s="30"/>
    </row>
    <row r="290" spans="1:11" s="25" customFormat="1" x14ac:dyDescent="0.3">
      <c r="A290" s="321"/>
      <c r="B290" s="36" t="str">
        <f>"Total item "&amp;A287</f>
        <v>Total item 10.9</v>
      </c>
      <c r="C290" s="244"/>
      <c r="D290" s="34"/>
      <c r="E290" s="34"/>
      <c r="F290" s="34"/>
      <c r="G290" s="34"/>
      <c r="H290" s="28">
        <f>SUM(H288:H289)</f>
        <v>8</v>
      </c>
      <c r="J290" s="34"/>
    </row>
    <row r="291" spans="1:11" s="25" customFormat="1" x14ac:dyDescent="0.3">
      <c r="A291" s="320"/>
      <c r="B291" s="36"/>
      <c r="C291" s="244"/>
      <c r="D291" s="34"/>
      <c r="E291" s="34"/>
      <c r="F291" s="34"/>
      <c r="G291" s="34"/>
      <c r="H291" s="37"/>
      <c r="J291" s="34"/>
      <c r="K291" s="38"/>
    </row>
    <row r="292" spans="1:11" s="32" customFormat="1" ht="27.6" x14ac:dyDescent="0.3">
      <c r="A292" s="322" t="s">
        <v>293</v>
      </c>
      <c r="B292" s="201" t="s">
        <v>253</v>
      </c>
      <c r="C292" s="245" t="s">
        <v>86</v>
      </c>
      <c r="D292" s="31"/>
      <c r="E292" s="31"/>
      <c r="F292" s="31"/>
      <c r="G292" s="31"/>
      <c r="H292" s="31"/>
      <c r="I292" s="25" t="s">
        <v>612</v>
      </c>
      <c r="J292" s="30"/>
    </row>
    <row r="293" spans="1:11" s="32" customFormat="1" x14ac:dyDescent="0.3">
      <c r="A293" s="322"/>
      <c r="B293" s="249" t="s">
        <v>233</v>
      </c>
      <c r="C293" s="245"/>
      <c r="D293" s="30">
        <v>4</v>
      </c>
      <c r="E293" s="31"/>
      <c r="F293" s="31"/>
      <c r="G293" s="31"/>
      <c r="H293" s="34">
        <f t="shared" ref="H293" si="38">ROUND(PRODUCT(D293:G293),2)</f>
        <v>4</v>
      </c>
      <c r="J293" s="30"/>
    </row>
    <row r="294" spans="1:11" s="25" customFormat="1" x14ac:dyDescent="0.3">
      <c r="A294" s="321"/>
      <c r="B294" s="36" t="str">
        <f>"Total item "&amp;A292</f>
        <v>Total item 10.10</v>
      </c>
      <c r="C294" s="244"/>
      <c r="D294" s="34"/>
      <c r="E294" s="34"/>
      <c r="F294" s="34"/>
      <c r="G294" s="34"/>
      <c r="H294" s="28">
        <f>SUM(H293:H293)</f>
        <v>4</v>
      </c>
      <c r="J294" s="34"/>
    </row>
    <row r="295" spans="1:11" s="25" customFormat="1" x14ac:dyDescent="0.3">
      <c r="A295" s="320"/>
      <c r="B295" s="36"/>
      <c r="C295" s="244"/>
      <c r="D295" s="34"/>
      <c r="E295" s="34"/>
      <c r="F295" s="34"/>
      <c r="G295" s="34"/>
      <c r="H295" s="37"/>
      <c r="J295" s="34"/>
      <c r="K295" s="38"/>
    </row>
    <row r="296" spans="1:11" s="32" customFormat="1" ht="27.6" x14ac:dyDescent="0.3">
      <c r="A296" s="322" t="s">
        <v>294</v>
      </c>
      <c r="B296" s="201" t="s">
        <v>254</v>
      </c>
      <c r="C296" s="245" t="s">
        <v>86</v>
      </c>
      <c r="D296" s="31"/>
      <c r="E296" s="31"/>
      <c r="F296" s="31"/>
      <c r="G296" s="31"/>
      <c r="H296" s="31"/>
      <c r="I296" s="25" t="s">
        <v>612</v>
      </c>
      <c r="J296" s="30"/>
    </row>
    <row r="297" spans="1:11" s="32" customFormat="1" x14ac:dyDescent="0.3">
      <c r="A297" s="322"/>
      <c r="B297" s="249" t="s">
        <v>233</v>
      </c>
      <c r="C297" s="245"/>
      <c r="D297" s="30">
        <v>4</v>
      </c>
      <c r="E297" s="31"/>
      <c r="F297" s="31"/>
      <c r="G297" s="31"/>
      <c r="H297" s="34">
        <f t="shared" ref="H297" si="39">ROUND(PRODUCT(D297:G297),2)</f>
        <v>4</v>
      </c>
      <c r="J297" s="30"/>
    </row>
    <row r="298" spans="1:11" s="25" customFormat="1" x14ac:dyDescent="0.3">
      <c r="A298" s="321"/>
      <c r="B298" s="36" t="str">
        <f>"Total item "&amp;A296</f>
        <v>Total item 10.11</v>
      </c>
      <c r="C298" s="244"/>
      <c r="D298" s="34"/>
      <c r="E298" s="34"/>
      <c r="F298" s="34"/>
      <c r="G298" s="34"/>
      <c r="H298" s="28">
        <f>SUM(H297:H297)</f>
        <v>4</v>
      </c>
      <c r="J298" s="34"/>
    </row>
    <row r="299" spans="1:11" s="25" customFormat="1" x14ac:dyDescent="0.3">
      <c r="A299" s="320"/>
      <c r="B299" s="36"/>
      <c r="C299" s="244"/>
      <c r="D299" s="34"/>
      <c r="E299" s="34"/>
      <c r="F299" s="34"/>
      <c r="G299" s="34"/>
      <c r="H299" s="37"/>
      <c r="J299" s="34"/>
      <c r="K299" s="38"/>
    </row>
    <row r="300" spans="1:11" s="32" customFormat="1" ht="27.6" x14ac:dyDescent="0.3">
      <c r="A300" s="322" t="s">
        <v>295</v>
      </c>
      <c r="B300" s="201" t="s">
        <v>256</v>
      </c>
      <c r="C300" s="245" t="s">
        <v>86</v>
      </c>
      <c r="D300" s="31"/>
      <c r="E300" s="31"/>
      <c r="F300" s="31"/>
      <c r="G300" s="31"/>
      <c r="H300" s="31"/>
      <c r="I300" s="25" t="s">
        <v>612</v>
      </c>
      <c r="J300" s="30"/>
    </row>
    <row r="301" spans="1:11" s="32" customFormat="1" x14ac:dyDescent="0.3">
      <c r="A301" s="322"/>
      <c r="B301" s="249" t="s">
        <v>233</v>
      </c>
      <c r="C301" s="245"/>
      <c r="D301" s="30">
        <v>4</v>
      </c>
      <c r="E301" s="31"/>
      <c r="F301" s="31"/>
      <c r="G301" s="31"/>
      <c r="H301" s="34">
        <f t="shared" ref="H301" si="40">ROUND(PRODUCT(D301:G301),2)</f>
        <v>4</v>
      </c>
      <c r="J301" s="30"/>
    </row>
    <row r="302" spans="1:11" s="25" customFormat="1" x14ac:dyDescent="0.3">
      <c r="A302" s="321"/>
      <c r="B302" s="36" t="str">
        <f>"Total item "&amp;A300</f>
        <v>Total item 10.12</v>
      </c>
      <c r="C302" s="244"/>
      <c r="D302" s="34"/>
      <c r="E302" s="34"/>
      <c r="F302" s="34"/>
      <c r="G302" s="34"/>
      <c r="H302" s="28">
        <f>SUM(H301:H301)</f>
        <v>4</v>
      </c>
      <c r="J302" s="34"/>
    </row>
    <row r="303" spans="1:11" s="25" customFormat="1" x14ac:dyDescent="0.3">
      <c r="A303" s="320"/>
      <c r="B303" s="36"/>
      <c r="C303" s="244"/>
      <c r="D303" s="34"/>
      <c r="E303" s="34"/>
      <c r="F303" s="34"/>
      <c r="G303" s="34"/>
      <c r="H303" s="37"/>
      <c r="J303" s="34"/>
      <c r="K303" s="38"/>
    </row>
    <row r="304" spans="1:11" s="32" customFormat="1" ht="69" x14ac:dyDescent="0.3">
      <c r="A304" s="322" t="s">
        <v>296</v>
      </c>
      <c r="B304" s="201" t="s">
        <v>550</v>
      </c>
      <c r="C304" s="245" t="s">
        <v>86</v>
      </c>
      <c r="D304" s="31"/>
      <c r="E304" s="31"/>
      <c r="F304" s="31"/>
      <c r="G304" s="31"/>
      <c r="H304" s="31"/>
      <c r="I304" s="25" t="s">
        <v>612</v>
      </c>
      <c r="J304" s="30"/>
    </row>
    <row r="305" spans="1:11" s="32" customFormat="1" x14ac:dyDescent="0.3">
      <c r="A305" s="322"/>
      <c r="B305" s="253" t="s">
        <v>551</v>
      </c>
      <c r="C305" s="245"/>
      <c r="D305" s="30">
        <v>1</v>
      </c>
      <c r="E305" s="31"/>
      <c r="F305" s="31"/>
      <c r="G305" s="31"/>
      <c r="H305" s="34">
        <f t="shared" ref="H305" si="41">ROUND(PRODUCT(D305:G305),2)</f>
        <v>1</v>
      </c>
      <c r="J305" s="30"/>
    </row>
    <row r="306" spans="1:11" s="25" customFormat="1" x14ac:dyDescent="0.3">
      <c r="A306" s="321"/>
      <c r="B306" s="36" t="str">
        <f>"Total item "&amp;A304</f>
        <v>Total item 10.13</v>
      </c>
      <c r="C306" s="244"/>
      <c r="D306" s="34"/>
      <c r="E306" s="34"/>
      <c r="F306" s="34"/>
      <c r="G306" s="34"/>
      <c r="H306" s="28">
        <f>SUM(H305:H305)</f>
        <v>1</v>
      </c>
      <c r="J306" s="34"/>
    </row>
    <row r="307" spans="1:11" s="276" customFormat="1" x14ac:dyDescent="0.3">
      <c r="A307" s="352"/>
      <c r="B307" s="36"/>
      <c r="C307" s="353"/>
      <c r="D307" s="34"/>
      <c r="E307" s="34"/>
      <c r="F307" s="34"/>
      <c r="G307" s="34"/>
      <c r="H307" s="37"/>
      <c r="I307" s="25"/>
      <c r="J307" s="34"/>
      <c r="K307" s="38"/>
    </row>
    <row r="308" spans="1:11" s="252" customFormat="1" ht="41.4" x14ac:dyDescent="0.3">
      <c r="A308" s="322" t="s">
        <v>297</v>
      </c>
      <c r="B308" s="201" t="s">
        <v>600</v>
      </c>
      <c r="C308" s="245" t="s">
        <v>87</v>
      </c>
      <c r="D308" s="31"/>
      <c r="E308" s="31"/>
      <c r="F308" s="31"/>
      <c r="G308" s="31"/>
      <c r="H308" s="31"/>
      <c r="I308" s="25" t="s">
        <v>612</v>
      </c>
      <c r="J308" s="30"/>
      <c r="K308" s="32"/>
    </row>
    <row r="309" spans="1:11" s="252" customFormat="1" ht="27.6" x14ac:dyDescent="0.3">
      <c r="A309" s="322"/>
      <c r="B309" s="213" t="s">
        <v>601</v>
      </c>
      <c r="C309" s="245"/>
      <c r="D309" s="30">
        <v>200</v>
      </c>
      <c r="E309" s="30"/>
      <c r="F309" s="30"/>
      <c r="G309" s="30"/>
      <c r="H309" s="34">
        <f t="shared" ref="H309:H310" si="42">ROUND(PRODUCT(D309:G309),2)</f>
        <v>200</v>
      </c>
      <c r="I309" s="32"/>
      <c r="J309" s="30"/>
      <c r="K309" s="32"/>
    </row>
    <row r="310" spans="1:11" s="252" customFormat="1" ht="27.6" x14ac:dyDescent="0.3">
      <c r="A310" s="322"/>
      <c r="B310" s="213" t="s">
        <v>602</v>
      </c>
      <c r="C310" s="245"/>
      <c r="D310" s="30"/>
      <c r="E310" s="30"/>
      <c r="F310" s="30"/>
      <c r="G310" s="30"/>
      <c r="H310" s="34">
        <f t="shared" si="42"/>
        <v>0</v>
      </c>
      <c r="I310" s="32"/>
      <c r="J310" s="30"/>
      <c r="K310" s="32"/>
    </row>
    <row r="311" spans="1:11" s="276" customFormat="1" x14ac:dyDescent="0.3">
      <c r="A311" s="322"/>
      <c r="B311" s="36" t="str">
        <f>"Total item "&amp;A308</f>
        <v>Total item 10.14</v>
      </c>
      <c r="C311" s="245"/>
      <c r="D311" s="34"/>
      <c r="E311" s="34"/>
      <c r="F311" s="34"/>
      <c r="G311" s="34"/>
      <c r="H311" s="28">
        <f>SUM(H309:H310)</f>
        <v>200</v>
      </c>
      <c r="I311" s="25"/>
      <c r="J311" s="34"/>
      <c r="K311" s="25"/>
    </row>
    <row r="312" spans="1:11" s="276" customFormat="1" x14ac:dyDescent="0.3">
      <c r="A312" s="322"/>
      <c r="B312" s="36"/>
      <c r="C312" s="245"/>
      <c r="D312" s="34"/>
      <c r="E312" s="34"/>
      <c r="F312" s="34"/>
      <c r="G312" s="34"/>
      <c r="H312" s="37"/>
      <c r="I312" s="25"/>
      <c r="J312" s="34"/>
      <c r="K312" s="38"/>
    </row>
    <row r="313" spans="1:11" s="252" customFormat="1" ht="55.2" x14ac:dyDescent="0.3">
      <c r="A313" s="322" t="s">
        <v>298</v>
      </c>
      <c r="B313" s="201" t="s">
        <v>598</v>
      </c>
      <c r="C313" s="245" t="s">
        <v>86</v>
      </c>
      <c r="D313" s="31"/>
      <c r="E313" s="31"/>
      <c r="F313" s="31"/>
      <c r="G313" s="31"/>
      <c r="H313" s="31"/>
      <c r="I313" s="25" t="s">
        <v>612</v>
      </c>
      <c r="J313" s="30"/>
      <c r="K313" s="32"/>
    </row>
    <row r="314" spans="1:11" s="252" customFormat="1" x14ac:dyDescent="0.3">
      <c r="A314" s="322"/>
      <c r="B314" s="213" t="s">
        <v>720</v>
      </c>
      <c r="C314" s="245"/>
      <c r="D314" s="30">
        <v>6</v>
      </c>
      <c r="E314" s="30"/>
      <c r="F314" s="30"/>
      <c r="G314" s="30"/>
      <c r="H314" s="34">
        <f t="shared" ref="H314" si="43">ROUND(PRODUCT(D314:G314),2)</f>
        <v>6</v>
      </c>
      <c r="I314" s="32"/>
      <c r="J314" s="30"/>
      <c r="K314" s="32"/>
    </row>
    <row r="315" spans="1:11" s="276" customFormat="1" x14ac:dyDescent="0.3">
      <c r="A315" s="322"/>
      <c r="B315" s="36" t="str">
        <f>"Total item "&amp;A313</f>
        <v>Total item 10.15</v>
      </c>
      <c r="C315" s="245"/>
      <c r="D315" s="34"/>
      <c r="E315" s="34"/>
      <c r="F315" s="34"/>
      <c r="G315" s="34"/>
      <c r="H315" s="28">
        <f>SUM(H314:H314)</f>
        <v>6</v>
      </c>
      <c r="I315" s="25"/>
      <c r="J315" s="34"/>
      <c r="K315" s="25"/>
    </row>
    <row r="316" spans="1:11" s="276" customFormat="1" x14ac:dyDescent="0.3">
      <c r="A316" s="322"/>
      <c r="B316" s="36"/>
      <c r="C316" s="245"/>
      <c r="D316" s="34"/>
      <c r="E316" s="34"/>
      <c r="F316" s="34"/>
      <c r="G316" s="34"/>
      <c r="H316" s="37"/>
      <c r="I316" s="25"/>
      <c r="J316" s="34"/>
      <c r="K316" s="38"/>
    </row>
    <row r="317" spans="1:11" s="171" customFormat="1" x14ac:dyDescent="0.3">
      <c r="A317" s="328" t="s">
        <v>25</v>
      </c>
      <c r="B317" s="199" t="s">
        <v>152</v>
      </c>
      <c r="C317" s="243"/>
      <c r="D317" s="28"/>
      <c r="E317" s="28"/>
      <c r="F317" s="28"/>
      <c r="G317" s="28"/>
      <c r="H317" s="28"/>
      <c r="J317" s="28"/>
      <c r="K317" s="202"/>
    </row>
    <row r="318" spans="1:11" s="276" customFormat="1" x14ac:dyDescent="0.3">
      <c r="A318" s="320"/>
      <c r="B318" s="36"/>
      <c r="C318" s="244"/>
      <c r="D318" s="34"/>
      <c r="E318" s="34"/>
      <c r="F318" s="34"/>
      <c r="G318" s="34"/>
      <c r="H318" s="37"/>
      <c r="I318" s="25"/>
      <c r="J318" s="34"/>
      <c r="K318" s="38"/>
    </row>
    <row r="319" spans="1:11" s="252" customFormat="1" ht="41.4" x14ac:dyDescent="0.3">
      <c r="A319" s="322" t="s">
        <v>148</v>
      </c>
      <c r="B319" s="201" t="s">
        <v>431</v>
      </c>
      <c r="C319" s="245" t="s">
        <v>86</v>
      </c>
      <c r="D319" s="31"/>
      <c r="E319" s="31"/>
      <c r="F319" s="31"/>
      <c r="G319" s="31"/>
      <c r="H319" s="31"/>
      <c r="I319" s="25" t="s">
        <v>612</v>
      </c>
      <c r="J319" s="30"/>
      <c r="K319" s="32"/>
    </row>
    <row r="320" spans="1:11" s="252" customFormat="1" x14ac:dyDescent="0.3">
      <c r="A320" s="322"/>
      <c r="B320" s="33" t="s">
        <v>435</v>
      </c>
      <c r="C320" s="245"/>
      <c r="D320" s="30">
        <v>1</v>
      </c>
      <c r="E320" s="30"/>
      <c r="F320" s="30"/>
      <c r="G320" s="30"/>
      <c r="H320" s="34">
        <f t="shared" ref="H320" si="44">ROUND(PRODUCT(D320:G320),2)</f>
        <v>1</v>
      </c>
      <c r="I320" s="32"/>
      <c r="J320" s="30"/>
      <c r="K320" s="32"/>
    </row>
    <row r="321" spans="1:11" s="276" customFormat="1" x14ac:dyDescent="0.3">
      <c r="A321" s="321"/>
      <c r="B321" s="36" t="str">
        <f>"Total item "&amp;A319</f>
        <v>Total item 11.1</v>
      </c>
      <c r="C321" s="244"/>
      <c r="D321" s="34"/>
      <c r="E321" s="34"/>
      <c r="F321" s="34"/>
      <c r="G321" s="34"/>
      <c r="H321" s="28">
        <f>SUM(H320:H320)</f>
        <v>1</v>
      </c>
      <c r="I321" s="25"/>
      <c r="J321" s="34"/>
      <c r="K321" s="25"/>
    </row>
    <row r="322" spans="1:11" s="25" customFormat="1" x14ac:dyDescent="0.3">
      <c r="A322" s="352"/>
      <c r="B322" s="36"/>
      <c r="C322" s="353"/>
      <c r="D322" s="34"/>
      <c r="E322" s="34"/>
      <c r="F322" s="34"/>
      <c r="G322" s="34"/>
      <c r="H322" s="37"/>
      <c r="J322" s="34"/>
      <c r="K322" s="38"/>
    </row>
    <row r="323" spans="1:11" s="32" customFormat="1" ht="41.4" x14ac:dyDescent="0.3">
      <c r="A323" s="29" t="s">
        <v>171</v>
      </c>
      <c r="B323" s="201" t="s">
        <v>437</v>
      </c>
      <c r="C323" s="29" t="s">
        <v>92</v>
      </c>
      <c r="D323" s="286"/>
      <c r="E323" s="31"/>
      <c r="F323" s="31"/>
      <c r="G323" s="31"/>
      <c r="H323" s="31"/>
      <c r="I323" s="25" t="s">
        <v>612</v>
      </c>
      <c r="J323" s="30"/>
    </row>
    <row r="324" spans="1:11" s="32" customFormat="1" x14ac:dyDescent="0.3">
      <c r="A324" s="29"/>
      <c r="B324" s="213" t="s">
        <v>438</v>
      </c>
      <c r="C324" s="348"/>
      <c r="D324" s="30">
        <v>1</v>
      </c>
      <c r="E324" s="30"/>
      <c r="F324" s="30"/>
      <c r="G324" s="30"/>
      <c r="H324" s="34">
        <f t="shared" ref="H324" si="45">ROUND(PRODUCT(D324:G324),2)</f>
        <v>1</v>
      </c>
      <c r="J324" s="30"/>
      <c r="K324" s="25"/>
    </row>
    <row r="325" spans="1:11" s="25" customFormat="1" x14ac:dyDescent="0.3">
      <c r="A325" s="35"/>
      <c r="B325" s="36" t="str">
        <f>"Total item "&amp;A323</f>
        <v>Total item 11.2</v>
      </c>
      <c r="C325" s="353"/>
      <c r="D325" s="34"/>
      <c r="E325" s="34"/>
      <c r="F325" s="34"/>
      <c r="G325" s="34"/>
      <c r="H325" s="28">
        <f>SUM(H324:H324)</f>
        <v>1</v>
      </c>
      <c r="J325" s="34"/>
    </row>
    <row r="326" spans="1:11" s="276" customFormat="1" x14ac:dyDescent="0.3">
      <c r="A326" s="320"/>
      <c r="B326" s="36"/>
      <c r="C326" s="244"/>
      <c r="D326" s="34"/>
      <c r="E326" s="34"/>
      <c r="F326" s="34"/>
      <c r="G326" s="34"/>
      <c r="H326" s="37"/>
      <c r="I326" s="25"/>
      <c r="J326" s="34"/>
      <c r="K326" s="38"/>
    </row>
    <row r="327" spans="1:11" s="252" customFormat="1" ht="55.2" x14ac:dyDescent="0.3">
      <c r="A327" s="322" t="s">
        <v>172</v>
      </c>
      <c r="B327" s="201" t="s">
        <v>860</v>
      </c>
      <c r="C327" s="245" t="s">
        <v>86</v>
      </c>
      <c r="D327" s="31"/>
      <c r="E327" s="31"/>
      <c r="F327" s="31"/>
      <c r="G327" s="31"/>
      <c r="H327" s="31"/>
      <c r="I327" s="25" t="s">
        <v>612</v>
      </c>
      <c r="J327" s="30"/>
      <c r="K327" s="32"/>
    </row>
    <row r="328" spans="1:11" s="252" customFormat="1" x14ac:dyDescent="0.3">
      <c r="A328" s="322"/>
      <c r="B328" s="33" t="s">
        <v>364</v>
      </c>
      <c r="C328" s="245"/>
      <c r="D328" s="30">
        <v>1</v>
      </c>
      <c r="E328" s="30"/>
      <c r="F328" s="30"/>
      <c r="G328" s="30"/>
      <c r="H328" s="34">
        <f t="shared" ref="H328" si="46">ROUND(PRODUCT(D328:G328),2)</f>
        <v>1</v>
      </c>
      <c r="I328" s="32"/>
      <c r="J328" s="30"/>
      <c r="K328" s="32"/>
    </row>
    <row r="329" spans="1:11" s="276" customFormat="1" x14ac:dyDescent="0.3">
      <c r="A329" s="321"/>
      <c r="B329" s="36" t="str">
        <f>"Total item "&amp;A327</f>
        <v>Total item 11.3</v>
      </c>
      <c r="C329" s="244"/>
      <c r="D329" s="34"/>
      <c r="E329" s="34"/>
      <c r="F329" s="34"/>
      <c r="G329" s="34"/>
      <c r="H329" s="28">
        <f>SUM(H328:H328)</f>
        <v>1</v>
      </c>
      <c r="I329" s="25"/>
      <c r="J329" s="34"/>
      <c r="K329" s="25"/>
    </row>
    <row r="330" spans="1:11" s="276" customFormat="1" x14ac:dyDescent="0.3">
      <c r="A330" s="320"/>
      <c r="B330" s="36"/>
      <c r="C330" s="244"/>
      <c r="D330" s="34"/>
      <c r="E330" s="34"/>
      <c r="F330" s="34"/>
      <c r="G330" s="34"/>
      <c r="H330" s="37"/>
      <c r="I330" s="25"/>
      <c r="J330" s="34"/>
      <c r="K330" s="38"/>
    </row>
    <row r="331" spans="1:11" s="252" customFormat="1" ht="27.6" x14ac:dyDescent="0.3">
      <c r="A331" s="322" t="s">
        <v>299</v>
      </c>
      <c r="B331" s="201" t="s">
        <v>711</v>
      </c>
      <c r="C331" s="245" t="s">
        <v>86</v>
      </c>
      <c r="D331" s="31"/>
      <c r="E331" s="31"/>
      <c r="F331" s="31"/>
      <c r="G331" s="31"/>
      <c r="H331" s="31"/>
      <c r="I331" s="25" t="s">
        <v>612</v>
      </c>
      <c r="J331" s="30"/>
      <c r="K331" s="32"/>
    </row>
    <row r="332" spans="1:11" s="252" customFormat="1" x14ac:dyDescent="0.3">
      <c r="A332" s="322"/>
      <c r="B332" s="33" t="s">
        <v>839</v>
      </c>
      <c r="C332" s="245"/>
      <c r="D332" s="30">
        <f>101+7</f>
        <v>108</v>
      </c>
      <c r="E332" s="30"/>
      <c r="F332" s="30"/>
      <c r="G332" s="30"/>
      <c r="H332" s="34">
        <f t="shared" ref="H332" si="47">ROUND(PRODUCT(D332:G332),2)</f>
        <v>108</v>
      </c>
      <c r="I332" s="32"/>
      <c r="J332" s="30"/>
      <c r="K332" s="32"/>
    </row>
    <row r="333" spans="1:11" s="276" customFormat="1" x14ac:dyDescent="0.3">
      <c r="A333" s="321"/>
      <c r="B333" s="36" t="str">
        <f>"Total item "&amp;A331</f>
        <v>Total item 11.4</v>
      </c>
      <c r="C333" s="244"/>
      <c r="D333" s="34"/>
      <c r="E333" s="34"/>
      <c r="F333" s="34"/>
      <c r="G333" s="34"/>
      <c r="H333" s="28">
        <f>SUM(H332:H332)</f>
        <v>108</v>
      </c>
      <c r="I333" s="25"/>
      <c r="J333" s="34"/>
      <c r="K333" s="25"/>
    </row>
    <row r="334" spans="1:11" s="276" customFormat="1" x14ac:dyDescent="0.3">
      <c r="A334" s="320"/>
      <c r="B334" s="36"/>
      <c r="C334" s="244"/>
      <c r="D334" s="34"/>
      <c r="E334" s="34"/>
      <c r="F334" s="34"/>
      <c r="G334" s="34"/>
      <c r="H334" s="37"/>
      <c r="I334" s="25"/>
      <c r="J334" s="34"/>
      <c r="K334" s="38"/>
    </row>
    <row r="335" spans="1:11" s="252" customFormat="1" ht="55.2" x14ac:dyDescent="0.3">
      <c r="A335" s="322" t="s">
        <v>300</v>
      </c>
      <c r="B335" s="201" t="s">
        <v>836</v>
      </c>
      <c r="C335" s="245" t="s">
        <v>837</v>
      </c>
      <c r="D335" s="31"/>
      <c r="E335" s="31"/>
      <c r="F335" s="31"/>
      <c r="G335" s="31"/>
      <c r="H335" s="31"/>
      <c r="I335" s="25" t="s">
        <v>612</v>
      </c>
      <c r="J335" s="30"/>
      <c r="K335" s="32"/>
    </row>
    <row r="336" spans="1:11" s="252" customFormat="1" x14ac:dyDescent="0.3">
      <c r="A336" s="322"/>
      <c r="B336" s="33" t="s">
        <v>839</v>
      </c>
      <c r="C336" s="245"/>
      <c r="D336" s="30">
        <f>118+3</f>
        <v>121</v>
      </c>
      <c r="E336" s="30"/>
      <c r="F336" s="30"/>
      <c r="G336" s="30"/>
      <c r="H336" s="34">
        <f t="shared" ref="H336" si="48">ROUND(PRODUCT(D336:G336),2)</f>
        <v>121</v>
      </c>
      <c r="I336" s="32"/>
      <c r="J336" s="30"/>
      <c r="K336" s="32"/>
    </row>
    <row r="337" spans="1:11" s="276" customFormat="1" x14ac:dyDescent="0.3">
      <c r="A337" s="321"/>
      <c r="B337" s="36" t="str">
        <f>"Total item "&amp;A335</f>
        <v>Total item 11.5</v>
      </c>
      <c r="C337" s="244"/>
      <c r="D337" s="34"/>
      <c r="E337" s="34"/>
      <c r="F337" s="34"/>
      <c r="G337" s="34"/>
      <c r="H337" s="28">
        <f>SUM(H336:H336)</f>
        <v>121</v>
      </c>
      <c r="I337" s="25"/>
      <c r="J337" s="34"/>
      <c r="K337" s="25"/>
    </row>
    <row r="338" spans="1:11" s="276" customFormat="1" x14ac:dyDescent="0.3">
      <c r="A338" s="320"/>
      <c r="B338" s="36"/>
      <c r="C338" s="244"/>
      <c r="D338" s="34"/>
      <c r="E338" s="34"/>
      <c r="F338" s="34"/>
      <c r="G338" s="34"/>
      <c r="H338" s="37"/>
      <c r="I338" s="25"/>
      <c r="J338" s="34"/>
      <c r="K338" s="38"/>
    </row>
    <row r="339" spans="1:11" s="252" customFormat="1" ht="27.6" x14ac:dyDescent="0.3">
      <c r="A339" s="322" t="s">
        <v>301</v>
      </c>
      <c r="B339" s="201" t="s">
        <v>840</v>
      </c>
      <c r="C339" s="245" t="s">
        <v>837</v>
      </c>
      <c r="D339" s="31"/>
      <c r="E339" s="31"/>
      <c r="F339" s="31"/>
      <c r="G339" s="31"/>
      <c r="H339" s="31"/>
      <c r="I339" s="25" t="s">
        <v>612</v>
      </c>
      <c r="J339" s="30"/>
      <c r="K339" s="32"/>
    </row>
    <row r="340" spans="1:11" s="252" customFormat="1" x14ac:dyDescent="0.3">
      <c r="A340" s="322"/>
      <c r="B340" s="33" t="s">
        <v>839</v>
      </c>
      <c r="C340" s="245"/>
      <c r="D340" s="30">
        <v>6</v>
      </c>
      <c r="E340" s="30"/>
      <c r="F340" s="30"/>
      <c r="G340" s="30"/>
      <c r="H340" s="34">
        <f>ROUND(PRODUCT(D340:G340),2)</f>
        <v>6</v>
      </c>
      <c r="I340" s="32"/>
      <c r="J340" s="30"/>
      <c r="K340" s="32"/>
    </row>
    <row r="341" spans="1:11" s="276" customFormat="1" x14ac:dyDescent="0.3">
      <c r="A341" s="321"/>
      <c r="B341" s="36" t="str">
        <f>"Total item "&amp;A339</f>
        <v>Total item 11.6</v>
      </c>
      <c r="C341" s="244"/>
      <c r="D341" s="34"/>
      <c r="E341" s="34"/>
      <c r="F341" s="34"/>
      <c r="G341" s="34"/>
      <c r="H341" s="28">
        <f>SUM(H340:H340)</f>
        <v>6</v>
      </c>
      <c r="I341" s="25"/>
      <c r="J341" s="34"/>
      <c r="K341" s="25"/>
    </row>
    <row r="342" spans="1:11" s="276" customFormat="1" x14ac:dyDescent="0.3">
      <c r="A342" s="320"/>
      <c r="B342" s="36"/>
      <c r="C342" s="244"/>
      <c r="D342" s="34"/>
      <c r="E342" s="34"/>
      <c r="F342" s="34"/>
      <c r="G342" s="34"/>
      <c r="H342" s="37"/>
      <c r="I342" s="25"/>
      <c r="J342" s="34"/>
      <c r="K342" s="38"/>
    </row>
    <row r="343" spans="1:11" s="252" customFormat="1" ht="41.4" x14ac:dyDescent="0.3">
      <c r="A343" s="322" t="s">
        <v>302</v>
      </c>
      <c r="B343" s="201" t="s">
        <v>556</v>
      </c>
      <c r="C343" s="245" t="s">
        <v>86</v>
      </c>
      <c r="D343" s="31"/>
      <c r="E343" s="31"/>
      <c r="F343" s="31"/>
      <c r="G343" s="31"/>
      <c r="H343" s="31"/>
      <c r="I343" s="25" t="s">
        <v>612</v>
      </c>
      <c r="J343" s="30"/>
      <c r="K343" s="32"/>
    </row>
    <row r="344" spans="1:11" s="252" customFormat="1" x14ac:dyDescent="0.3">
      <c r="A344" s="322"/>
      <c r="B344" s="213" t="s">
        <v>427</v>
      </c>
      <c r="C344" s="245"/>
      <c r="D344" s="30">
        <v>7</v>
      </c>
      <c r="E344" s="30"/>
      <c r="F344" s="30"/>
      <c r="G344" s="30"/>
      <c r="H344" s="34">
        <f>ROUND(PRODUCT(D344:G344),2)</f>
        <v>7</v>
      </c>
      <c r="I344" s="32"/>
      <c r="J344" s="30"/>
      <c r="K344" s="32"/>
    </row>
    <row r="345" spans="1:11" s="276" customFormat="1" x14ac:dyDescent="0.3">
      <c r="A345" s="321"/>
      <c r="B345" s="36" t="str">
        <f>"Total item "&amp;A343</f>
        <v>Total item 11.7</v>
      </c>
      <c r="C345" s="244"/>
      <c r="D345" s="34"/>
      <c r="E345" s="34"/>
      <c r="F345" s="34"/>
      <c r="G345" s="34"/>
      <c r="H345" s="28">
        <f>SUM(H344:H344)</f>
        <v>7</v>
      </c>
      <c r="I345" s="25"/>
      <c r="J345" s="34"/>
      <c r="K345" s="25"/>
    </row>
    <row r="346" spans="1:11" s="276" customFormat="1" x14ac:dyDescent="0.3">
      <c r="A346" s="320"/>
      <c r="B346" s="36"/>
      <c r="C346" s="244"/>
      <c r="D346" s="34"/>
      <c r="E346" s="34"/>
      <c r="F346" s="34"/>
      <c r="G346" s="34"/>
      <c r="H346" s="37"/>
      <c r="I346" s="25"/>
      <c r="J346" s="34"/>
      <c r="K346" s="38"/>
    </row>
    <row r="347" spans="1:11" s="252" customFormat="1" ht="27.6" x14ac:dyDescent="0.3">
      <c r="A347" s="322" t="s">
        <v>303</v>
      </c>
      <c r="B347" s="201" t="s">
        <v>844</v>
      </c>
      <c r="C347" s="245" t="s">
        <v>86</v>
      </c>
      <c r="D347" s="31"/>
      <c r="E347" s="31"/>
      <c r="F347" s="31"/>
      <c r="G347" s="31"/>
      <c r="H347" s="31"/>
      <c r="I347" s="25" t="s">
        <v>612</v>
      </c>
      <c r="J347" s="30"/>
      <c r="K347" s="32"/>
    </row>
    <row r="348" spans="1:11" s="252" customFormat="1" x14ac:dyDescent="0.3">
      <c r="A348" s="322"/>
      <c r="B348" s="33" t="s">
        <v>839</v>
      </c>
      <c r="C348" s="245"/>
      <c r="D348" s="30">
        <v>101</v>
      </c>
      <c r="E348" s="30"/>
      <c r="F348" s="30"/>
      <c r="G348" s="30"/>
      <c r="H348" s="34">
        <f>ROUND(PRODUCT(D348:G348),2)</f>
        <v>101</v>
      </c>
      <c r="I348" s="32"/>
      <c r="J348" s="30"/>
      <c r="K348" s="32"/>
    </row>
    <row r="349" spans="1:11" s="276" customFormat="1" x14ac:dyDescent="0.3">
      <c r="A349" s="321"/>
      <c r="B349" s="36" t="str">
        <f>"Total item "&amp;A347</f>
        <v>Total item 11.8</v>
      </c>
      <c r="C349" s="244"/>
      <c r="D349" s="34"/>
      <c r="E349" s="34"/>
      <c r="F349" s="34"/>
      <c r="G349" s="34"/>
      <c r="H349" s="28">
        <f>SUM(H348:H348)</f>
        <v>101</v>
      </c>
      <c r="I349" s="25"/>
      <c r="J349" s="34"/>
      <c r="K349" s="25"/>
    </row>
    <row r="350" spans="1:11" s="276" customFormat="1" x14ac:dyDescent="0.3">
      <c r="A350" s="320"/>
      <c r="B350" s="36"/>
      <c r="C350" s="244"/>
      <c r="D350" s="34"/>
      <c r="E350" s="34"/>
      <c r="F350" s="34"/>
      <c r="G350" s="34"/>
      <c r="H350" s="37"/>
      <c r="I350" s="25"/>
      <c r="J350" s="34"/>
      <c r="K350" s="38"/>
    </row>
    <row r="351" spans="1:11" s="32" customFormat="1" ht="27.6" x14ac:dyDescent="0.3">
      <c r="A351" s="322" t="s">
        <v>304</v>
      </c>
      <c r="B351" s="201" t="s">
        <v>429</v>
      </c>
      <c r="C351" s="245" t="s">
        <v>86</v>
      </c>
      <c r="D351" s="31"/>
      <c r="E351" s="31"/>
      <c r="F351" s="31"/>
      <c r="G351" s="31"/>
      <c r="H351" s="31"/>
      <c r="I351" s="25" t="s">
        <v>612</v>
      </c>
      <c r="J351" s="30"/>
    </row>
    <row r="352" spans="1:11" s="252" customFormat="1" x14ac:dyDescent="0.3">
      <c r="A352" s="322"/>
      <c r="B352" s="33" t="s">
        <v>839</v>
      </c>
      <c r="C352" s="245"/>
      <c r="D352" s="30">
        <v>1</v>
      </c>
      <c r="E352" s="30"/>
      <c r="F352" s="30"/>
      <c r="G352" s="30"/>
      <c r="H352" s="34">
        <f t="shared" ref="H352" si="49">ROUND(PRODUCT(D352:G352),2)</f>
        <v>1</v>
      </c>
      <c r="I352" s="32"/>
      <c r="J352" s="30"/>
      <c r="K352" s="32"/>
    </row>
    <row r="353" spans="1:11" s="25" customFormat="1" x14ac:dyDescent="0.3">
      <c r="A353" s="321"/>
      <c r="B353" s="36" t="str">
        <f>"Total item "&amp;A351</f>
        <v>Total item 11.9</v>
      </c>
      <c r="C353" s="244"/>
      <c r="D353" s="34"/>
      <c r="E353" s="34"/>
      <c r="F353" s="34"/>
      <c r="G353" s="34"/>
      <c r="H353" s="28">
        <f>SUM(H352:H352)</f>
        <v>1</v>
      </c>
      <c r="J353" s="34"/>
    </row>
    <row r="354" spans="1:11" s="25" customFormat="1" x14ac:dyDescent="0.3">
      <c r="A354" s="320"/>
      <c r="B354" s="36"/>
      <c r="C354" s="244"/>
      <c r="D354" s="34"/>
      <c r="E354" s="34"/>
      <c r="F354" s="34"/>
      <c r="G354" s="34"/>
      <c r="H354" s="37"/>
      <c r="J354" s="34"/>
      <c r="K354" s="38"/>
    </row>
    <row r="355" spans="1:11" s="32" customFormat="1" ht="27.6" x14ac:dyDescent="0.3">
      <c r="A355" s="322" t="s">
        <v>305</v>
      </c>
      <c r="B355" s="201" t="s">
        <v>362</v>
      </c>
      <c r="C355" s="245" t="s">
        <v>86</v>
      </c>
      <c r="D355" s="31"/>
      <c r="E355" s="31"/>
      <c r="F355" s="31"/>
      <c r="G355" s="31"/>
      <c r="H355" s="31"/>
      <c r="I355" s="25" t="s">
        <v>612</v>
      </c>
      <c r="J355" s="30"/>
    </row>
    <row r="356" spans="1:11" s="252" customFormat="1" x14ac:dyDescent="0.3">
      <c r="A356" s="322"/>
      <c r="B356" s="33" t="s">
        <v>839</v>
      </c>
      <c r="C356" s="245"/>
      <c r="D356" s="30">
        <v>11</v>
      </c>
      <c r="E356" s="30"/>
      <c r="F356" s="30"/>
      <c r="G356" s="30"/>
      <c r="H356" s="34">
        <f t="shared" ref="H356:H357" si="50">ROUND(PRODUCT(D356:G356),2)</f>
        <v>11</v>
      </c>
      <c r="I356" s="32"/>
      <c r="J356" s="30"/>
      <c r="K356" s="32"/>
    </row>
    <row r="357" spans="1:11" s="252" customFormat="1" x14ac:dyDescent="0.3">
      <c r="A357" s="322"/>
      <c r="B357" s="339" t="s">
        <v>365</v>
      </c>
      <c r="C357" s="245"/>
      <c r="D357" s="30"/>
      <c r="E357" s="30"/>
      <c r="F357" s="30"/>
      <c r="G357" s="30"/>
      <c r="H357" s="34">
        <f t="shared" si="50"/>
        <v>0</v>
      </c>
      <c r="I357" s="32"/>
      <c r="J357" s="30"/>
      <c r="K357" s="32"/>
    </row>
    <row r="358" spans="1:11" s="25" customFormat="1" x14ac:dyDescent="0.3">
      <c r="A358" s="321"/>
      <c r="B358" s="36" t="str">
        <f>"Total item "&amp;A355</f>
        <v>Total item 11.10</v>
      </c>
      <c r="C358" s="244"/>
      <c r="D358" s="34"/>
      <c r="E358" s="34"/>
      <c r="F358" s="34"/>
      <c r="G358" s="34"/>
      <c r="H358" s="28">
        <f>SUM(H356:H357)</f>
        <v>11</v>
      </c>
      <c r="J358" s="34"/>
    </row>
    <row r="359" spans="1:11" s="25" customFormat="1" x14ac:dyDescent="0.3">
      <c r="A359" s="320"/>
      <c r="B359" s="36"/>
      <c r="C359" s="244"/>
      <c r="D359" s="34"/>
      <c r="E359" s="34"/>
      <c r="F359" s="34"/>
      <c r="G359" s="34"/>
      <c r="H359" s="37"/>
      <c r="J359" s="34"/>
      <c r="K359" s="38"/>
    </row>
    <row r="360" spans="1:11" s="32" customFormat="1" ht="27.6" x14ac:dyDescent="0.3">
      <c r="A360" s="322" t="s">
        <v>306</v>
      </c>
      <c r="B360" s="201" t="s">
        <v>366</v>
      </c>
      <c r="C360" s="245" t="s">
        <v>86</v>
      </c>
      <c r="D360" s="31"/>
      <c r="E360" s="31"/>
      <c r="F360" s="31"/>
      <c r="G360" s="31"/>
      <c r="H360" s="31"/>
      <c r="I360" s="25" t="s">
        <v>612</v>
      </c>
      <c r="J360" s="30"/>
    </row>
    <row r="361" spans="1:11" s="32" customFormat="1" x14ac:dyDescent="0.3">
      <c r="A361" s="322"/>
      <c r="B361" s="338" t="s">
        <v>368</v>
      </c>
      <c r="C361" s="245"/>
      <c r="D361" s="30">
        <v>1</v>
      </c>
      <c r="E361" s="31"/>
      <c r="F361" s="31"/>
      <c r="G361" s="31"/>
      <c r="H361" s="34">
        <f t="shared" ref="H361:H362" si="51">ROUND(PRODUCT(D361:G361),2)</f>
        <v>1</v>
      </c>
      <c r="J361" s="30"/>
    </row>
    <row r="362" spans="1:11" s="32" customFormat="1" x14ac:dyDescent="0.3">
      <c r="A362" s="322"/>
      <c r="B362" s="338" t="s">
        <v>364</v>
      </c>
      <c r="C362" s="245"/>
      <c r="D362" s="30">
        <v>1</v>
      </c>
      <c r="E362" s="31"/>
      <c r="F362" s="31"/>
      <c r="G362" s="31"/>
      <c r="H362" s="34">
        <f t="shared" si="51"/>
        <v>1</v>
      </c>
      <c r="J362" s="30"/>
    </row>
    <row r="363" spans="1:11" s="25" customFormat="1" x14ac:dyDescent="0.3">
      <c r="A363" s="321"/>
      <c r="B363" s="36" t="str">
        <f>"Total item "&amp;A360</f>
        <v>Total item 11.11</v>
      </c>
      <c r="C363" s="244"/>
      <c r="D363" s="34"/>
      <c r="E363" s="34"/>
      <c r="F363" s="34"/>
      <c r="G363" s="34"/>
      <c r="H363" s="28">
        <f>SUM(H361:H362)</f>
        <v>2</v>
      </c>
      <c r="J363" s="34"/>
    </row>
    <row r="364" spans="1:11" s="25" customFormat="1" x14ac:dyDescent="0.3">
      <c r="A364" s="320"/>
      <c r="B364" s="36"/>
      <c r="C364" s="244"/>
      <c r="D364" s="34"/>
      <c r="E364" s="34"/>
      <c r="F364" s="34"/>
      <c r="G364" s="34"/>
      <c r="H364" s="37"/>
      <c r="J364" s="34"/>
      <c r="K364" s="38"/>
    </row>
    <row r="365" spans="1:11" s="32" customFormat="1" ht="27.6" x14ac:dyDescent="0.3">
      <c r="A365" s="322" t="s">
        <v>307</v>
      </c>
      <c r="B365" s="201" t="s">
        <v>559</v>
      </c>
      <c r="C365" s="245" t="s">
        <v>86</v>
      </c>
      <c r="D365" s="31"/>
      <c r="E365" s="31"/>
      <c r="F365" s="31"/>
      <c r="G365" s="31"/>
      <c r="H365" s="31"/>
      <c r="I365" s="25" t="s">
        <v>612</v>
      </c>
      <c r="J365" s="30"/>
    </row>
    <row r="366" spans="1:11" s="32" customFormat="1" x14ac:dyDescent="0.3">
      <c r="A366" s="322"/>
      <c r="B366" s="338" t="s">
        <v>364</v>
      </c>
      <c r="C366" s="245"/>
      <c r="D366" s="30">
        <v>4</v>
      </c>
      <c r="E366" s="31"/>
      <c r="F366" s="31"/>
      <c r="G366" s="31"/>
      <c r="H366" s="34">
        <f t="shared" ref="H366" si="52">ROUND(PRODUCT(D366:G366),2)</f>
        <v>4</v>
      </c>
      <c r="J366" s="30"/>
    </row>
    <row r="367" spans="1:11" s="25" customFormat="1" x14ac:dyDescent="0.3">
      <c r="A367" s="321"/>
      <c r="B367" s="36" t="str">
        <f>"Total item "&amp;A365</f>
        <v>Total item 11.12</v>
      </c>
      <c r="C367" s="244"/>
      <c r="D367" s="34"/>
      <c r="E367" s="34"/>
      <c r="F367" s="34"/>
      <c r="G367" s="34"/>
      <c r="H367" s="28">
        <f>SUM(H366:H366)</f>
        <v>4</v>
      </c>
      <c r="J367" s="34"/>
    </row>
    <row r="368" spans="1:11" s="25" customFormat="1" x14ac:dyDescent="0.3">
      <c r="A368" s="320"/>
      <c r="B368" s="36"/>
      <c r="C368" s="244"/>
      <c r="D368" s="34"/>
      <c r="E368" s="34"/>
      <c r="F368" s="34"/>
      <c r="G368" s="34"/>
      <c r="H368" s="37"/>
      <c r="J368" s="34"/>
      <c r="K368" s="38"/>
    </row>
    <row r="369" spans="1:11" s="32" customFormat="1" ht="27.6" x14ac:dyDescent="0.3">
      <c r="A369" s="322" t="s">
        <v>308</v>
      </c>
      <c r="B369" s="201" t="s">
        <v>561</v>
      </c>
      <c r="C369" s="245" t="s">
        <v>86</v>
      </c>
      <c r="D369" s="31"/>
      <c r="E369" s="31"/>
      <c r="F369" s="31"/>
      <c r="G369" s="31"/>
      <c r="H369" s="31"/>
      <c r="I369" s="25" t="s">
        <v>612</v>
      </c>
      <c r="J369" s="30"/>
    </row>
    <row r="370" spans="1:11" s="32" customFormat="1" x14ac:dyDescent="0.3">
      <c r="A370" s="322"/>
      <c r="B370" s="338" t="s">
        <v>364</v>
      </c>
      <c r="C370" s="245"/>
      <c r="D370" s="30">
        <v>1</v>
      </c>
      <c r="E370" s="31"/>
      <c r="F370" s="31"/>
      <c r="G370" s="31"/>
      <c r="H370" s="34">
        <f t="shared" ref="H370" si="53">ROUND(PRODUCT(D370:G370),2)</f>
        <v>1</v>
      </c>
      <c r="J370" s="30"/>
    </row>
    <row r="371" spans="1:11" s="25" customFormat="1" x14ac:dyDescent="0.3">
      <c r="A371" s="321"/>
      <c r="B371" s="36" t="str">
        <f>"Total item "&amp;A369</f>
        <v>Total item 11.13</v>
      </c>
      <c r="C371" s="244"/>
      <c r="D371" s="34"/>
      <c r="E371" s="34"/>
      <c r="F371" s="34"/>
      <c r="G371" s="34"/>
      <c r="H371" s="28">
        <f>SUM(H370:H370)</f>
        <v>1</v>
      </c>
      <c r="J371" s="34"/>
    </row>
    <row r="372" spans="1:11" s="25" customFormat="1" x14ac:dyDescent="0.3">
      <c r="A372" s="320"/>
      <c r="B372" s="36"/>
      <c r="C372" s="244"/>
      <c r="D372" s="34"/>
      <c r="E372" s="34"/>
      <c r="F372" s="34"/>
      <c r="G372" s="34"/>
      <c r="H372" s="37"/>
      <c r="J372" s="34"/>
      <c r="K372" s="38"/>
    </row>
    <row r="373" spans="1:11" s="32" customFormat="1" ht="27.6" x14ac:dyDescent="0.3">
      <c r="A373" s="322" t="s">
        <v>309</v>
      </c>
      <c r="B373" s="201" t="s">
        <v>370</v>
      </c>
      <c r="C373" s="245" t="s">
        <v>86</v>
      </c>
      <c r="D373" s="31"/>
      <c r="E373" s="31"/>
      <c r="F373" s="31"/>
      <c r="G373" s="31"/>
      <c r="H373" s="31"/>
      <c r="I373" s="25" t="s">
        <v>612</v>
      </c>
      <c r="J373" s="30"/>
    </row>
    <row r="374" spans="1:11" s="32" customFormat="1" x14ac:dyDescent="0.3">
      <c r="A374" s="322"/>
      <c r="B374" s="338" t="s">
        <v>369</v>
      </c>
      <c r="C374" s="248"/>
      <c r="D374" s="34">
        <v>4</v>
      </c>
      <c r="E374" s="30"/>
      <c r="F374" s="30"/>
      <c r="G374" s="30"/>
      <c r="H374" s="34">
        <f t="shared" ref="H374" si="54">ROUND(PRODUCT(D374:G374),2)</f>
        <v>4</v>
      </c>
      <c r="J374" s="30"/>
      <c r="K374" s="25"/>
    </row>
    <row r="375" spans="1:11" s="25" customFormat="1" x14ac:dyDescent="0.3">
      <c r="A375" s="321"/>
      <c r="B375" s="36" t="str">
        <f>"Total item "&amp;A373</f>
        <v>Total item 11.14</v>
      </c>
      <c r="C375" s="244"/>
      <c r="D375" s="34"/>
      <c r="E375" s="34"/>
      <c r="F375" s="34"/>
      <c r="G375" s="34"/>
      <c r="H375" s="28">
        <f>SUM(H374:H374)</f>
        <v>4</v>
      </c>
      <c r="J375" s="34"/>
    </row>
    <row r="376" spans="1:11" s="220" customFormat="1" x14ac:dyDescent="0.3">
      <c r="A376" s="329"/>
      <c r="B376" s="216"/>
      <c r="C376" s="250"/>
      <c r="D376" s="218"/>
      <c r="E376" s="218"/>
      <c r="F376" s="218"/>
      <c r="G376" s="218"/>
      <c r="H376" s="219"/>
      <c r="J376" s="218"/>
      <c r="K376" s="221"/>
    </row>
    <row r="377" spans="1:11" s="32" customFormat="1" ht="27.6" x14ac:dyDescent="0.3">
      <c r="A377" s="322" t="s">
        <v>428</v>
      </c>
      <c r="B377" s="201" t="s">
        <v>557</v>
      </c>
      <c r="C377" s="245" t="s">
        <v>86</v>
      </c>
      <c r="D377" s="286"/>
      <c r="E377" s="31"/>
      <c r="F377" s="31"/>
      <c r="G377" s="31"/>
      <c r="H377" s="31"/>
      <c r="I377" s="25" t="s">
        <v>612</v>
      </c>
      <c r="J377" s="30"/>
    </row>
    <row r="378" spans="1:11" s="32" customFormat="1" x14ac:dyDescent="0.3">
      <c r="A378" s="322"/>
      <c r="B378" s="338" t="s">
        <v>369</v>
      </c>
      <c r="C378" s="248"/>
      <c r="D378" s="30">
        <v>4</v>
      </c>
      <c r="E378" s="30"/>
      <c r="F378" s="30"/>
      <c r="G378" s="30"/>
      <c r="H378" s="34">
        <f>ROUND(PRODUCT(D378:G378),2)</f>
        <v>4</v>
      </c>
      <c r="J378" s="30"/>
      <c r="K378" s="25"/>
    </row>
    <row r="379" spans="1:11" s="25" customFormat="1" x14ac:dyDescent="0.3">
      <c r="A379" s="321"/>
      <c r="B379" s="36" t="str">
        <f>"Total item "&amp;A377</f>
        <v>Total item 11.15</v>
      </c>
      <c r="C379" s="244"/>
      <c r="D379" s="34"/>
      <c r="E379" s="34"/>
      <c r="F379" s="34"/>
      <c r="G379" s="34"/>
      <c r="H379" s="28">
        <f>SUM(H378:H378)</f>
        <v>4</v>
      </c>
      <c r="J379" s="34"/>
    </row>
    <row r="380" spans="1:11" s="220" customFormat="1" x14ac:dyDescent="0.3">
      <c r="A380" s="329"/>
      <c r="B380" s="216"/>
      <c r="C380" s="250"/>
      <c r="D380" s="218"/>
      <c r="E380" s="218"/>
      <c r="F380" s="218"/>
      <c r="G380" s="218"/>
      <c r="H380" s="219"/>
      <c r="J380" s="218"/>
      <c r="K380" s="221"/>
    </row>
    <row r="381" spans="1:11" s="171" customFormat="1" x14ac:dyDescent="0.3">
      <c r="A381" s="328" t="s">
        <v>26</v>
      </c>
      <c r="B381" s="199" t="s">
        <v>190</v>
      </c>
      <c r="C381" s="243"/>
      <c r="D381" s="28"/>
      <c r="E381" s="28"/>
      <c r="F381" s="28"/>
      <c r="G381" s="28"/>
      <c r="H381" s="28"/>
      <c r="J381" s="28"/>
      <c r="K381" s="202"/>
    </row>
    <row r="382" spans="1:11" s="25" customFormat="1" x14ac:dyDescent="0.3">
      <c r="A382" s="320"/>
      <c r="B382" s="36"/>
      <c r="C382" s="244"/>
      <c r="D382" s="34"/>
      <c r="E382" s="34"/>
      <c r="F382" s="34"/>
      <c r="G382" s="34"/>
      <c r="H382" s="37"/>
      <c r="J382" s="34"/>
      <c r="K382" s="38"/>
    </row>
    <row r="383" spans="1:11" s="252" customFormat="1" x14ac:dyDescent="0.3">
      <c r="A383" s="322" t="s">
        <v>149</v>
      </c>
      <c r="B383" s="201" t="s">
        <v>662</v>
      </c>
      <c r="C383" s="245" t="s">
        <v>86</v>
      </c>
      <c r="D383" s="31"/>
      <c r="E383" s="31"/>
      <c r="F383" s="31"/>
      <c r="G383" s="31"/>
      <c r="H383" s="31"/>
      <c r="I383" s="25" t="s">
        <v>612</v>
      </c>
      <c r="J383" s="30"/>
      <c r="K383" s="32"/>
    </row>
    <row r="384" spans="1:11" s="252" customFormat="1" x14ac:dyDescent="0.3">
      <c r="A384" s="322"/>
      <c r="B384" s="33" t="s">
        <v>753</v>
      </c>
      <c r="C384" s="245"/>
      <c r="D384" s="30">
        <v>3</v>
      </c>
      <c r="E384" s="30"/>
      <c r="F384" s="30"/>
      <c r="G384" s="30"/>
      <c r="H384" s="34">
        <f>ROUND(PRODUCT(D384:G384),2)</f>
        <v>3</v>
      </c>
      <c r="I384" s="32"/>
      <c r="J384" s="30"/>
      <c r="K384" s="32"/>
    </row>
    <row r="385" spans="1:11" s="276" customFormat="1" x14ac:dyDescent="0.3">
      <c r="A385" s="321"/>
      <c r="B385" s="36" t="str">
        <f>"Total item "&amp;A383</f>
        <v>Total item 12.1</v>
      </c>
      <c r="C385" s="244"/>
      <c r="D385" s="34"/>
      <c r="E385" s="34"/>
      <c r="F385" s="34"/>
      <c r="G385" s="34"/>
      <c r="H385" s="28">
        <f>SUM(H384:H384)</f>
        <v>3</v>
      </c>
      <c r="I385" s="25"/>
      <c r="J385" s="34"/>
      <c r="K385" s="25"/>
    </row>
    <row r="386" spans="1:11" s="25" customFormat="1" x14ac:dyDescent="0.3">
      <c r="A386" s="320"/>
      <c r="B386" s="36"/>
      <c r="C386" s="244"/>
      <c r="D386" s="34"/>
      <c r="E386" s="34"/>
      <c r="F386" s="34"/>
      <c r="G386" s="34"/>
      <c r="H386" s="37"/>
      <c r="J386" s="34"/>
      <c r="K386" s="38"/>
    </row>
    <row r="387" spans="1:11" s="252" customFormat="1" ht="41.4" x14ac:dyDescent="0.3">
      <c r="A387" s="322" t="s">
        <v>173</v>
      </c>
      <c r="B387" s="201" t="s">
        <v>312</v>
      </c>
      <c r="C387" s="245" t="s">
        <v>86</v>
      </c>
      <c r="D387" s="31"/>
      <c r="E387" s="31"/>
      <c r="F387" s="31"/>
      <c r="G387" s="31"/>
      <c r="H387" s="31"/>
      <c r="I387" s="25" t="s">
        <v>612</v>
      </c>
      <c r="J387" s="30"/>
      <c r="K387" s="32"/>
    </row>
    <row r="388" spans="1:11" s="252" customFormat="1" x14ac:dyDescent="0.3">
      <c r="A388" s="322"/>
      <c r="B388" s="33" t="s">
        <v>789</v>
      </c>
      <c r="C388" s="245"/>
      <c r="D388" s="30">
        <v>2</v>
      </c>
      <c r="E388" s="30"/>
      <c r="F388" s="30"/>
      <c r="G388" s="30"/>
      <c r="H388" s="34">
        <f>ROUND(PRODUCT(D388:G388),2)</f>
        <v>2</v>
      </c>
      <c r="I388" s="32"/>
      <c r="J388" s="30"/>
      <c r="K388" s="32"/>
    </row>
    <row r="389" spans="1:11" s="276" customFormat="1" x14ac:dyDescent="0.3">
      <c r="A389" s="321"/>
      <c r="B389" s="36" t="str">
        <f>"Total item "&amp;A387</f>
        <v>Total item 12.2</v>
      </c>
      <c r="C389" s="244"/>
      <c r="D389" s="34"/>
      <c r="E389" s="34"/>
      <c r="F389" s="34"/>
      <c r="G389" s="34"/>
      <c r="H389" s="28">
        <f>SUM(H388:H388)</f>
        <v>2</v>
      </c>
      <c r="I389" s="25"/>
      <c r="J389" s="34"/>
      <c r="K389" s="25"/>
    </row>
    <row r="390" spans="1:11" s="276" customFormat="1" x14ac:dyDescent="0.3">
      <c r="A390" s="320"/>
      <c r="B390" s="36"/>
      <c r="C390" s="244"/>
      <c r="D390" s="34"/>
      <c r="E390" s="34"/>
      <c r="F390" s="34"/>
      <c r="G390" s="34"/>
      <c r="H390" s="37"/>
      <c r="I390" s="25"/>
      <c r="J390" s="34"/>
      <c r="K390" s="38"/>
    </row>
    <row r="391" spans="1:11" s="252" customFormat="1" ht="41.4" x14ac:dyDescent="0.3">
      <c r="A391" s="322" t="s">
        <v>174</v>
      </c>
      <c r="B391" s="201" t="s">
        <v>314</v>
      </c>
      <c r="C391" s="245" t="s">
        <v>86</v>
      </c>
      <c r="D391" s="31"/>
      <c r="E391" s="31"/>
      <c r="F391" s="31"/>
      <c r="G391" s="31"/>
      <c r="H391" s="31"/>
      <c r="I391" s="25" t="s">
        <v>612</v>
      </c>
      <c r="J391" s="30"/>
      <c r="K391" s="32"/>
    </row>
    <row r="392" spans="1:11" s="252" customFormat="1" x14ac:dyDescent="0.3">
      <c r="A392" s="322"/>
      <c r="B392" s="33" t="s">
        <v>789</v>
      </c>
      <c r="C392" s="245"/>
      <c r="D392" s="30">
        <v>2</v>
      </c>
      <c r="E392" s="30"/>
      <c r="F392" s="30"/>
      <c r="G392" s="30"/>
      <c r="H392" s="34">
        <f>ROUND(PRODUCT(D392:G392),2)</f>
        <v>2</v>
      </c>
      <c r="I392" s="32"/>
      <c r="J392" s="30"/>
      <c r="K392" s="32"/>
    </row>
    <row r="393" spans="1:11" s="276" customFormat="1" x14ac:dyDescent="0.3">
      <c r="A393" s="321"/>
      <c r="B393" s="36" t="str">
        <f>"Total item "&amp;A391</f>
        <v>Total item 12.3</v>
      </c>
      <c r="C393" s="244"/>
      <c r="D393" s="34"/>
      <c r="E393" s="34"/>
      <c r="F393" s="34"/>
      <c r="G393" s="30"/>
      <c r="H393" s="28">
        <f>SUM(H392:H392)</f>
        <v>2</v>
      </c>
      <c r="I393" s="25"/>
      <c r="J393" s="34"/>
      <c r="K393" s="25"/>
    </row>
    <row r="394" spans="1:11" s="276" customFormat="1" x14ac:dyDescent="0.3">
      <c r="A394" s="320"/>
      <c r="B394" s="36"/>
      <c r="C394" s="244"/>
      <c r="D394" s="34"/>
      <c r="E394" s="34"/>
      <c r="F394" s="34"/>
      <c r="G394" s="34"/>
      <c r="H394" s="37"/>
      <c r="I394" s="25"/>
      <c r="J394" s="34"/>
      <c r="K394" s="38"/>
    </row>
    <row r="395" spans="1:11" s="252" customFormat="1" ht="22.8" customHeight="1" x14ac:dyDescent="0.3">
      <c r="A395" s="322" t="s">
        <v>962</v>
      </c>
      <c r="B395" s="201" t="s">
        <v>439</v>
      </c>
      <c r="C395" s="245" t="s">
        <v>88</v>
      </c>
      <c r="D395" s="31"/>
      <c r="E395" s="31" t="s">
        <v>481</v>
      </c>
      <c r="F395" s="31"/>
      <c r="G395" s="31"/>
      <c r="H395" s="31"/>
      <c r="I395" s="25" t="s">
        <v>612</v>
      </c>
      <c r="J395" s="30"/>
      <c r="K395" s="32"/>
    </row>
    <row r="396" spans="1:11" s="252" customFormat="1" x14ac:dyDescent="0.3">
      <c r="A396" s="29"/>
      <c r="B396" s="213" t="s">
        <v>372</v>
      </c>
      <c r="C396" s="245"/>
      <c r="D396" s="30"/>
      <c r="E396" s="30">
        <f>H135</f>
        <v>1798.52</v>
      </c>
      <c r="F396" s="30"/>
      <c r="G396" s="30"/>
      <c r="H396" s="30">
        <f>ROUND(PRODUCT(D396:G396),2)</f>
        <v>1798.52</v>
      </c>
      <c r="I396" s="32"/>
      <c r="J396" s="30"/>
      <c r="K396" s="32"/>
    </row>
    <row r="397" spans="1:11" s="276" customFormat="1" x14ac:dyDescent="0.3">
      <c r="A397" s="35"/>
      <c r="B397" s="36" t="str">
        <f>"Total item "&amp;A395</f>
        <v>Total item 12.4</v>
      </c>
      <c r="C397" s="244"/>
      <c r="D397" s="34"/>
      <c r="E397" s="34"/>
      <c r="F397" s="34"/>
      <c r="G397" s="34"/>
      <c r="H397" s="28">
        <f>SUM(H396:H396)</f>
        <v>1798.52</v>
      </c>
      <c r="I397" s="25"/>
      <c r="J397" s="34"/>
      <c r="K397" s="25"/>
    </row>
    <row r="398" spans="1:11" s="220" customFormat="1" x14ac:dyDescent="0.3">
      <c r="A398" s="214"/>
      <c r="B398" s="216"/>
      <c r="C398" s="217"/>
      <c r="D398" s="218"/>
      <c r="E398" s="218"/>
      <c r="F398" s="218"/>
      <c r="G398" s="218"/>
      <c r="H398" s="219"/>
      <c r="J398" s="218"/>
      <c r="K398" s="221"/>
    </row>
    <row r="399" spans="1:11" s="48" customFormat="1" x14ac:dyDescent="0.3">
      <c r="A399" s="522"/>
      <c r="B399" s="523"/>
      <c r="C399" s="523"/>
      <c r="D399" s="523"/>
      <c r="E399" s="523"/>
      <c r="F399" s="523"/>
      <c r="G399" s="523"/>
      <c r="H399" s="542"/>
      <c r="J399" s="49"/>
    </row>
    <row r="400" spans="1:11" s="25" customFormat="1" x14ac:dyDescent="0.3">
      <c r="J400" s="24"/>
    </row>
    <row r="401" spans="5:10" s="25" customFormat="1" x14ac:dyDescent="0.3">
      <c r="J401" s="24"/>
    </row>
    <row r="410" spans="5:10" x14ac:dyDescent="0.3">
      <c r="E410" s="337"/>
    </row>
  </sheetData>
  <mergeCells count="3">
    <mergeCell ref="A399:H399"/>
    <mergeCell ref="A1:H1"/>
    <mergeCell ref="A2:H2"/>
  </mergeCells>
  <printOptions horizontalCentered="1"/>
  <pageMargins left="0.59055118110236227" right="0.59055118110236227" top="1.3779527559055118" bottom="0.59055118110236227" header="0.39370078740157483" footer="0.39370078740157483"/>
  <pageSetup paperSize="9" scale="85" fitToHeight="0" orientation="portrait" r:id="rId1"/>
  <headerFooter>
    <oddHeader>&amp;L&amp;G&amp;R&amp;G</oddHeader>
    <oddFooter>Página &amp;P de &amp;N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A1:L60"/>
  <sheetViews>
    <sheetView view="pageBreakPreview" topLeftCell="A7" zoomScale="85" zoomScaleSheetLayoutView="85" workbookViewId="0">
      <pane ySplit="792" topLeftCell="A22" activePane="bottomLeft"/>
      <selection activeCell="G7" sqref="G1:I1048576"/>
      <selection pane="bottomLeft" activeCell="I63" sqref="I63"/>
    </sheetView>
  </sheetViews>
  <sheetFormatPr defaultColWidth="9.109375" defaultRowHeight="12" x14ac:dyDescent="0.3"/>
  <cols>
    <col min="1" max="1" width="6.109375" style="181" bestFit="1" customWidth="1"/>
    <col min="2" max="2" width="59.33203125" style="181" bestFit="1" customWidth="1"/>
    <col min="3" max="3" width="15.44140625" style="180" bestFit="1" customWidth="1"/>
    <col min="4" max="5" width="10.44140625" style="181" bestFit="1" customWidth="1"/>
    <col min="6" max="9" width="11.6640625" style="181" bestFit="1" customWidth="1"/>
    <col min="10" max="10" width="9.109375" style="181"/>
    <col min="11" max="11" width="10" style="181" bestFit="1" customWidth="1"/>
    <col min="12" max="12" width="11.109375" style="181" bestFit="1" customWidth="1"/>
    <col min="13" max="16384" width="9.109375" style="181"/>
  </cols>
  <sheetData>
    <row r="1" spans="1:11" ht="18" x14ac:dyDescent="0.3">
      <c r="A1" s="546" t="s">
        <v>130</v>
      </c>
      <c r="B1" s="547"/>
      <c r="C1" s="547"/>
      <c r="D1" s="547"/>
      <c r="E1" s="547"/>
      <c r="F1" s="547"/>
      <c r="G1" s="547"/>
      <c r="H1" s="547"/>
      <c r="I1" s="548"/>
    </row>
    <row r="2" spans="1:11" s="182" customFormat="1" ht="6.6" x14ac:dyDescent="0.3">
      <c r="A2" s="172"/>
      <c r="B2" s="172"/>
      <c r="C2" s="172"/>
      <c r="D2" s="172"/>
      <c r="E2" s="172"/>
      <c r="F2" s="172"/>
      <c r="G2" s="172"/>
      <c r="H2" s="172"/>
      <c r="I2" s="172"/>
    </row>
    <row r="3" spans="1:11" s="180" customFormat="1" ht="13.2" customHeight="1" x14ac:dyDescent="0.3">
      <c r="A3" s="52" t="str">
        <f>'(ORÇAMENTO GERAL)'!A6</f>
        <v>OBRA: REFORMA DO AÇOUGUE MUNICIPAL E CONSTRUÇÃO DE 01 GALPÃO PRÉ-FABRICADO DE CONCRETO ARMADO</v>
      </c>
      <c r="B3" s="173"/>
      <c r="C3" s="173"/>
      <c r="D3" s="173"/>
      <c r="E3" s="173"/>
      <c r="F3" s="173"/>
      <c r="G3" s="173"/>
      <c r="H3" s="173"/>
      <c r="I3" s="173"/>
    </row>
    <row r="4" spans="1:11" s="180" customFormat="1" ht="14.4" customHeight="1" x14ac:dyDescent="0.3">
      <c r="A4" s="52" t="str">
        <f>'(ORÇAMENTO GERAL)'!A7</f>
        <v>LOCALIZAÇÃO: RUA SÉRGIO AMARO DO NASCIMENTO - JOÃO ALFREDO/PE</v>
      </c>
      <c r="B4" s="173"/>
      <c r="C4" s="173"/>
      <c r="D4" s="173"/>
      <c r="E4" s="173"/>
      <c r="F4" s="173"/>
      <c r="G4" s="173"/>
      <c r="H4" s="173"/>
      <c r="I4" s="173"/>
    </row>
    <row r="5" spans="1:11" s="180" customFormat="1" ht="14.4" customHeight="1" x14ac:dyDescent="0.3">
      <c r="A5" s="52" t="str">
        <f>'(ORÇAMENTO GERAL)'!A9</f>
        <v>DATA: ABRIL/2025</v>
      </c>
      <c r="B5" s="173"/>
      <c r="C5" s="173"/>
      <c r="D5" s="173"/>
      <c r="E5" s="173"/>
      <c r="F5" s="173"/>
      <c r="G5" s="173"/>
      <c r="H5" s="173"/>
      <c r="I5" s="173"/>
    </row>
    <row r="6" spans="1:11" s="182" customFormat="1" ht="6.6" x14ac:dyDescent="0.3">
      <c r="A6" s="172"/>
      <c r="B6" s="172"/>
      <c r="C6" s="174"/>
      <c r="D6" s="183"/>
      <c r="E6" s="183"/>
      <c r="F6" s="183"/>
      <c r="G6" s="183"/>
      <c r="H6" s="183"/>
      <c r="I6" s="183"/>
    </row>
    <row r="7" spans="1:11" s="184" customFormat="1" x14ac:dyDescent="0.3">
      <c r="A7" s="553" t="s">
        <v>17</v>
      </c>
      <c r="B7" s="553" t="s">
        <v>18</v>
      </c>
      <c r="C7" s="554" t="s">
        <v>20</v>
      </c>
      <c r="D7" s="543" t="s">
        <v>19</v>
      </c>
      <c r="E7" s="544"/>
      <c r="F7" s="544"/>
      <c r="G7" s="544"/>
      <c r="H7" s="544"/>
      <c r="I7" s="545"/>
    </row>
    <row r="8" spans="1:11" s="184" customFormat="1" x14ac:dyDescent="0.3">
      <c r="A8" s="553"/>
      <c r="B8" s="553"/>
      <c r="C8" s="554"/>
      <c r="D8" s="185" t="s">
        <v>29</v>
      </c>
      <c r="E8" s="185" t="s">
        <v>30</v>
      </c>
      <c r="F8" s="185" t="s">
        <v>31</v>
      </c>
      <c r="G8" s="185" t="s">
        <v>443</v>
      </c>
      <c r="H8" s="185" t="s">
        <v>444</v>
      </c>
      <c r="I8" s="185" t="s">
        <v>445</v>
      </c>
    </row>
    <row r="9" spans="1:11" s="180" customFormat="1" x14ac:dyDescent="0.3">
      <c r="A9" s="291"/>
      <c r="B9" s="94"/>
      <c r="C9" s="175"/>
      <c r="D9" s="175"/>
      <c r="E9" s="175"/>
      <c r="F9" s="357"/>
      <c r="G9" s="358"/>
      <c r="H9" s="175"/>
      <c r="I9" s="292"/>
    </row>
    <row r="10" spans="1:11" s="180" customFormat="1" x14ac:dyDescent="0.3">
      <c r="A10" s="293" t="s">
        <v>7</v>
      </c>
      <c r="B10" s="153" t="s">
        <v>219</v>
      </c>
      <c r="C10" s="176">
        <f>'(ORÇAMENTO GERAL)'!Q15</f>
        <v>76173.240000000005</v>
      </c>
      <c r="D10" s="186">
        <f t="shared" ref="D10:G10" si="0">TRUNC($C10*D11,2)</f>
        <v>12698.07</v>
      </c>
      <c r="E10" s="186">
        <f t="shared" si="0"/>
        <v>12698.07</v>
      </c>
      <c r="F10" s="359">
        <f>TRUNC($C10*F11,2)</f>
        <v>12698.07</v>
      </c>
      <c r="G10" s="186">
        <f t="shared" si="0"/>
        <v>12698.07</v>
      </c>
      <c r="H10" s="186">
        <f>TRUNC($C10*H11,2)+0.03</f>
        <v>12690.49</v>
      </c>
      <c r="I10" s="294">
        <f>TRUNC($C10*I11,2)+0.01</f>
        <v>12690.47</v>
      </c>
      <c r="K10" s="142">
        <f>C10-SUM(D10:I10)</f>
        <v>0</v>
      </c>
    </row>
    <row r="11" spans="1:11" s="180" customFormat="1" x14ac:dyDescent="0.3">
      <c r="A11" s="291"/>
      <c r="B11" s="94"/>
      <c r="C11" s="177">
        <f>C10/$C$46</f>
        <v>2.9407165752409859E-2</v>
      </c>
      <c r="D11" s="187">
        <v>0.16669999999999999</v>
      </c>
      <c r="E11" s="187">
        <v>0.16669999999999999</v>
      </c>
      <c r="F11" s="187">
        <v>0.16669999999999999</v>
      </c>
      <c r="G11" s="187">
        <v>0.16669999999999999</v>
      </c>
      <c r="H11" s="187">
        <v>0.1666</v>
      </c>
      <c r="I11" s="187">
        <v>0.1666</v>
      </c>
      <c r="K11" s="143">
        <f>1-SUM(D11:I11)</f>
        <v>0</v>
      </c>
    </row>
    <row r="12" spans="1:11" s="180" customFormat="1" x14ac:dyDescent="0.3">
      <c r="A12" s="291"/>
      <c r="B12" s="94"/>
      <c r="C12" s="175"/>
      <c r="D12" s="175"/>
      <c r="E12" s="175"/>
      <c r="F12" s="357"/>
      <c r="G12" s="175"/>
      <c r="H12" s="175"/>
      <c r="I12" s="292"/>
    </row>
    <row r="13" spans="1:11" s="180" customFormat="1" x14ac:dyDescent="0.3">
      <c r="A13" s="293" t="s">
        <v>9</v>
      </c>
      <c r="B13" s="153" t="str">
        <f>'(ORÇAMENTO GERAL)'!D21</f>
        <v>SERVIÇOS PRELIMINARES</v>
      </c>
      <c r="C13" s="176">
        <f>'(ORÇAMENTO GERAL)'!Q21</f>
        <v>110675.94000000002</v>
      </c>
      <c r="D13" s="186">
        <f t="shared" ref="D13:I13" si="1">TRUNC($C13*D14,2)</f>
        <v>110675.94</v>
      </c>
      <c r="E13" s="186">
        <f t="shared" si="1"/>
        <v>0</v>
      </c>
      <c r="F13" s="359">
        <f t="shared" si="1"/>
        <v>0</v>
      </c>
      <c r="G13" s="186">
        <f t="shared" si="1"/>
        <v>0</v>
      </c>
      <c r="H13" s="186">
        <f t="shared" si="1"/>
        <v>0</v>
      </c>
      <c r="I13" s="294">
        <f t="shared" si="1"/>
        <v>0</v>
      </c>
      <c r="K13" s="142">
        <f>C13-SUM(D13:I13)</f>
        <v>0</v>
      </c>
    </row>
    <row r="14" spans="1:11" s="180" customFormat="1" x14ac:dyDescent="0.3">
      <c r="A14" s="291"/>
      <c r="B14" s="94"/>
      <c r="C14" s="177">
        <f>C13/$C$46</f>
        <v>4.2727153425320609E-2</v>
      </c>
      <c r="D14" s="187">
        <v>1</v>
      </c>
      <c r="E14" s="187"/>
      <c r="F14" s="360"/>
      <c r="G14" s="187"/>
      <c r="H14" s="187"/>
      <c r="I14" s="295"/>
      <c r="K14" s="143">
        <f>1-SUM(D14:I14)</f>
        <v>0</v>
      </c>
    </row>
    <row r="15" spans="1:11" s="180" customFormat="1" x14ac:dyDescent="0.3">
      <c r="A15" s="291"/>
      <c r="B15" s="94"/>
      <c r="C15" s="93"/>
      <c r="D15" s="175"/>
      <c r="E15" s="175"/>
      <c r="F15" s="357"/>
      <c r="G15" s="175"/>
      <c r="H15" s="175"/>
      <c r="I15" s="292"/>
    </row>
    <row r="16" spans="1:11" s="180" customFormat="1" x14ac:dyDescent="0.3">
      <c r="A16" s="293" t="s">
        <v>10</v>
      </c>
      <c r="B16" s="153" t="str">
        <f>'(ORÇAMENTO GERAL)'!D65</f>
        <v>DRENAGEM</v>
      </c>
      <c r="C16" s="176">
        <f>'(ORÇAMENTO GERAL)'!Q65</f>
        <v>117286.42</v>
      </c>
      <c r="D16" s="186">
        <f t="shared" ref="D16:I16" si="2">TRUNC($C16*D17,2)</f>
        <v>117286.42</v>
      </c>
      <c r="E16" s="186">
        <f t="shared" si="2"/>
        <v>0</v>
      </c>
      <c r="F16" s="359">
        <f t="shared" si="2"/>
        <v>0</v>
      </c>
      <c r="G16" s="186">
        <f t="shared" si="2"/>
        <v>0</v>
      </c>
      <c r="H16" s="186">
        <f t="shared" si="2"/>
        <v>0</v>
      </c>
      <c r="I16" s="294">
        <f t="shared" si="2"/>
        <v>0</v>
      </c>
      <c r="K16" s="142">
        <f>C16-SUM(D16:I16)</f>
        <v>0</v>
      </c>
    </row>
    <row r="17" spans="1:11" s="180" customFormat="1" x14ac:dyDescent="0.3">
      <c r="A17" s="291"/>
      <c r="B17" s="94"/>
      <c r="C17" s="177">
        <f>C16/$C$46</f>
        <v>4.5279171444548752E-2</v>
      </c>
      <c r="D17" s="187">
        <v>1</v>
      </c>
      <c r="E17" s="187"/>
      <c r="F17" s="360"/>
      <c r="G17" s="187"/>
      <c r="H17" s="187"/>
      <c r="I17" s="295"/>
      <c r="K17" s="143">
        <f>1-SUM(D17:I17)</f>
        <v>0</v>
      </c>
    </row>
    <row r="18" spans="1:11" s="180" customFormat="1" x14ac:dyDescent="0.3">
      <c r="A18" s="291"/>
      <c r="B18" s="94"/>
      <c r="C18" s="93"/>
      <c r="D18" s="175"/>
      <c r="E18" s="175"/>
      <c r="F18" s="357"/>
      <c r="G18" s="175"/>
      <c r="H18" s="175"/>
      <c r="I18" s="292"/>
      <c r="K18" s="144"/>
    </row>
    <row r="19" spans="1:11" s="180" customFormat="1" x14ac:dyDescent="0.3">
      <c r="A19" s="293" t="s">
        <v>11</v>
      </c>
      <c r="B19" s="153" t="s">
        <v>261</v>
      </c>
      <c r="C19" s="176">
        <f>'(ORÇAMENTO GERAL)'!Q96</f>
        <v>288216.69</v>
      </c>
      <c r="D19" s="186">
        <f>TRUNC($C19*D20,2)</f>
        <v>216162.51</v>
      </c>
      <c r="E19" s="186">
        <f>TRUNC($C19*E20,2)+0.01</f>
        <v>72054.179999999993</v>
      </c>
      <c r="F19" s="359">
        <f t="shared" ref="F19" si="3">TRUNC($C19*F20,2)</f>
        <v>0</v>
      </c>
      <c r="G19" s="186">
        <f>TRUNC($C19*G20,2)</f>
        <v>0</v>
      </c>
      <c r="H19" s="186">
        <f>TRUNC($C19*H20,2)</f>
        <v>0</v>
      </c>
      <c r="I19" s="294">
        <f t="shared" ref="I19" si="4">TRUNC($C19*I20,2)</f>
        <v>0</v>
      </c>
      <c r="K19" s="142">
        <f>C19-SUM(D19:I19)</f>
        <v>0</v>
      </c>
    </row>
    <row r="20" spans="1:11" s="180" customFormat="1" x14ac:dyDescent="0.3">
      <c r="A20" s="291"/>
      <c r="B20" s="94"/>
      <c r="C20" s="177">
        <f>C19/$C$46</f>
        <v>0.11126789375692736</v>
      </c>
      <c r="D20" s="187">
        <v>0.75</v>
      </c>
      <c r="E20" s="187">
        <v>0.25</v>
      </c>
      <c r="F20" s="360"/>
      <c r="G20" s="187"/>
      <c r="H20" s="187"/>
      <c r="I20" s="295"/>
      <c r="K20" s="143">
        <f>1-SUM(D20:I20)</f>
        <v>0</v>
      </c>
    </row>
    <row r="21" spans="1:11" s="180" customFormat="1" x14ac:dyDescent="0.3">
      <c r="A21" s="291"/>
      <c r="B21" s="154"/>
      <c r="C21" s="93"/>
      <c r="D21" s="175"/>
      <c r="E21" s="175"/>
      <c r="F21" s="357"/>
      <c r="G21" s="175"/>
      <c r="H21" s="175"/>
      <c r="I21" s="292"/>
      <c r="K21" s="144"/>
    </row>
    <row r="22" spans="1:11" s="180" customFormat="1" x14ac:dyDescent="0.3">
      <c r="A22" s="293" t="s">
        <v>12</v>
      </c>
      <c r="B22" s="153" t="str">
        <f>'(ORÇAMENTO GERAL)'!D109</f>
        <v>PAREDES E REVESTIMENTOS</v>
      </c>
      <c r="C22" s="176">
        <f>'(ORÇAMENTO GERAL)'!Q109</f>
        <v>435887.5</v>
      </c>
      <c r="D22" s="186">
        <f t="shared" ref="D22:I22" si="5">TRUNC($C22*D23,2)</f>
        <v>0</v>
      </c>
      <c r="E22" s="186">
        <f>TRUNC($C22*E23,2)</f>
        <v>326915.62</v>
      </c>
      <c r="F22" s="359">
        <f>TRUNC($C22*F23,2)+0.01</f>
        <v>108971.87999999999</v>
      </c>
      <c r="G22" s="186">
        <f t="shared" si="5"/>
        <v>0</v>
      </c>
      <c r="H22" s="186">
        <f>TRUNC($C22*H23,2)</f>
        <v>0</v>
      </c>
      <c r="I22" s="294">
        <f t="shared" si="5"/>
        <v>0</v>
      </c>
      <c r="K22" s="142">
        <f>C22-SUM(D22:I22)</f>
        <v>0</v>
      </c>
    </row>
    <row r="23" spans="1:11" s="180" customFormat="1" x14ac:dyDescent="0.3">
      <c r="A23" s="291"/>
      <c r="B23" s="94"/>
      <c r="C23" s="177">
        <f>C22/$C$46</f>
        <v>0.16827715299892129</v>
      </c>
      <c r="D23" s="187"/>
      <c r="E23" s="187">
        <v>0.75</v>
      </c>
      <c r="F23" s="360">
        <v>0.25</v>
      </c>
      <c r="G23" s="187"/>
      <c r="H23" s="187"/>
      <c r="I23" s="295"/>
      <c r="K23" s="143">
        <f>1-SUM(D23:I23)</f>
        <v>0</v>
      </c>
    </row>
    <row r="24" spans="1:11" s="180" customFormat="1" x14ac:dyDescent="0.3">
      <c r="A24" s="291"/>
      <c r="B24" s="94"/>
      <c r="C24" s="175"/>
      <c r="D24" s="175"/>
      <c r="E24" s="175"/>
      <c r="F24" s="361"/>
      <c r="G24" s="175"/>
      <c r="H24" s="175"/>
      <c r="I24" s="296"/>
      <c r="K24" s="144"/>
    </row>
    <row r="25" spans="1:11" s="180" customFormat="1" x14ac:dyDescent="0.3">
      <c r="A25" s="293" t="s">
        <v>15</v>
      </c>
      <c r="B25" s="153" t="str">
        <f>'(ORÇAMENTO GERAL)'!D129</f>
        <v>PISOS</v>
      </c>
      <c r="C25" s="176">
        <f>'(ORÇAMENTO GERAL)'!Q129</f>
        <v>355599.14</v>
      </c>
      <c r="D25" s="186">
        <f t="shared" ref="D25" si="6">TRUNC($C25*D26,2)</f>
        <v>0</v>
      </c>
      <c r="E25" s="186">
        <f>TRUNC($C25*E26,2)</f>
        <v>0</v>
      </c>
      <c r="F25" s="359">
        <f>TRUNC($C25*F26,2)</f>
        <v>355599.14</v>
      </c>
      <c r="G25" s="186">
        <f t="shared" ref="G25" si="7">TRUNC($C25*G26,2)</f>
        <v>0</v>
      </c>
      <c r="H25" s="186">
        <f>TRUNC($C25*H26,2)</f>
        <v>0</v>
      </c>
      <c r="I25" s="294">
        <f>TRUNC($C25*I26,2)</f>
        <v>0</v>
      </c>
      <c r="K25" s="142">
        <f>C25-SUM(D25:I25)</f>
        <v>0</v>
      </c>
    </row>
    <row r="26" spans="1:11" s="180" customFormat="1" x14ac:dyDescent="0.3">
      <c r="A26" s="291"/>
      <c r="B26" s="94"/>
      <c r="C26" s="177">
        <f>C25/$C$46</f>
        <v>0.13728131889091758</v>
      </c>
      <c r="D26" s="187"/>
      <c r="E26" s="187"/>
      <c r="F26" s="360">
        <v>1</v>
      </c>
      <c r="G26" s="187"/>
      <c r="H26" s="187"/>
      <c r="I26" s="295"/>
      <c r="K26" s="143">
        <f>1-SUM(D26:I26)</f>
        <v>0</v>
      </c>
    </row>
    <row r="27" spans="1:11" s="180" customFormat="1" x14ac:dyDescent="0.3">
      <c r="A27" s="291"/>
      <c r="B27" s="94"/>
      <c r="C27" s="175"/>
      <c r="D27" s="175"/>
      <c r="E27" s="175"/>
      <c r="F27" s="361"/>
      <c r="G27" s="175"/>
      <c r="H27" s="175"/>
      <c r="I27" s="296"/>
      <c r="K27" s="144"/>
    </row>
    <row r="28" spans="1:11" s="180" customFormat="1" x14ac:dyDescent="0.3">
      <c r="A28" s="297" t="s">
        <v>21</v>
      </c>
      <c r="B28" s="153" t="str">
        <f>'(ORÇAMENTO GERAL)'!D147</f>
        <v>COBERTA</v>
      </c>
      <c r="C28" s="176">
        <f>'(ORÇAMENTO GERAL)'!Q147</f>
        <v>570477.03</v>
      </c>
      <c r="D28" s="186">
        <f t="shared" ref="D28:E28" si="8">TRUNC($C28*D29,2)</f>
        <v>0</v>
      </c>
      <c r="E28" s="186">
        <f t="shared" si="8"/>
        <v>0</v>
      </c>
      <c r="F28" s="359">
        <f>TRUNC($C28*F29,2)</f>
        <v>0</v>
      </c>
      <c r="G28" s="186">
        <f>TRUNC($C28*G29,2)</f>
        <v>427857.77</v>
      </c>
      <c r="H28" s="186">
        <f>TRUNC($C28*H29,2)+0.01</f>
        <v>142619.26</v>
      </c>
      <c r="I28" s="294">
        <f>TRUNC($C28*I29,2)</f>
        <v>0</v>
      </c>
      <c r="K28" s="142">
        <f>C28-SUM(D28:I28)</f>
        <v>0</v>
      </c>
    </row>
    <row r="29" spans="1:11" s="180" customFormat="1" x14ac:dyDescent="0.3">
      <c r="A29" s="291"/>
      <c r="B29" s="94"/>
      <c r="C29" s="177">
        <f>C28/$C$46</f>
        <v>0.22023630055847029</v>
      </c>
      <c r="D29" s="187"/>
      <c r="E29" s="187"/>
      <c r="F29" s="360"/>
      <c r="G29" s="187">
        <v>0.75</v>
      </c>
      <c r="H29" s="187">
        <v>0.25</v>
      </c>
      <c r="I29" s="295"/>
      <c r="K29" s="143">
        <f>1-SUM(D29:I29)</f>
        <v>0</v>
      </c>
    </row>
    <row r="30" spans="1:11" s="180" customFormat="1" x14ac:dyDescent="0.3">
      <c r="A30" s="291"/>
      <c r="B30" s="94"/>
      <c r="C30" s="175"/>
      <c r="D30" s="175"/>
      <c r="E30" s="175"/>
      <c r="F30" s="361"/>
      <c r="G30" s="175"/>
      <c r="H30" s="175"/>
      <c r="I30" s="296"/>
      <c r="K30" s="144"/>
    </row>
    <row r="31" spans="1:11" s="180" customFormat="1" x14ac:dyDescent="0.3">
      <c r="A31" s="297" t="s">
        <v>22</v>
      </c>
      <c r="B31" s="153" t="str">
        <f>'(ORÇAMENTO GERAL)'!D180</f>
        <v>ESQUADRIAS</v>
      </c>
      <c r="C31" s="176">
        <f>'(ORÇAMENTO GERAL)'!Q180</f>
        <v>205025.82</v>
      </c>
      <c r="D31" s="186">
        <f t="shared" ref="D31:I31" si="9">TRUNC($C31*D32,2)</f>
        <v>0</v>
      </c>
      <c r="E31" s="186">
        <f t="shared" si="9"/>
        <v>0</v>
      </c>
      <c r="F31" s="359">
        <f t="shared" si="9"/>
        <v>0</v>
      </c>
      <c r="G31" s="186">
        <f t="shared" si="9"/>
        <v>0</v>
      </c>
      <c r="H31" s="186">
        <f t="shared" si="9"/>
        <v>205025.82</v>
      </c>
      <c r="I31" s="294">
        <f t="shared" si="9"/>
        <v>0</v>
      </c>
      <c r="K31" s="142">
        <f>C31-SUM(D31:I31)</f>
        <v>0</v>
      </c>
    </row>
    <row r="32" spans="1:11" s="180" customFormat="1" x14ac:dyDescent="0.3">
      <c r="A32" s="291"/>
      <c r="B32" s="94"/>
      <c r="C32" s="177">
        <f>C31/$C$46</f>
        <v>7.9151527127686153E-2</v>
      </c>
      <c r="D32" s="187"/>
      <c r="E32" s="187"/>
      <c r="F32" s="360"/>
      <c r="G32" s="187"/>
      <c r="H32" s="187">
        <v>1</v>
      </c>
      <c r="I32" s="295"/>
      <c r="K32" s="143">
        <f>1-SUM(D32:I32)</f>
        <v>0</v>
      </c>
    </row>
    <row r="33" spans="1:11" s="180" customFormat="1" x14ac:dyDescent="0.3">
      <c r="A33" s="291"/>
      <c r="B33" s="94"/>
      <c r="C33" s="175"/>
      <c r="D33" s="175"/>
      <c r="E33" s="175"/>
      <c r="F33" s="361"/>
      <c r="G33" s="175"/>
      <c r="H33" s="175"/>
      <c r="I33" s="296"/>
      <c r="K33" s="144"/>
    </row>
    <row r="34" spans="1:11" s="180" customFormat="1" x14ac:dyDescent="0.3">
      <c r="A34" s="297" t="s">
        <v>23</v>
      </c>
      <c r="B34" s="153" t="str">
        <f>'(ORÇAMENTO GERAL)'!D228</f>
        <v>PINTURAS E ACABAMENTOS</v>
      </c>
      <c r="C34" s="176">
        <f>'(ORÇAMENTO GERAL)'!Q228</f>
        <v>58000.369999999995</v>
      </c>
      <c r="D34" s="186">
        <f t="shared" ref="D34:I34" si="10">TRUNC($C34*D35,2)</f>
        <v>0</v>
      </c>
      <c r="E34" s="186">
        <f t="shared" si="10"/>
        <v>0</v>
      </c>
      <c r="F34" s="359">
        <f t="shared" si="10"/>
        <v>0</v>
      </c>
      <c r="G34" s="186">
        <f t="shared" si="10"/>
        <v>0</v>
      </c>
      <c r="H34" s="186">
        <f t="shared" si="10"/>
        <v>58000.37</v>
      </c>
      <c r="I34" s="294">
        <f t="shared" si="10"/>
        <v>0</v>
      </c>
      <c r="K34" s="142">
        <f>C34-SUM(D34:I34)</f>
        <v>0</v>
      </c>
    </row>
    <row r="35" spans="1:11" s="180" customFormat="1" x14ac:dyDescent="0.3">
      <c r="A35" s="291"/>
      <c r="B35" s="94"/>
      <c r="C35" s="177">
        <f>C34/$C$46</f>
        <v>2.2391413235029783E-2</v>
      </c>
      <c r="D35" s="187"/>
      <c r="E35" s="187"/>
      <c r="F35" s="360"/>
      <c r="G35" s="187"/>
      <c r="H35" s="187">
        <v>1</v>
      </c>
      <c r="I35" s="295"/>
      <c r="K35" s="143">
        <f>1-SUM(D35:I35)</f>
        <v>0</v>
      </c>
    </row>
    <row r="36" spans="1:11" s="180" customFormat="1" x14ac:dyDescent="0.3">
      <c r="A36" s="291"/>
      <c r="B36" s="94"/>
      <c r="C36" s="175"/>
      <c r="D36" s="175"/>
      <c r="E36" s="175"/>
      <c r="F36" s="361"/>
      <c r="G36" s="175"/>
      <c r="H36" s="175"/>
      <c r="I36" s="296"/>
      <c r="K36" s="144"/>
    </row>
    <row r="37" spans="1:11" s="180" customFormat="1" x14ac:dyDescent="0.3">
      <c r="A37" s="297" t="s">
        <v>24</v>
      </c>
      <c r="B37" s="153" t="str">
        <f>'(ORÇAMENTO GERAL)'!D253</f>
        <v xml:space="preserve">INSTALAÇÕES HIDROSSANITÁRIOS  </v>
      </c>
      <c r="C37" s="176">
        <f>'(ORÇAMENTO GERAL)'!Q253</f>
        <v>110449.45000000001</v>
      </c>
      <c r="D37" s="186">
        <f t="shared" ref="D37:I37" si="11">TRUNC($C37*D38,2)</f>
        <v>0</v>
      </c>
      <c r="E37" s="186">
        <f t="shared" si="11"/>
        <v>0</v>
      </c>
      <c r="F37" s="359">
        <f t="shared" si="11"/>
        <v>0</v>
      </c>
      <c r="G37" s="186">
        <f t="shared" si="11"/>
        <v>0</v>
      </c>
      <c r="H37" s="186">
        <f t="shared" si="11"/>
        <v>0</v>
      </c>
      <c r="I37" s="294">
        <f t="shared" si="11"/>
        <v>110449.45</v>
      </c>
      <c r="K37" s="142">
        <f>C37-SUM(D37:I37)</f>
        <v>0</v>
      </c>
    </row>
    <row r="38" spans="1:11" s="180" customFormat="1" x14ac:dyDescent="0.3">
      <c r="A38" s="291"/>
      <c r="B38" s="94"/>
      <c r="C38" s="177">
        <f>C37/$C$46</f>
        <v>4.2639715514431388E-2</v>
      </c>
      <c r="D38" s="187"/>
      <c r="E38" s="187"/>
      <c r="F38" s="360"/>
      <c r="G38" s="187"/>
      <c r="H38" s="187"/>
      <c r="I38" s="295">
        <v>1</v>
      </c>
      <c r="K38" s="143">
        <f>1-SUM(D38:I38)</f>
        <v>0</v>
      </c>
    </row>
    <row r="39" spans="1:11" s="180" customFormat="1" x14ac:dyDescent="0.3">
      <c r="A39" s="291"/>
      <c r="B39" s="94"/>
      <c r="C39" s="175"/>
      <c r="D39" s="175"/>
      <c r="E39" s="175"/>
      <c r="F39" s="361"/>
      <c r="G39" s="175"/>
      <c r="H39" s="175"/>
      <c r="I39" s="296"/>
      <c r="K39" s="144"/>
    </row>
    <row r="40" spans="1:11" s="180" customFormat="1" x14ac:dyDescent="0.3">
      <c r="A40" s="297" t="s">
        <v>25</v>
      </c>
      <c r="B40" s="153" t="str">
        <f>'(ORÇAMENTO GERAL)'!D323</f>
        <v>INSTALAÇÃO ELÉTRICA</v>
      </c>
      <c r="C40" s="176">
        <f>'(ORÇAMENTO GERAL)'!Q323</f>
        <v>92712.38</v>
      </c>
      <c r="D40" s="186">
        <f>TRUNC($C40*D41,2)</f>
        <v>0</v>
      </c>
      <c r="E40" s="186">
        <f>TRUNC($C40*E41,2)</f>
        <v>0</v>
      </c>
      <c r="F40" s="359">
        <f t="shared" ref="F40" si="12">TRUNC($C40*F41,2)</f>
        <v>0</v>
      </c>
      <c r="G40" s="186">
        <f>TRUNC($C40*G41,2)</f>
        <v>0</v>
      </c>
      <c r="H40" s="186">
        <f>TRUNC($C40*H41,2)</f>
        <v>0</v>
      </c>
      <c r="I40" s="294">
        <f t="shared" ref="I40" si="13">TRUNC($C40*I41,2)</f>
        <v>92712.38</v>
      </c>
      <c r="K40" s="142">
        <f>C40-SUM(D40:I40)</f>
        <v>0</v>
      </c>
    </row>
    <row r="41" spans="1:11" s="180" customFormat="1" x14ac:dyDescent="0.3">
      <c r="A41" s="291"/>
      <c r="B41" s="94"/>
      <c r="C41" s="177">
        <f>C40/$C$46</f>
        <v>3.5792206370116444E-2</v>
      </c>
      <c r="D41" s="187"/>
      <c r="E41" s="187"/>
      <c r="F41" s="360"/>
      <c r="G41" s="187"/>
      <c r="H41" s="187"/>
      <c r="I41" s="295">
        <v>1</v>
      </c>
      <c r="K41" s="143">
        <f>1-SUM(D41:I41)</f>
        <v>0</v>
      </c>
    </row>
    <row r="42" spans="1:11" s="180" customFormat="1" x14ac:dyDescent="0.3">
      <c r="A42" s="291"/>
      <c r="B42" s="94"/>
      <c r="C42" s="175"/>
      <c r="D42" s="175"/>
      <c r="E42" s="175"/>
      <c r="F42" s="361"/>
      <c r="G42" s="175"/>
      <c r="H42" s="175"/>
      <c r="I42" s="296"/>
      <c r="K42" s="144"/>
    </row>
    <row r="43" spans="1:11" s="180" customFormat="1" x14ac:dyDescent="0.3">
      <c r="A43" s="297" t="s">
        <v>26</v>
      </c>
      <c r="B43" s="153" t="str">
        <f>'(ORÇAMENTO GERAL)'!D387</f>
        <v xml:space="preserve">SERVIÇOS COMPLEMENTARES </v>
      </c>
      <c r="C43" s="176">
        <f>'(ORÇAMENTO GERAL)'!Q387</f>
        <v>169791.21</v>
      </c>
      <c r="D43" s="186">
        <f t="shared" ref="D43:I43" si="14">TRUNC($C43*D44,2)</f>
        <v>0</v>
      </c>
      <c r="E43" s="186">
        <f t="shared" si="14"/>
        <v>0</v>
      </c>
      <c r="F43" s="359">
        <f t="shared" si="14"/>
        <v>0</v>
      </c>
      <c r="G43" s="186">
        <f t="shared" si="14"/>
        <v>0</v>
      </c>
      <c r="H43" s="186">
        <f t="shared" si="14"/>
        <v>0</v>
      </c>
      <c r="I43" s="294">
        <f t="shared" si="14"/>
        <v>169791.21</v>
      </c>
      <c r="K43" s="142">
        <f>C43-SUM(D43:I43)</f>
        <v>0</v>
      </c>
    </row>
    <row r="44" spans="1:11" s="180" customFormat="1" x14ac:dyDescent="0.3">
      <c r="A44" s="291"/>
      <c r="B44" s="94"/>
      <c r="C44" s="177">
        <f>C43/$C$46</f>
        <v>6.5548980925220324E-2</v>
      </c>
      <c r="D44" s="187"/>
      <c r="E44" s="187"/>
      <c r="F44" s="360"/>
      <c r="G44" s="187"/>
      <c r="H44" s="187"/>
      <c r="I44" s="295">
        <v>1</v>
      </c>
      <c r="K44" s="143">
        <f>1-SUM(D44:I44)</f>
        <v>0</v>
      </c>
    </row>
    <row r="45" spans="1:11" s="180" customFormat="1" x14ac:dyDescent="0.3">
      <c r="A45" s="291"/>
      <c r="B45" s="94"/>
      <c r="C45" s="175"/>
      <c r="D45" s="175"/>
      <c r="E45" s="175"/>
      <c r="F45" s="357"/>
      <c r="G45" s="175"/>
      <c r="H45" s="175"/>
      <c r="I45" s="292"/>
    </row>
    <row r="46" spans="1:11" s="180" customFormat="1" x14ac:dyDescent="0.3">
      <c r="A46" s="555" t="s">
        <v>28</v>
      </c>
      <c r="B46" s="556"/>
      <c r="C46" s="176">
        <f>SUM(C10,C13,C16,C19,C22,C25,C28,C31,C34,C37,C40,C43)</f>
        <v>2590295.1900000004</v>
      </c>
      <c r="D46" s="175"/>
      <c r="E46" s="175"/>
      <c r="F46" s="357"/>
      <c r="G46" s="175"/>
      <c r="H46" s="175"/>
      <c r="I46" s="292"/>
    </row>
    <row r="47" spans="1:11" s="180" customFormat="1" x14ac:dyDescent="0.3">
      <c r="A47" s="555"/>
      <c r="B47" s="556"/>
      <c r="C47" s="178">
        <f>C46/$C$46</f>
        <v>1</v>
      </c>
      <c r="D47" s="175"/>
      <c r="E47" s="188"/>
      <c r="F47" s="361"/>
      <c r="G47" s="175"/>
      <c r="H47" s="188"/>
      <c r="I47" s="296"/>
    </row>
    <row r="48" spans="1:11" s="180" customFormat="1" x14ac:dyDescent="0.3">
      <c r="A48" s="298"/>
      <c r="B48" s="364"/>
      <c r="C48" s="179"/>
      <c r="D48" s="356"/>
      <c r="E48" s="179"/>
      <c r="F48" s="363"/>
      <c r="G48" s="362"/>
      <c r="H48" s="179"/>
      <c r="I48" s="299"/>
    </row>
    <row r="49" spans="1:12" s="190" customFormat="1" x14ac:dyDescent="0.3">
      <c r="A49" s="557" t="s">
        <v>34</v>
      </c>
      <c r="B49" s="557"/>
      <c r="C49" s="557"/>
      <c r="D49" s="189">
        <f t="shared" ref="D49:I49" si="15">SUM(D10,D13,D16,D19,D22,D25,D28,D31,D34,D37,D40,D43)</f>
        <v>456822.94</v>
      </c>
      <c r="E49" s="189">
        <f t="shared" si="15"/>
        <v>411667.87</v>
      </c>
      <c r="F49" s="189">
        <f t="shared" si="15"/>
        <v>477269.08999999997</v>
      </c>
      <c r="G49" s="189">
        <f t="shared" si="15"/>
        <v>440555.84</v>
      </c>
      <c r="H49" s="189">
        <f t="shared" si="15"/>
        <v>418335.94</v>
      </c>
      <c r="I49" s="189">
        <f t="shared" si="15"/>
        <v>385643.51</v>
      </c>
      <c r="K49" s="142">
        <f>C46-SUM(D49:I49)</f>
        <v>0</v>
      </c>
    </row>
    <row r="50" spans="1:12" s="190" customFormat="1" x14ac:dyDescent="0.3">
      <c r="A50" s="557"/>
      <c r="B50" s="557"/>
      <c r="C50" s="557"/>
      <c r="D50" s="191">
        <f t="shared" ref="D50:F50" si="16">D49/$C$46</f>
        <v>0.17635941330686714</v>
      </c>
      <c r="E50" s="191">
        <f t="shared" si="16"/>
        <v>0.15892701016828895</v>
      </c>
      <c r="F50" s="191">
        <f t="shared" si="16"/>
        <v>0.18425278008565499</v>
      </c>
      <c r="G50" s="191">
        <f t="shared" ref="G50:I50" si="17">G49/$C$46</f>
        <v>0.17007939546843692</v>
      </c>
      <c r="H50" s="191">
        <f t="shared" si="17"/>
        <v>0.16150126117479296</v>
      </c>
      <c r="I50" s="191">
        <f t="shared" si="17"/>
        <v>0.1488801397959589</v>
      </c>
      <c r="K50" s="143">
        <f>1-SUM(D50:I50)</f>
        <v>0</v>
      </c>
    </row>
    <row r="51" spans="1:12" s="180" customFormat="1" x14ac:dyDescent="0.3">
      <c r="A51" s="298"/>
      <c r="B51" s="364"/>
      <c r="C51" s="179"/>
      <c r="D51" s="356"/>
      <c r="E51" s="179"/>
      <c r="F51" s="179"/>
      <c r="G51" s="365"/>
      <c r="H51" s="179"/>
      <c r="I51" s="299"/>
    </row>
    <row r="52" spans="1:12" s="190" customFormat="1" x14ac:dyDescent="0.3">
      <c r="A52" s="557" t="s">
        <v>64</v>
      </c>
      <c r="B52" s="557"/>
      <c r="C52" s="557"/>
      <c r="D52" s="189">
        <f>D49</f>
        <v>456822.94</v>
      </c>
      <c r="E52" s="189">
        <f>E49+D52</f>
        <v>868490.81</v>
      </c>
      <c r="F52" s="189">
        <f>F49+E52</f>
        <v>1345759.9</v>
      </c>
      <c r="G52" s="189">
        <f>G49+F52</f>
        <v>1786315.74</v>
      </c>
      <c r="H52" s="189">
        <f>H49+G52</f>
        <v>2204651.6800000002</v>
      </c>
      <c r="I52" s="189">
        <f>I49+H52</f>
        <v>2590295.1900000004</v>
      </c>
    </row>
    <row r="53" spans="1:12" s="190" customFormat="1" x14ac:dyDescent="0.3">
      <c r="A53" s="557"/>
      <c r="B53" s="557"/>
      <c r="C53" s="557"/>
      <c r="D53" s="191">
        <f t="shared" ref="D53:F53" si="18">D52/$C$46</f>
        <v>0.17635941330686714</v>
      </c>
      <c r="E53" s="191">
        <f t="shared" si="18"/>
        <v>0.33528642347515608</v>
      </c>
      <c r="F53" s="191">
        <f t="shared" si="18"/>
        <v>0.51953920356081107</v>
      </c>
      <c r="G53" s="191">
        <f t="shared" ref="G53:I53" si="19">G52/$C$46</f>
        <v>0.68961859902924794</v>
      </c>
      <c r="H53" s="191">
        <f t="shared" si="19"/>
        <v>0.85111986020404096</v>
      </c>
      <c r="I53" s="191">
        <f t="shared" si="19"/>
        <v>1</v>
      </c>
    </row>
    <row r="54" spans="1:12" s="190" customFormat="1" x14ac:dyDescent="0.3">
      <c r="A54" s="298"/>
      <c r="B54" s="364"/>
      <c r="C54" s="364"/>
      <c r="G54" s="366"/>
      <c r="I54" s="300"/>
    </row>
    <row r="55" spans="1:12" s="192" customFormat="1" ht="15.6" x14ac:dyDescent="0.3">
      <c r="A55" s="552" t="s">
        <v>16</v>
      </c>
      <c r="B55" s="552"/>
      <c r="C55" s="552"/>
      <c r="D55" s="549">
        <f>SUM(D49:I49)</f>
        <v>2590295.1900000004</v>
      </c>
      <c r="E55" s="550"/>
      <c r="F55" s="550"/>
      <c r="G55" s="550"/>
      <c r="H55" s="550"/>
      <c r="I55" s="551"/>
      <c r="K55" s="193">
        <f>C46</f>
        <v>2590295.1900000004</v>
      </c>
      <c r="L55" s="194">
        <f>D55-K55</f>
        <v>0</v>
      </c>
    </row>
    <row r="56" spans="1:12" x14ac:dyDescent="0.3">
      <c r="K56" s="195"/>
    </row>
    <row r="57" spans="1:12" x14ac:dyDescent="0.3">
      <c r="K57" s="194" t="s">
        <v>32</v>
      </c>
      <c r="L57" s="196">
        <f>K55/6</f>
        <v>431715.86500000005</v>
      </c>
    </row>
    <row r="59" spans="1:12" x14ac:dyDescent="0.3">
      <c r="K59" s="197"/>
      <c r="L59" s="198"/>
    </row>
    <row r="60" spans="1:12" x14ac:dyDescent="0.3">
      <c r="K60" s="197"/>
      <c r="L60" s="198"/>
    </row>
  </sheetData>
  <mergeCells count="10">
    <mergeCell ref="D7:I7"/>
    <mergeCell ref="A1:I1"/>
    <mergeCell ref="D55:I55"/>
    <mergeCell ref="A55:C55"/>
    <mergeCell ref="A7:A8"/>
    <mergeCell ref="B7:B8"/>
    <mergeCell ref="C7:C8"/>
    <mergeCell ref="A46:B47"/>
    <mergeCell ref="A49:C50"/>
    <mergeCell ref="A52:C53"/>
  </mergeCells>
  <phoneticPr fontId="11" type="noConversion"/>
  <printOptions horizontalCentered="1"/>
  <pageMargins left="0.59055118110236227" right="0.59055118110236227" top="1.1811023622047245" bottom="0.59055118110236227" header="0.31496062992125984" footer="0.31496062992125984"/>
  <pageSetup paperSize="9" scale="61" fitToHeight="0" orientation="portrait" horizontalDpi="300" verticalDpi="300" r:id="rId1"/>
  <headerFooter>
    <oddHeader>&amp;L&amp;G&amp;R&amp;G</oddHeader>
    <oddFooter>Página &amp;P de &amp;N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15F09-FBC3-4001-9454-885E293C7748}">
  <sheetPr>
    <tabColor rgb="FF92D050"/>
    <pageSetUpPr fitToPage="1"/>
  </sheetPr>
  <dimension ref="A1:J24"/>
  <sheetViews>
    <sheetView view="pageBreakPreview" zoomScale="80" zoomScaleSheetLayoutView="80" workbookViewId="0">
      <selection activeCell="D13" sqref="D13"/>
    </sheetView>
  </sheetViews>
  <sheetFormatPr defaultColWidth="9.109375" defaultRowHeight="13.8" x14ac:dyDescent="0.3"/>
  <cols>
    <col min="1" max="1" width="7" style="25" customWidth="1"/>
    <col min="2" max="2" width="65.88671875" style="25" customWidth="1"/>
    <col min="3" max="3" width="15.6640625" style="25" customWidth="1"/>
    <col min="4" max="4" width="16.6640625" style="25" customWidth="1"/>
    <col min="5" max="5" width="16" style="25" customWidth="1"/>
    <col min="6" max="6" width="11.33203125" style="25" bestFit="1" customWidth="1"/>
    <col min="7" max="7" width="10.88671875" style="25" bestFit="1" customWidth="1"/>
    <col min="8" max="8" width="10.44140625" style="25" bestFit="1" customWidth="1"/>
    <col min="9" max="9" width="10.6640625" style="25" bestFit="1" customWidth="1"/>
    <col min="10" max="10" width="9.109375" style="25" customWidth="1"/>
    <col min="11" max="16384" width="9.109375" style="25"/>
  </cols>
  <sheetData>
    <row r="1" spans="1:10" ht="18" x14ac:dyDescent="0.3">
      <c r="A1" s="546" t="s">
        <v>954</v>
      </c>
      <c r="B1" s="559"/>
      <c r="C1" s="559"/>
      <c r="D1" s="559"/>
      <c r="E1" s="560"/>
    </row>
    <row r="2" spans="1:10" x14ac:dyDescent="0.3">
      <c r="A2" s="170"/>
      <c r="B2" s="170"/>
      <c r="C2" s="170"/>
      <c r="D2" s="170"/>
      <c r="E2" s="170"/>
    </row>
    <row r="3" spans="1:10" x14ac:dyDescent="0.3">
      <c r="A3" s="52" t="str">
        <f>CRONOGRAMA!A3</f>
        <v>OBRA: REFORMA DO AÇOUGUE MUNICIPAL E CONSTRUÇÃO DE 01 GALPÃO PRÉ-FABRICADO DE CONCRETO ARMADO</v>
      </c>
      <c r="B3" s="473"/>
      <c r="C3" s="473"/>
      <c r="D3" s="473"/>
      <c r="E3" s="473"/>
    </row>
    <row r="4" spans="1:10" x14ac:dyDescent="0.3">
      <c r="A4" s="39" t="str">
        <f>CRONOGRAMA!A4</f>
        <v>LOCALIZAÇÃO: RUA SÉRGIO AMARO DO NASCIMENTO - JOÃO ALFREDO/PE</v>
      </c>
      <c r="B4" s="39"/>
      <c r="C4" s="170"/>
      <c r="D4" s="170"/>
      <c r="E4" s="170"/>
    </row>
    <row r="5" spans="1:10" x14ac:dyDescent="0.3">
      <c r="A5" s="39" t="str">
        <f>CRONOGRAMA!A5</f>
        <v>DATA: ABRIL/2025</v>
      </c>
      <c r="B5" s="473"/>
      <c r="C5" s="473"/>
      <c r="D5" s="473"/>
      <c r="E5" s="473"/>
    </row>
    <row r="6" spans="1:10" x14ac:dyDescent="0.3">
      <c r="A6" s="170"/>
      <c r="B6" s="170"/>
      <c r="C6" s="42"/>
      <c r="D6" s="42"/>
      <c r="E6" s="42"/>
    </row>
    <row r="7" spans="1:10" s="474" customFormat="1" x14ac:dyDescent="0.3">
      <c r="A7" s="561" t="s">
        <v>17</v>
      </c>
      <c r="B7" s="562" t="s">
        <v>955</v>
      </c>
      <c r="C7" s="563" t="s">
        <v>960</v>
      </c>
      <c r="D7" s="563" t="s">
        <v>956</v>
      </c>
      <c r="E7" s="564" t="s">
        <v>957</v>
      </c>
    </row>
    <row r="8" spans="1:10" s="474" customFormat="1" x14ac:dyDescent="0.3">
      <c r="A8" s="561"/>
      <c r="B8" s="562"/>
      <c r="C8" s="563"/>
      <c r="D8" s="563"/>
      <c r="E8" s="564"/>
    </row>
    <row r="9" spans="1:10" s="96" customFormat="1" x14ac:dyDescent="0.3">
      <c r="A9" s="475"/>
      <c r="B9" s="476"/>
      <c r="C9" s="477"/>
      <c r="D9" s="478"/>
      <c r="E9" s="478"/>
    </row>
    <row r="10" spans="1:10" s="484" customFormat="1" x14ac:dyDescent="0.3">
      <c r="A10" s="479" t="s">
        <v>54</v>
      </c>
      <c r="B10" s="480" t="str">
        <f>'[12](ORÇAMENTO GERAL)'!D14</f>
        <v>REMANESCENTE DA QUADRA FNDE</v>
      </c>
      <c r="C10" s="481">
        <f>ORÇAMENTO!M121</f>
        <v>2538489.2900000019</v>
      </c>
      <c r="D10" s="482">
        <f>E10-C10</f>
        <v>51805.899999999907</v>
      </c>
      <c r="E10" s="482">
        <f>ORÇAMENTO!I118</f>
        <v>2590295.1900000018</v>
      </c>
      <c r="F10" s="483">
        <f>C10-SUM(C11:C13)</f>
        <v>0</v>
      </c>
      <c r="G10" s="483">
        <f>D10-SUM(D11:D13)</f>
        <v>0</v>
      </c>
      <c r="H10" s="483">
        <f>C10+D10-E10</f>
        <v>0</v>
      </c>
      <c r="J10" s="483">
        <f>E11-D11</f>
        <v>851121</v>
      </c>
    </row>
    <row r="11" spans="1:10" s="506" customFormat="1" x14ac:dyDescent="0.3">
      <c r="A11" s="502" t="s">
        <v>7</v>
      </c>
      <c r="B11" s="503" t="s">
        <v>17</v>
      </c>
      <c r="C11" s="504">
        <f>ROUND(($C$10/$E$10)*$E11,2)</f>
        <v>851121</v>
      </c>
      <c r="D11" s="504">
        <f>E11-C11</f>
        <v>17369.810000000056</v>
      </c>
      <c r="E11" s="505">
        <f>SUM(CRONOGRAMA!D49:E49)</f>
        <v>868490.81</v>
      </c>
      <c r="H11" s="507">
        <f>C11+D11-E11</f>
        <v>0</v>
      </c>
    </row>
    <row r="12" spans="1:10" s="506" customFormat="1" x14ac:dyDescent="0.3">
      <c r="A12" s="502" t="s">
        <v>9</v>
      </c>
      <c r="B12" s="503" t="s">
        <v>17</v>
      </c>
      <c r="C12" s="504">
        <f>ROUND(($C$10/$E$10)*$E12,2)</f>
        <v>899468.43</v>
      </c>
      <c r="D12" s="504">
        <f>E12-C12</f>
        <v>18356.499999999884</v>
      </c>
      <c r="E12" s="505">
        <f>SUM(CRONOGRAMA!F49:G49)</f>
        <v>917824.92999999993</v>
      </c>
      <c r="H12" s="507">
        <f>C12+D12-E12</f>
        <v>0</v>
      </c>
    </row>
    <row r="13" spans="1:10" s="506" customFormat="1" x14ac:dyDescent="0.3">
      <c r="A13" s="502" t="s">
        <v>10</v>
      </c>
      <c r="B13" s="503" t="s">
        <v>17</v>
      </c>
      <c r="C13" s="504">
        <f t="shared" ref="C13" si="0">ROUND(($C$10/$E$10)*$E13,2)</f>
        <v>787899.86</v>
      </c>
      <c r="D13" s="504">
        <f t="shared" ref="D13" si="1">E13-C13</f>
        <v>16079.589999999967</v>
      </c>
      <c r="E13" s="505">
        <f>SUM(CRONOGRAMA!H49:I49)</f>
        <v>803979.45</v>
      </c>
      <c r="H13" s="507">
        <f t="shared" ref="H13" si="2">C13+D13-E13</f>
        <v>0</v>
      </c>
    </row>
    <row r="14" spans="1:10" x14ac:dyDescent="0.3">
      <c r="A14" s="489"/>
      <c r="B14" s="490"/>
      <c r="C14" s="491"/>
      <c r="D14" s="492"/>
      <c r="E14" s="492"/>
      <c r="H14" s="50"/>
    </row>
    <row r="15" spans="1:10" s="171" customFormat="1" ht="15.6" x14ac:dyDescent="0.3">
      <c r="A15" s="558" t="s">
        <v>958</v>
      </c>
      <c r="B15" s="558"/>
      <c r="C15" s="493">
        <f>SUM(C9:C14)/2</f>
        <v>2538489.290000001</v>
      </c>
      <c r="D15" s="493">
        <f>SUM(D9:D14)/2</f>
        <v>51805.899999999907</v>
      </c>
      <c r="E15" s="494">
        <f>SUM(E9:E14)/2</f>
        <v>2590295.1900000009</v>
      </c>
      <c r="H15" s="495"/>
    </row>
    <row r="19" spans="3:9" x14ac:dyDescent="0.3">
      <c r="C19" s="496"/>
      <c r="D19" s="496"/>
      <c r="E19" s="497" t="s">
        <v>959</v>
      </c>
    </row>
    <row r="20" spans="3:9" x14ac:dyDescent="0.3">
      <c r="C20" s="498"/>
      <c r="D20" s="496"/>
      <c r="E20" s="499">
        <f>ORÇAMENTO!M121</f>
        <v>2538489.2900000019</v>
      </c>
    </row>
    <row r="21" spans="3:9" x14ac:dyDescent="0.3">
      <c r="C21" s="500"/>
      <c r="D21" s="496"/>
      <c r="E21" s="496"/>
      <c r="I21" s="501"/>
    </row>
    <row r="22" spans="3:9" x14ac:dyDescent="0.3">
      <c r="C22" s="500"/>
      <c r="D22" s="496"/>
      <c r="E22" s="497"/>
    </row>
    <row r="23" spans="3:9" x14ac:dyDescent="0.3">
      <c r="C23" s="496"/>
      <c r="D23" s="496"/>
      <c r="E23" s="499"/>
    </row>
    <row r="24" spans="3:9" x14ac:dyDescent="0.3">
      <c r="C24" s="496">
        <f>C22-C21</f>
        <v>0</v>
      </c>
    </row>
  </sheetData>
  <mergeCells count="7">
    <mergeCell ref="A15:B15"/>
    <mergeCell ref="A1:E1"/>
    <mergeCell ref="A7:A8"/>
    <mergeCell ref="B7:B8"/>
    <mergeCell ref="C7:C8"/>
    <mergeCell ref="D7:D8"/>
    <mergeCell ref="E7:E8"/>
  </mergeCells>
  <printOptions horizontalCentered="1"/>
  <pageMargins left="0.59055118110236227" right="0.39370078740157483" top="1.1811023622047245" bottom="0.59055118110236227" header="0.39370078740157483" footer="0.39370078740157483"/>
  <pageSetup paperSize="9" scale="77" fitToHeight="0" orientation="portrait" horizontalDpi="300" verticalDpi="300" r:id="rId1"/>
  <headerFooter>
    <oddHeader>&amp;L&amp;G&amp;R&amp;G</oddHeader>
    <oddFooter>&amp;R&amp;"Arial,Normal"&amp;8Pág. &amp;P de &amp;N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X644"/>
  <sheetViews>
    <sheetView view="pageBreakPreview" topLeftCell="A137" zoomScaleNormal="100" zoomScaleSheetLayoutView="100" workbookViewId="0">
      <selection activeCell="I157" sqref="I157"/>
    </sheetView>
  </sheetViews>
  <sheetFormatPr defaultRowHeight="13.8" x14ac:dyDescent="0.3"/>
  <cols>
    <col min="1" max="1" width="2.33203125" style="167" customWidth="1"/>
    <col min="2" max="2" width="12.33203125" style="167" customWidth="1"/>
    <col min="3" max="3" width="10.88671875" style="167" customWidth="1"/>
    <col min="4" max="4" width="53.33203125" style="167" customWidth="1"/>
    <col min="5" max="5" width="8.88671875" style="167"/>
    <col min="6" max="6" width="10.5546875" style="167" customWidth="1"/>
    <col min="7" max="7" width="9.88671875" style="167" hidden="1" customWidth="1"/>
    <col min="8" max="8" width="9.6640625" style="167" hidden="1" customWidth="1"/>
    <col min="9" max="9" width="10.21875" style="167" customWidth="1"/>
    <col min="10" max="10" width="10.88671875" style="167" bestFit="1" customWidth="1"/>
    <col min="11" max="11" width="2.33203125" style="168" customWidth="1"/>
    <col min="12" max="12" width="8.88671875" style="166"/>
    <col min="13" max="13" width="11.33203125" style="166" bestFit="1" customWidth="1"/>
    <col min="14" max="14" width="8.88671875" style="166"/>
    <col min="15" max="15" width="9.5546875" style="166" bestFit="1" customWidth="1"/>
    <col min="16" max="258" width="8.88671875" style="167"/>
    <col min="259" max="259" width="17.5546875" style="167" customWidth="1"/>
    <col min="260" max="260" width="47.5546875" style="167" customWidth="1"/>
    <col min="261" max="261" width="8.88671875" style="167"/>
    <col min="262" max="262" width="10.33203125" style="167" customWidth="1"/>
    <col min="263" max="263" width="11.6640625" style="167" customWidth="1"/>
    <col min="264" max="264" width="15.88671875" style="167" customWidth="1"/>
    <col min="265" max="514" width="8.88671875" style="167"/>
    <col min="515" max="515" width="17.5546875" style="167" customWidth="1"/>
    <col min="516" max="516" width="47.5546875" style="167" customWidth="1"/>
    <col min="517" max="517" width="8.88671875" style="167"/>
    <col min="518" max="518" width="10.33203125" style="167" customWidth="1"/>
    <col min="519" max="519" width="11.6640625" style="167" customWidth="1"/>
    <col min="520" max="520" width="15.88671875" style="167" customWidth="1"/>
    <col min="521" max="770" width="8.88671875" style="167"/>
    <col min="771" max="771" width="17.5546875" style="167" customWidth="1"/>
    <col min="772" max="772" width="47.5546875" style="167" customWidth="1"/>
    <col min="773" max="773" width="8.88671875" style="167"/>
    <col min="774" max="774" width="10.33203125" style="167" customWidth="1"/>
    <col min="775" max="775" width="11.6640625" style="167" customWidth="1"/>
    <col min="776" max="776" width="15.88671875" style="167" customWidth="1"/>
    <col min="777" max="1026" width="8.88671875" style="167"/>
    <col min="1027" max="1027" width="17.5546875" style="167" customWidth="1"/>
    <col min="1028" max="1028" width="47.5546875" style="167" customWidth="1"/>
    <col min="1029" max="1029" width="8.88671875" style="167"/>
    <col min="1030" max="1030" width="10.33203125" style="167" customWidth="1"/>
    <col min="1031" max="1031" width="11.6640625" style="167" customWidth="1"/>
    <col min="1032" max="1032" width="15.88671875" style="167" customWidth="1"/>
    <col min="1033" max="1282" width="8.88671875" style="167"/>
    <col min="1283" max="1283" width="17.5546875" style="167" customWidth="1"/>
    <col min="1284" max="1284" width="47.5546875" style="167" customWidth="1"/>
    <col min="1285" max="1285" width="8.88671875" style="167"/>
    <col min="1286" max="1286" width="10.33203125" style="167" customWidth="1"/>
    <col min="1287" max="1287" width="11.6640625" style="167" customWidth="1"/>
    <col min="1288" max="1288" width="15.88671875" style="167" customWidth="1"/>
    <col min="1289" max="1538" width="8.88671875" style="167"/>
    <col min="1539" max="1539" width="17.5546875" style="167" customWidth="1"/>
    <col min="1540" max="1540" width="47.5546875" style="167" customWidth="1"/>
    <col min="1541" max="1541" width="8.88671875" style="167"/>
    <col min="1542" max="1542" width="10.33203125" style="167" customWidth="1"/>
    <col min="1543" max="1543" width="11.6640625" style="167" customWidth="1"/>
    <col min="1544" max="1544" width="15.88671875" style="167" customWidth="1"/>
    <col min="1545" max="1794" width="8.88671875" style="167"/>
    <col min="1795" max="1795" width="17.5546875" style="167" customWidth="1"/>
    <col min="1796" max="1796" width="47.5546875" style="167" customWidth="1"/>
    <col min="1797" max="1797" width="8.88671875" style="167"/>
    <col min="1798" max="1798" width="10.33203125" style="167" customWidth="1"/>
    <col min="1799" max="1799" width="11.6640625" style="167" customWidth="1"/>
    <col min="1800" max="1800" width="15.88671875" style="167" customWidth="1"/>
    <col min="1801" max="2050" width="8.88671875" style="167"/>
    <col min="2051" max="2051" width="17.5546875" style="167" customWidth="1"/>
    <col min="2052" max="2052" width="47.5546875" style="167" customWidth="1"/>
    <col min="2053" max="2053" width="8.88671875" style="167"/>
    <col min="2054" max="2054" width="10.33203125" style="167" customWidth="1"/>
    <col min="2055" max="2055" width="11.6640625" style="167" customWidth="1"/>
    <col min="2056" max="2056" width="15.88671875" style="167" customWidth="1"/>
    <col min="2057" max="2306" width="8.88671875" style="167"/>
    <col min="2307" max="2307" width="17.5546875" style="167" customWidth="1"/>
    <col min="2308" max="2308" width="47.5546875" style="167" customWidth="1"/>
    <col min="2309" max="2309" width="8.88671875" style="167"/>
    <col min="2310" max="2310" width="10.33203125" style="167" customWidth="1"/>
    <col min="2311" max="2311" width="11.6640625" style="167" customWidth="1"/>
    <col min="2312" max="2312" width="15.88671875" style="167" customWidth="1"/>
    <col min="2313" max="2562" width="8.88671875" style="167"/>
    <col min="2563" max="2563" width="17.5546875" style="167" customWidth="1"/>
    <col min="2564" max="2564" width="47.5546875" style="167" customWidth="1"/>
    <col min="2565" max="2565" width="8.88671875" style="167"/>
    <col min="2566" max="2566" width="10.33203125" style="167" customWidth="1"/>
    <col min="2567" max="2567" width="11.6640625" style="167" customWidth="1"/>
    <col min="2568" max="2568" width="15.88671875" style="167" customWidth="1"/>
    <col min="2569" max="2818" width="8.88671875" style="167"/>
    <col min="2819" max="2819" width="17.5546875" style="167" customWidth="1"/>
    <col min="2820" max="2820" width="47.5546875" style="167" customWidth="1"/>
    <col min="2821" max="2821" width="8.88671875" style="167"/>
    <col min="2822" max="2822" width="10.33203125" style="167" customWidth="1"/>
    <col min="2823" max="2823" width="11.6640625" style="167" customWidth="1"/>
    <col min="2824" max="2824" width="15.88671875" style="167" customWidth="1"/>
    <col min="2825" max="3074" width="8.88671875" style="167"/>
    <col min="3075" max="3075" width="17.5546875" style="167" customWidth="1"/>
    <col min="3076" max="3076" width="47.5546875" style="167" customWidth="1"/>
    <col min="3077" max="3077" width="8.88671875" style="167"/>
    <col min="3078" max="3078" width="10.33203125" style="167" customWidth="1"/>
    <col min="3079" max="3079" width="11.6640625" style="167" customWidth="1"/>
    <col min="3080" max="3080" width="15.88671875" style="167" customWidth="1"/>
    <col min="3081" max="3330" width="8.88671875" style="167"/>
    <col min="3331" max="3331" width="17.5546875" style="167" customWidth="1"/>
    <col min="3332" max="3332" width="47.5546875" style="167" customWidth="1"/>
    <col min="3333" max="3333" width="8.88671875" style="167"/>
    <col min="3334" max="3334" width="10.33203125" style="167" customWidth="1"/>
    <col min="3335" max="3335" width="11.6640625" style="167" customWidth="1"/>
    <col min="3336" max="3336" width="15.88671875" style="167" customWidth="1"/>
    <col min="3337" max="3586" width="8.88671875" style="167"/>
    <col min="3587" max="3587" width="17.5546875" style="167" customWidth="1"/>
    <col min="3588" max="3588" width="47.5546875" style="167" customWidth="1"/>
    <col min="3589" max="3589" width="8.88671875" style="167"/>
    <col min="3590" max="3590" width="10.33203125" style="167" customWidth="1"/>
    <col min="3591" max="3591" width="11.6640625" style="167" customWidth="1"/>
    <col min="3592" max="3592" width="15.88671875" style="167" customWidth="1"/>
    <col min="3593" max="3842" width="8.88671875" style="167"/>
    <col min="3843" max="3843" width="17.5546875" style="167" customWidth="1"/>
    <col min="3844" max="3844" width="47.5546875" style="167" customWidth="1"/>
    <col min="3845" max="3845" width="8.88671875" style="167"/>
    <col min="3846" max="3846" width="10.33203125" style="167" customWidth="1"/>
    <col min="3847" max="3847" width="11.6640625" style="167" customWidth="1"/>
    <col min="3848" max="3848" width="15.88671875" style="167" customWidth="1"/>
    <col min="3849" max="4098" width="8.88671875" style="167"/>
    <col min="4099" max="4099" width="17.5546875" style="167" customWidth="1"/>
    <col min="4100" max="4100" width="47.5546875" style="167" customWidth="1"/>
    <col min="4101" max="4101" width="8.88671875" style="167"/>
    <col min="4102" max="4102" width="10.33203125" style="167" customWidth="1"/>
    <col min="4103" max="4103" width="11.6640625" style="167" customWidth="1"/>
    <col min="4104" max="4104" width="15.88671875" style="167" customWidth="1"/>
    <col min="4105" max="4354" width="8.88671875" style="167"/>
    <col min="4355" max="4355" width="17.5546875" style="167" customWidth="1"/>
    <col min="4356" max="4356" width="47.5546875" style="167" customWidth="1"/>
    <col min="4357" max="4357" width="8.88671875" style="167"/>
    <col min="4358" max="4358" width="10.33203125" style="167" customWidth="1"/>
    <col min="4359" max="4359" width="11.6640625" style="167" customWidth="1"/>
    <col min="4360" max="4360" width="15.88671875" style="167" customWidth="1"/>
    <col min="4361" max="4610" width="8.88671875" style="167"/>
    <col min="4611" max="4611" width="17.5546875" style="167" customWidth="1"/>
    <col min="4612" max="4612" width="47.5546875" style="167" customWidth="1"/>
    <col min="4613" max="4613" width="8.88671875" style="167"/>
    <col min="4614" max="4614" width="10.33203125" style="167" customWidth="1"/>
    <col min="4615" max="4615" width="11.6640625" style="167" customWidth="1"/>
    <col min="4616" max="4616" width="15.88671875" style="167" customWidth="1"/>
    <col min="4617" max="4866" width="8.88671875" style="167"/>
    <col min="4867" max="4867" width="17.5546875" style="167" customWidth="1"/>
    <col min="4868" max="4868" width="47.5546875" style="167" customWidth="1"/>
    <col min="4869" max="4869" width="8.88671875" style="167"/>
    <col min="4870" max="4870" width="10.33203125" style="167" customWidth="1"/>
    <col min="4871" max="4871" width="11.6640625" style="167" customWidth="1"/>
    <col min="4872" max="4872" width="15.88671875" style="167" customWidth="1"/>
    <col min="4873" max="5122" width="8.88671875" style="167"/>
    <col min="5123" max="5123" width="17.5546875" style="167" customWidth="1"/>
    <col min="5124" max="5124" width="47.5546875" style="167" customWidth="1"/>
    <col min="5125" max="5125" width="8.88671875" style="167"/>
    <col min="5126" max="5126" width="10.33203125" style="167" customWidth="1"/>
    <col min="5127" max="5127" width="11.6640625" style="167" customWidth="1"/>
    <col min="5128" max="5128" width="15.88671875" style="167" customWidth="1"/>
    <col min="5129" max="5378" width="8.88671875" style="167"/>
    <col min="5379" max="5379" width="17.5546875" style="167" customWidth="1"/>
    <col min="5380" max="5380" width="47.5546875" style="167" customWidth="1"/>
    <col min="5381" max="5381" width="8.88671875" style="167"/>
    <col min="5382" max="5382" width="10.33203125" style="167" customWidth="1"/>
    <col min="5383" max="5383" width="11.6640625" style="167" customWidth="1"/>
    <col min="5384" max="5384" width="15.88671875" style="167" customWidth="1"/>
    <col min="5385" max="5634" width="8.88671875" style="167"/>
    <col min="5635" max="5635" width="17.5546875" style="167" customWidth="1"/>
    <col min="5636" max="5636" width="47.5546875" style="167" customWidth="1"/>
    <col min="5637" max="5637" width="8.88671875" style="167"/>
    <col min="5638" max="5638" width="10.33203125" style="167" customWidth="1"/>
    <col min="5639" max="5639" width="11.6640625" style="167" customWidth="1"/>
    <col min="5640" max="5640" width="15.88671875" style="167" customWidth="1"/>
    <col min="5641" max="5890" width="8.88671875" style="167"/>
    <col min="5891" max="5891" width="17.5546875" style="167" customWidth="1"/>
    <col min="5892" max="5892" width="47.5546875" style="167" customWidth="1"/>
    <col min="5893" max="5893" width="8.88671875" style="167"/>
    <col min="5894" max="5894" width="10.33203125" style="167" customWidth="1"/>
    <col min="5895" max="5895" width="11.6640625" style="167" customWidth="1"/>
    <col min="5896" max="5896" width="15.88671875" style="167" customWidth="1"/>
    <col min="5897" max="6146" width="8.88671875" style="167"/>
    <col min="6147" max="6147" width="17.5546875" style="167" customWidth="1"/>
    <col min="6148" max="6148" width="47.5546875" style="167" customWidth="1"/>
    <col min="6149" max="6149" width="8.88671875" style="167"/>
    <col min="6150" max="6150" width="10.33203125" style="167" customWidth="1"/>
    <col min="6151" max="6151" width="11.6640625" style="167" customWidth="1"/>
    <col min="6152" max="6152" width="15.88671875" style="167" customWidth="1"/>
    <col min="6153" max="6402" width="8.88671875" style="167"/>
    <col min="6403" max="6403" width="17.5546875" style="167" customWidth="1"/>
    <col min="6404" max="6404" width="47.5546875" style="167" customWidth="1"/>
    <col min="6405" max="6405" width="8.88671875" style="167"/>
    <col min="6406" max="6406" width="10.33203125" style="167" customWidth="1"/>
    <col min="6407" max="6407" width="11.6640625" style="167" customWidth="1"/>
    <col min="6408" max="6408" width="15.88671875" style="167" customWidth="1"/>
    <col min="6409" max="6658" width="8.88671875" style="167"/>
    <col min="6659" max="6659" width="17.5546875" style="167" customWidth="1"/>
    <col min="6660" max="6660" width="47.5546875" style="167" customWidth="1"/>
    <col min="6661" max="6661" width="8.88671875" style="167"/>
    <col min="6662" max="6662" width="10.33203125" style="167" customWidth="1"/>
    <col min="6663" max="6663" width="11.6640625" style="167" customWidth="1"/>
    <col min="6664" max="6664" width="15.88671875" style="167" customWidth="1"/>
    <col min="6665" max="6914" width="8.88671875" style="167"/>
    <col min="6915" max="6915" width="17.5546875" style="167" customWidth="1"/>
    <col min="6916" max="6916" width="47.5546875" style="167" customWidth="1"/>
    <col min="6917" max="6917" width="8.88671875" style="167"/>
    <col min="6918" max="6918" width="10.33203125" style="167" customWidth="1"/>
    <col min="6919" max="6919" width="11.6640625" style="167" customWidth="1"/>
    <col min="6920" max="6920" width="15.88671875" style="167" customWidth="1"/>
    <col min="6921" max="7170" width="8.88671875" style="167"/>
    <col min="7171" max="7171" width="17.5546875" style="167" customWidth="1"/>
    <col min="7172" max="7172" width="47.5546875" style="167" customWidth="1"/>
    <col min="7173" max="7173" width="8.88671875" style="167"/>
    <col min="7174" max="7174" width="10.33203125" style="167" customWidth="1"/>
    <col min="7175" max="7175" width="11.6640625" style="167" customWidth="1"/>
    <col min="7176" max="7176" width="15.88671875" style="167" customWidth="1"/>
    <col min="7177" max="7426" width="8.88671875" style="167"/>
    <col min="7427" max="7427" width="17.5546875" style="167" customWidth="1"/>
    <col min="7428" max="7428" width="47.5546875" style="167" customWidth="1"/>
    <col min="7429" max="7429" width="8.88671875" style="167"/>
    <col min="7430" max="7430" width="10.33203125" style="167" customWidth="1"/>
    <col min="7431" max="7431" width="11.6640625" style="167" customWidth="1"/>
    <col min="7432" max="7432" width="15.88671875" style="167" customWidth="1"/>
    <col min="7433" max="7682" width="8.88671875" style="167"/>
    <col min="7683" max="7683" width="17.5546875" style="167" customWidth="1"/>
    <col min="7684" max="7684" width="47.5546875" style="167" customWidth="1"/>
    <col min="7685" max="7685" width="8.88671875" style="167"/>
    <col min="7686" max="7686" width="10.33203125" style="167" customWidth="1"/>
    <col min="7687" max="7687" width="11.6640625" style="167" customWidth="1"/>
    <col min="7688" max="7688" width="15.88671875" style="167" customWidth="1"/>
    <col min="7689" max="7938" width="8.88671875" style="167"/>
    <col min="7939" max="7939" width="17.5546875" style="167" customWidth="1"/>
    <col min="7940" max="7940" width="47.5546875" style="167" customWidth="1"/>
    <col min="7941" max="7941" width="8.88671875" style="167"/>
    <col min="7942" max="7942" width="10.33203125" style="167" customWidth="1"/>
    <col min="7943" max="7943" width="11.6640625" style="167" customWidth="1"/>
    <col min="7944" max="7944" width="15.88671875" style="167" customWidth="1"/>
    <col min="7945" max="8194" width="8.88671875" style="167"/>
    <col min="8195" max="8195" width="17.5546875" style="167" customWidth="1"/>
    <col min="8196" max="8196" width="47.5546875" style="167" customWidth="1"/>
    <col min="8197" max="8197" width="8.88671875" style="167"/>
    <col min="8198" max="8198" width="10.33203125" style="167" customWidth="1"/>
    <col min="8199" max="8199" width="11.6640625" style="167" customWidth="1"/>
    <col min="8200" max="8200" width="15.88671875" style="167" customWidth="1"/>
    <col min="8201" max="8450" width="8.88671875" style="167"/>
    <col min="8451" max="8451" width="17.5546875" style="167" customWidth="1"/>
    <col min="8452" max="8452" width="47.5546875" style="167" customWidth="1"/>
    <col min="8453" max="8453" width="8.88671875" style="167"/>
    <col min="8454" max="8454" width="10.33203125" style="167" customWidth="1"/>
    <col min="8455" max="8455" width="11.6640625" style="167" customWidth="1"/>
    <col min="8456" max="8456" width="15.88671875" style="167" customWidth="1"/>
    <col min="8457" max="8706" width="8.88671875" style="167"/>
    <col min="8707" max="8707" width="17.5546875" style="167" customWidth="1"/>
    <col min="8708" max="8708" width="47.5546875" style="167" customWidth="1"/>
    <col min="8709" max="8709" width="8.88671875" style="167"/>
    <col min="8710" max="8710" width="10.33203125" style="167" customWidth="1"/>
    <col min="8711" max="8711" width="11.6640625" style="167" customWidth="1"/>
    <col min="8712" max="8712" width="15.88671875" style="167" customWidth="1"/>
    <col min="8713" max="8962" width="8.88671875" style="167"/>
    <col min="8963" max="8963" width="17.5546875" style="167" customWidth="1"/>
    <col min="8964" max="8964" width="47.5546875" style="167" customWidth="1"/>
    <col min="8965" max="8965" width="8.88671875" style="167"/>
    <col min="8966" max="8966" width="10.33203125" style="167" customWidth="1"/>
    <col min="8967" max="8967" width="11.6640625" style="167" customWidth="1"/>
    <col min="8968" max="8968" width="15.88671875" style="167" customWidth="1"/>
    <col min="8969" max="9218" width="8.88671875" style="167"/>
    <col min="9219" max="9219" width="17.5546875" style="167" customWidth="1"/>
    <col min="9220" max="9220" width="47.5546875" style="167" customWidth="1"/>
    <col min="9221" max="9221" width="8.88671875" style="167"/>
    <col min="9222" max="9222" width="10.33203125" style="167" customWidth="1"/>
    <col min="9223" max="9223" width="11.6640625" style="167" customWidth="1"/>
    <col min="9224" max="9224" width="15.88671875" style="167" customWidth="1"/>
    <col min="9225" max="9474" width="8.88671875" style="167"/>
    <col min="9475" max="9475" width="17.5546875" style="167" customWidth="1"/>
    <col min="9476" max="9476" width="47.5546875" style="167" customWidth="1"/>
    <col min="9477" max="9477" width="8.88671875" style="167"/>
    <col min="9478" max="9478" width="10.33203125" style="167" customWidth="1"/>
    <col min="9479" max="9479" width="11.6640625" style="167" customWidth="1"/>
    <col min="9480" max="9480" width="15.88671875" style="167" customWidth="1"/>
    <col min="9481" max="9730" width="8.88671875" style="167"/>
    <col min="9731" max="9731" width="17.5546875" style="167" customWidth="1"/>
    <col min="9732" max="9732" width="47.5546875" style="167" customWidth="1"/>
    <col min="9733" max="9733" width="8.88671875" style="167"/>
    <col min="9734" max="9734" width="10.33203125" style="167" customWidth="1"/>
    <col min="9735" max="9735" width="11.6640625" style="167" customWidth="1"/>
    <col min="9736" max="9736" width="15.88671875" style="167" customWidth="1"/>
    <col min="9737" max="9986" width="8.88671875" style="167"/>
    <col min="9987" max="9987" width="17.5546875" style="167" customWidth="1"/>
    <col min="9988" max="9988" width="47.5546875" style="167" customWidth="1"/>
    <col min="9989" max="9989" width="8.88671875" style="167"/>
    <col min="9990" max="9990" width="10.33203125" style="167" customWidth="1"/>
    <col min="9991" max="9991" width="11.6640625" style="167" customWidth="1"/>
    <col min="9992" max="9992" width="15.88671875" style="167" customWidth="1"/>
    <col min="9993" max="10242" width="8.88671875" style="167"/>
    <col min="10243" max="10243" width="17.5546875" style="167" customWidth="1"/>
    <col min="10244" max="10244" width="47.5546875" style="167" customWidth="1"/>
    <col min="10245" max="10245" width="8.88671875" style="167"/>
    <col min="10246" max="10246" width="10.33203125" style="167" customWidth="1"/>
    <col min="10247" max="10247" width="11.6640625" style="167" customWidth="1"/>
    <col min="10248" max="10248" width="15.88671875" style="167" customWidth="1"/>
    <col min="10249" max="10498" width="8.88671875" style="167"/>
    <col min="10499" max="10499" width="17.5546875" style="167" customWidth="1"/>
    <col min="10500" max="10500" width="47.5546875" style="167" customWidth="1"/>
    <col min="10501" max="10501" width="8.88671875" style="167"/>
    <col min="10502" max="10502" width="10.33203125" style="167" customWidth="1"/>
    <col min="10503" max="10503" width="11.6640625" style="167" customWidth="1"/>
    <col min="10504" max="10504" width="15.88671875" style="167" customWidth="1"/>
    <col min="10505" max="10754" width="8.88671875" style="167"/>
    <col min="10755" max="10755" width="17.5546875" style="167" customWidth="1"/>
    <col min="10756" max="10756" width="47.5546875" style="167" customWidth="1"/>
    <col min="10757" max="10757" width="8.88671875" style="167"/>
    <col min="10758" max="10758" width="10.33203125" style="167" customWidth="1"/>
    <col min="10759" max="10759" width="11.6640625" style="167" customWidth="1"/>
    <col min="10760" max="10760" width="15.88671875" style="167" customWidth="1"/>
    <col min="10761" max="11010" width="8.88671875" style="167"/>
    <col min="11011" max="11011" width="17.5546875" style="167" customWidth="1"/>
    <col min="11012" max="11012" width="47.5546875" style="167" customWidth="1"/>
    <col min="11013" max="11013" width="8.88671875" style="167"/>
    <col min="11014" max="11014" width="10.33203125" style="167" customWidth="1"/>
    <col min="11015" max="11015" width="11.6640625" style="167" customWidth="1"/>
    <col min="11016" max="11016" width="15.88671875" style="167" customWidth="1"/>
    <col min="11017" max="11266" width="8.88671875" style="167"/>
    <col min="11267" max="11267" width="17.5546875" style="167" customWidth="1"/>
    <col min="11268" max="11268" width="47.5546875" style="167" customWidth="1"/>
    <col min="11269" max="11269" width="8.88671875" style="167"/>
    <col min="11270" max="11270" width="10.33203125" style="167" customWidth="1"/>
    <col min="11271" max="11271" width="11.6640625" style="167" customWidth="1"/>
    <col min="11272" max="11272" width="15.88671875" style="167" customWidth="1"/>
    <col min="11273" max="11522" width="8.88671875" style="167"/>
    <col min="11523" max="11523" width="17.5546875" style="167" customWidth="1"/>
    <col min="11524" max="11524" width="47.5546875" style="167" customWidth="1"/>
    <col min="11525" max="11525" width="8.88671875" style="167"/>
    <col min="11526" max="11526" width="10.33203125" style="167" customWidth="1"/>
    <col min="11527" max="11527" width="11.6640625" style="167" customWidth="1"/>
    <col min="11528" max="11528" width="15.88671875" style="167" customWidth="1"/>
    <col min="11529" max="11778" width="8.88671875" style="167"/>
    <col min="11779" max="11779" width="17.5546875" style="167" customWidth="1"/>
    <col min="11780" max="11780" width="47.5546875" style="167" customWidth="1"/>
    <col min="11781" max="11781" width="8.88671875" style="167"/>
    <col min="11782" max="11782" width="10.33203125" style="167" customWidth="1"/>
    <col min="11783" max="11783" width="11.6640625" style="167" customWidth="1"/>
    <col min="11784" max="11784" width="15.88671875" style="167" customWidth="1"/>
    <col min="11785" max="12034" width="8.88671875" style="167"/>
    <col min="12035" max="12035" width="17.5546875" style="167" customWidth="1"/>
    <col min="12036" max="12036" width="47.5546875" style="167" customWidth="1"/>
    <col min="12037" max="12037" width="8.88671875" style="167"/>
    <col min="12038" max="12038" width="10.33203125" style="167" customWidth="1"/>
    <col min="12039" max="12039" width="11.6640625" style="167" customWidth="1"/>
    <col min="12040" max="12040" width="15.88671875" style="167" customWidth="1"/>
    <col min="12041" max="12290" width="8.88671875" style="167"/>
    <col min="12291" max="12291" width="17.5546875" style="167" customWidth="1"/>
    <col min="12292" max="12292" width="47.5546875" style="167" customWidth="1"/>
    <col min="12293" max="12293" width="8.88671875" style="167"/>
    <col min="12294" max="12294" width="10.33203125" style="167" customWidth="1"/>
    <col min="12295" max="12295" width="11.6640625" style="167" customWidth="1"/>
    <col min="12296" max="12296" width="15.88671875" style="167" customWidth="1"/>
    <col min="12297" max="12546" width="8.88671875" style="167"/>
    <col min="12547" max="12547" width="17.5546875" style="167" customWidth="1"/>
    <col min="12548" max="12548" width="47.5546875" style="167" customWidth="1"/>
    <col min="12549" max="12549" width="8.88671875" style="167"/>
    <col min="12550" max="12550" width="10.33203125" style="167" customWidth="1"/>
    <col min="12551" max="12551" width="11.6640625" style="167" customWidth="1"/>
    <col min="12552" max="12552" width="15.88671875" style="167" customWidth="1"/>
    <col min="12553" max="12802" width="8.88671875" style="167"/>
    <col min="12803" max="12803" width="17.5546875" style="167" customWidth="1"/>
    <col min="12804" max="12804" width="47.5546875" style="167" customWidth="1"/>
    <col min="12805" max="12805" width="8.88671875" style="167"/>
    <col min="12806" max="12806" width="10.33203125" style="167" customWidth="1"/>
    <col min="12807" max="12807" width="11.6640625" style="167" customWidth="1"/>
    <col min="12808" max="12808" width="15.88671875" style="167" customWidth="1"/>
    <col min="12809" max="13058" width="8.88671875" style="167"/>
    <col min="13059" max="13059" width="17.5546875" style="167" customWidth="1"/>
    <col min="13060" max="13060" width="47.5546875" style="167" customWidth="1"/>
    <col min="13061" max="13061" width="8.88671875" style="167"/>
    <col min="13062" max="13062" width="10.33203125" style="167" customWidth="1"/>
    <col min="13063" max="13063" width="11.6640625" style="167" customWidth="1"/>
    <col min="13064" max="13064" width="15.88671875" style="167" customWidth="1"/>
    <col min="13065" max="13314" width="8.88671875" style="167"/>
    <col min="13315" max="13315" width="17.5546875" style="167" customWidth="1"/>
    <col min="13316" max="13316" width="47.5546875" style="167" customWidth="1"/>
    <col min="13317" max="13317" width="8.88671875" style="167"/>
    <col min="13318" max="13318" width="10.33203125" style="167" customWidth="1"/>
    <col min="13319" max="13319" width="11.6640625" style="167" customWidth="1"/>
    <col min="13320" max="13320" width="15.88671875" style="167" customWidth="1"/>
    <col min="13321" max="13570" width="8.88671875" style="167"/>
    <col min="13571" max="13571" width="17.5546875" style="167" customWidth="1"/>
    <col min="13572" max="13572" width="47.5546875" style="167" customWidth="1"/>
    <col min="13573" max="13573" width="8.88671875" style="167"/>
    <col min="13574" max="13574" width="10.33203125" style="167" customWidth="1"/>
    <col min="13575" max="13575" width="11.6640625" style="167" customWidth="1"/>
    <col min="13576" max="13576" width="15.88671875" style="167" customWidth="1"/>
    <col min="13577" max="13826" width="8.88671875" style="167"/>
    <col min="13827" max="13827" width="17.5546875" style="167" customWidth="1"/>
    <col min="13828" max="13828" width="47.5546875" style="167" customWidth="1"/>
    <col min="13829" max="13829" width="8.88671875" style="167"/>
    <col min="13830" max="13830" width="10.33203125" style="167" customWidth="1"/>
    <col min="13831" max="13831" width="11.6640625" style="167" customWidth="1"/>
    <col min="13832" max="13832" width="15.88671875" style="167" customWidth="1"/>
    <col min="13833" max="14082" width="8.88671875" style="167"/>
    <col min="14083" max="14083" width="17.5546875" style="167" customWidth="1"/>
    <col min="14084" max="14084" width="47.5546875" style="167" customWidth="1"/>
    <col min="14085" max="14085" width="8.88671875" style="167"/>
    <col min="14086" max="14086" width="10.33203125" style="167" customWidth="1"/>
    <col min="14087" max="14087" width="11.6640625" style="167" customWidth="1"/>
    <col min="14088" max="14088" width="15.88671875" style="167" customWidth="1"/>
    <col min="14089" max="14338" width="8.88671875" style="167"/>
    <col min="14339" max="14339" width="17.5546875" style="167" customWidth="1"/>
    <col min="14340" max="14340" width="47.5546875" style="167" customWidth="1"/>
    <col min="14341" max="14341" width="8.88671875" style="167"/>
    <col min="14342" max="14342" width="10.33203125" style="167" customWidth="1"/>
    <col min="14343" max="14343" width="11.6640625" style="167" customWidth="1"/>
    <col min="14344" max="14344" width="15.88671875" style="167" customWidth="1"/>
    <col min="14345" max="14594" width="8.88671875" style="167"/>
    <col min="14595" max="14595" width="17.5546875" style="167" customWidth="1"/>
    <col min="14596" max="14596" width="47.5546875" style="167" customWidth="1"/>
    <col min="14597" max="14597" width="8.88671875" style="167"/>
    <col min="14598" max="14598" width="10.33203125" style="167" customWidth="1"/>
    <col min="14599" max="14599" width="11.6640625" style="167" customWidth="1"/>
    <col min="14600" max="14600" width="15.88671875" style="167" customWidth="1"/>
    <col min="14601" max="14850" width="8.88671875" style="167"/>
    <col min="14851" max="14851" width="17.5546875" style="167" customWidth="1"/>
    <col min="14852" max="14852" width="47.5546875" style="167" customWidth="1"/>
    <col min="14853" max="14853" width="8.88671875" style="167"/>
    <col min="14854" max="14854" width="10.33203125" style="167" customWidth="1"/>
    <col min="14855" max="14855" width="11.6640625" style="167" customWidth="1"/>
    <col min="14856" max="14856" width="15.88671875" style="167" customWidth="1"/>
    <col min="14857" max="15106" width="8.88671875" style="167"/>
    <col min="15107" max="15107" width="17.5546875" style="167" customWidth="1"/>
    <col min="15108" max="15108" width="47.5546875" style="167" customWidth="1"/>
    <col min="15109" max="15109" width="8.88671875" style="167"/>
    <col min="15110" max="15110" width="10.33203125" style="167" customWidth="1"/>
    <col min="15111" max="15111" width="11.6640625" style="167" customWidth="1"/>
    <col min="15112" max="15112" width="15.88671875" style="167" customWidth="1"/>
    <col min="15113" max="15362" width="8.88671875" style="167"/>
    <col min="15363" max="15363" width="17.5546875" style="167" customWidth="1"/>
    <col min="15364" max="15364" width="47.5546875" style="167" customWidth="1"/>
    <col min="15365" max="15365" width="8.88671875" style="167"/>
    <col min="15366" max="15366" width="10.33203125" style="167" customWidth="1"/>
    <col min="15367" max="15367" width="11.6640625" style="167" customWidth="1"/>
    <col min="15368" max="15368" width="15.88671875" style="167" customWidth="1"/>
    <col min="15369" max="15618" width="8.88671875" style="167"/>
    <col min="15619" max="15619" width="17.5546875" style="167" customWidth="1"/>
    <col min="15620" max="15620" width="47.5546875" style="167" customWidth="1"/>
    <col min="15621" max="15621" width="8.88671875" style="167"/>
    <col min="15622" max="15622" width="10.33203125" style="167" customWidth="1"/>
    <col min="15623" max="15623" width="11.6640625" style="167" customWidth="1"/>
    <col min="15624" max="15624" width="15.88671875" style="167" customWidth="1"/>
    <col min="15625" max="15874" width="8.88671875" style="167"/>
    <col min="15875" max="15875" width="17.5546875" style="167" customWidth="1"/>
    <col min="15876" max="15876" width="47.5546875" style="167" customWidth="1"/>
    <col min="15877" max="15877" width="8.88671875" style="167"/>
    <col min="15878" max="15878" width="10.33203125" style="167" customWidth="1"/>
    <col min="15879" max="15879" width="11.6640625" style="167" customWidth="1"/>
    <col min="15880" max="15880" width="15.88671875" style="167" customWidth="1"/>
    <col min="15881" max="16130" width="8.88671875" style="167"/>
    <col min="16131" max="16131" width="17.5546875" style="167" customWidth="1"/>
    <col min="16132" max="16132" width="47.5546875" style="167" customWidth="1"/>
    <col min="16133" max="16133" width="8.88671875" style="167"/>
    <col min="16134" max="16134" width="10.33203125" style="167" customWidth="1"/>
    <col min="16135" max="16135" width="11.6640625" style="167" customWidth="1"/>
    <col min="16136" max="16136" width="15.88671875" style="167" customWidth="1"/>
    <col min="16137" max="16384" width="8.88671875" style="167"/>
  </cols>
  <sheetData>
    <row r="1" spans="2:24" s="1" customFormat="1" x14ac:dyDescent="0.3">
      <c r="K1" s="102"/>
      <c r="L1" s="54"/>
      <c r="M1" s="54"/>
      <c r="N1" s="54"/>
      <c r="O1" s="54"/>
    </row>
    <row r="2" spans="2:24" s="1" customFormat="1" ht="18" x14ac:dyDescent="0.3">
      <c r="B2" s="650" t="s">
        <v>94</v>
      </c>
      <c r="C2" s="651"/>
      <c r="D2" s="651"/>
      <c r="E2" s="651"/>
      <c r="F2" s="651"/>
      <c r="G2" s="651"/>
      <c r="H2" s="651"/>
      <c r="I2" s="651"/>
      <c r="J2" s="652"/>
      <c r="K2" s="104"/>
      <c r="L2" s="54"/>
      <c r="M2" s="54"/>
      <c r="N2" s="54"/>
      <c r="O2" s="54"/>
    </row>
    <row r="3" spans="2:24" s="1" customFormat="1" x14ac:dyDescent="0.3">
      <c r="K3" s="102"/>
      <c r="L3" s="54"/>
      <c r="M3" s="54"/>
      <c r="N3" s="54"/>
      <c r="O3" s="54"/>
    </row>
    <row r="4" spans="2:24" s="54" customFormat="1" ht="12.75" customHeight="1" x14ac:dyDescent="0.3">
      <c r="B4" s="52" t="str">
        <f>'(ORÇAMENTO GERAL)'!A6</f>
        <v>OBRA: REFORMA DO AÇOUGUE MUNICIPAL E CONSTRUÇÃO DE 01 GALPÃO PRÉ-FABRICADO DE CONCRETO ARMADO</v>
      </c>
      <c r="C4" s="53"/>
      <c r="D4" s="53"/>
      <c r="E4" s="53"/>
      <c r="F4" s="53"/>
      <c r="G4" s="53"/>
      <c r="H4" s="53"/>
      <c r="I4" s="53"/>
      <c r="J4" s="53"/>
      <c r="K4" s="102"/>
      <c r="M4" s="145"/>
      <c r="N4" s="145"/>
      <c r="O4" s="145"/>
      <c r="P4" s="55"/>
      <c r="Q4" s="55"/>
      <c r="R4" s="55"/>
      <c r="S4" s="55"/>
      <c r="T4" s="55"/>
      <c r="U4" s="55"/>
      <c r="V4" s="55"/>
      <c r="W4" s="55"/>
      <c r="X4" s="55"/>
    </row>
    <row r="5" spans="2:24" s="54" customFormat="1" x14ac:dyDescent="0.3">
      <c r="B5" s="39" t="str">
        <f>'(ORÇAMENTO GERAL)'!A7</f>
        <v>LOCALIZAÇÃO: RUA SÉRGIO AMARO DO NASCIMENTO - JOÃO ALFREDO/PE</v>
      </c>
      <c r="C5" s="89"/>
      <c r="D5" s="89"/>
      <c r="E5" s="89"/>
      <c r="F5" s="89"/>
      <c r="K5" s="102"/>
      <c r="M5" s="146"/>
      <c r="N5" s="146"/>
      <c r="O5" s="146"/>
      <c r="P5" s="56"/>
      <c r="Q5" s="56"/>
      <c r="R5" s="56"/>
      <c r="S5" s="56"/>
      <c r="T5" s="56"/>
      <c r="U5" s="56"/>
      <c r="V5" s="56"/>
      <c r="W5" s="56"/>
      <c r="X5" s="56"/>
    </row>
    <row r="6" spans="2:24" s="54" customFormat="1" x14ac:dyDescent="0.3">
      <c r="B6" s="565" t="str">
        <f>'(ORÇAMENTO GERAL)'!A8</f>
        <v>FONTES DE PREÇOS: SINAPI-PE FEVEREIRO - 2025 / ORSEJANEIRO - 2025 / SEINFRA-CE 028  / SBC - PE / COMPOSIÇÕES / SEM DESONERAÇÃO / BDI = 20,50% / BDI = 11,10%</v>
      </c>
      <c r="C6" s="565"/>
      <c r="D6" s="565"/>
      <c r="E6" s="565"/>
      <c r="F6" s="565"/>
      <c r="G6" s="565"/>
      <c r="H6" s="565"/>
      <c r="I6" s="565"/>
      <c r="J6" s="565"/>
      <c r="K6" s="102"/>
      <c r="M6" s="146"/>
      <c r="N6" s="146"/>
      <c r="O6" s="146"/>
      <c r="P6" s="56"/>
      <c r="Q6" s="56"/>
      <c r="R6" s="56"/>
      <c r="S6" s="56"/>
      <c r="T6" s="56"/>
      <c r="U6" s="56"/>
      <c r="V6" s="56"/>
      <c r="W6" s="56"/>
      <c r="X6" s="56"/>
    </row>
    <row r="7" spans="2:24" s="54" customFormat="1" x14ac:dyDescent="0.3">
      <c r="B7" s="39" t="str">
        <f>'(ORÇAMENTO GERAL)'!A9</f>
        <v>DATA: ABRIL/2025</v>
      </c>
      <c r="C7" s="89"/>
      <c r="D7" s="89"/>
      <c r="E7" s="89"/>
      <c r="F7" s="89"/>
      <c r="K7" s="102"/>
      <c r="M7" s="146"/>
      <c r="N7" s="146"/>
      <c r="O7" s="146"/>
      <c r="P7" s="56"/>
      <c r="Q7" s="56"/>
      <c r="R7" s="56"/>
      <c r="S7" s="56"/>
      <c r="T7" s="56"/>
      <c r="U7" s="56"/>
      <c r="V7" s="56"/>
      <c r="W7" s="56"/>
      <c r="X7" s="56"/>
    </row>
    <row r="8" spans="2:24" s="1" customFormat="1" ht="14.4" customHeight="1" x14ac:dyDescent="0.3">
      <c r="B8" s="240"/>
      <c r="C8" s="240"/>
      <c r="D8" s="240"/>
      <c r="E8" s="240"/>
      <c r="F8" s="240"/>
      <c r="G8" s="241"/>
      <c r="H8" s="241"/>
      <c r="I8" s="241"/>
      <c r="J8" s="241"/>
      <c r="K8" s="103"/>
      <c r="L8" s="54"/>
    </row>
    <row r="9" spans="2:24" s="1" customFormat="1" ht="12.75" customHeight="1" x14ac:dyDescent="0.3">
      <c r="B9" s="568" t="s">
        <v>220</v>
      </c>
      <c r="C9" s="569"/>
      <c r="D9" s="569"/>
      <c r="E9" s="569"/>
      <c r="F9" s="569"/>
      <c r="G9" s="569"/>
      <c r="H9" s="569"/>
      <c r="I9" s="569"/>
      <c r="J9" s="570"/>
      <c r="K9" s="104"/>
      <c r="L9" s="54" t="s">
        <v>612</v>
      </c>
    </row>
    <row r="10" spans="2:24" s="1" customFormat="1" ht="12.75" customHeight="1" x14ac:dyDescent="0.3">
      <c r="B10" s="571"/>
      <c r="C10" s="572"/>
      <c r="D10" s="572"/>
      <c r="E10" s="572"/>
      <c r="F10" s="572"/>
      <c r="G10" s="572"/>
      <c r="H10" s="572"/>
      <c r="I10" s="572"/>
      <c r="J10" s="573"/>
      <c r="K10" s="104"/>
      <c r="L10" s="54"/>
    </row>
    <row r="11" spans="2:24" s="1" customFormat="1" x14ac:dyDescent="0.3">
      <c r="B11" s="623" t="s">
        <v>95</v>
      </c>
      <c r="C11" s="624"/>
      <c r="D11" s="222" t="s">
        <v>121</v>
      </c>
      <c r="E11" s="578" t="s">
        <v>779</v>
      </c>
      <c r="F11" s="578"/>
      <c r="G11" s="578"/>
      <c r="H11" s="578"/>
      <c r="I11" s="578"/>
      <c r="J11" s="579"/>
      <c r="K11" s="104"/>
      <c r="L11" s="54"/>
    </row>
    <row r="12" spans="2:24" s="1" customFormat="1" ht="12.75" customHeight="1" x14ac:dyDescent="0.3">
      <c r="B12" s="625"/>
      <c r="C12" s="626"/>
      <c r="D12" s="630" t="s">
        <v>96</v>
      </c>
      <c r="E12" s="597" t="s">
        <v>221</v>
      </c>
      <c r="F12" s="597"/>
      <c r="G12" s="597"/>
      <c r="H12" s="597"/>
      <c r="I12" s="597"/>
      <c r="J12" s="598"/>
      <c r="K12" s="104"/>
      <c r="L12" s="54"/>
    </row>
    <row r="13" spans="2:24" s="1" customFormat="1" ht="12.75" customHeight="1" x14ac:dyDescent="0.3">
      <c r="B13" s="625"/>
      <c r="C13" s="626"/>
      <c r="D13" s="630"/>
      <c r="E13" s="597"/>
      <c r="F13" s="597"/>
      <c r="G13" s="599"/>
      <c r="H13" s="599"/>
      <c r="I13" s="599"/>
      <c r="J13" s="600"/>
      <c r="K13" s="104"/>
      <c r="L13" s="54"/>
    </row>
    <row r="14" spans="2:24" s="1" customFormat="1" ht="12.75" customHeight="1" x14ac:dyDescent="0.3">
      <c r="B14" s="625"/>
      <c r="C14" s="626"/>
      <c r="D14" s="223" t="s">
        <v>119</v>
      </c>
      <c r="E14" s="242" t="s">
        <v>86</v>
      </c>
      <c r="F14" s="588" t="s">
        <v>122</v>
      </c>
      <c r="G14" s="589">
        <f>H20</f>
        <v>56743.91</v>
      </c>
      <c r="H14" s="589"/>
      <c r="I14" s="590">
        <f>J20</f>
        <v>63214.31</v>
      </c>
      <c r="J14" s="590"/>
      <c r="K14" s="104"/>
      <c r="L14" s="54"/>
    </row>
    <row r="15" spans="2:24" s="1" customFormat="1" ht="12.75" customHeight="1" x14ac:dyDescent="0.3">
      <c r="B15" s="625"/>
      <c r="C15" s="626"/>
      <c r="D15" s="223" t="s">
        <v>120</v>
      </c>
      <c r="E15" s="242">
        <v>1</v>
      </c>
      <c r="F15" s="588"/>
      <c r="G15" s="589"/>
      <c r="H15" s="589"/>
      <c r="I15" s="590"/>
      <c r="J15" s="590"/>
      <c r="K15" s="104"/>
      <c r="L15" s="54"/>
    </row>
    <row r="16" spans="2:24" s="6" customFormat="1" x14ac:dyDescent="0.3">
      <c r="B16" s="57"/>
      <c r="C16" s="2"/>
      <c r="D16" s="3"/>
      <c r="E16" s="4"/>
      <c r="F16" s="5"/>
      <c r="G16" s="566" t="s">
        <v>97</v>
      </c>
      <c r="H16" s="566"/>
      <c r="I16" s="567" t="s">
        <v>98</v>
      </c>
      <c r="J16" s="567"/>
      <c r="K16" s="104"/>
      <c r="L16" s="54"/>
      <c r="M16" s="344"/>
    </row>
    <row r="17" spans="2:13" s="14" customFormat="1" ht="20.399999999999999" x14ac:dyDescent="0.3">
      <c r="B17" s="97" t="s">
        <v>74</v>
      </c>
      <c r="C17" s="7" t="s">
        <v>75</v>
      </c>
      <c r="D17" s="8" t="s">
        <v>76</v>
      </c>
      <c r="E17" s="9" t="s">
        <v>73</v>
      </c>
      <c r="F17" s="10" t="s">
        <v>78</v>
      </c>
      <c r="G17" s="90" t="s">
        <v>77</v>
      </c>
      <c r="H17" s="13" t="s">
        <v>79</v>
      </c>
      <c r="I17" s="12" t="s">
        <v>77</v>
      </c>
      <c r="J17" s="13" t="s">
        <v>79</v>
      </c>
      <c r="K17" s="105"/>
      <c r="L17" s="24"/>
      <c r="M17" s="343"/>
    </row>
    <row r="18" spans="2:13" s="1" customFormat="1" ht="20.399999999999999" x14ac:dyDescent="0.3">
      <c r="B18" s="98" t="s">
        <v>101</v>
      </c>
      <c r="C18" s="15" t="s">
        <v>222</v>
      </c>
      <c r="D18" s="16" t="s">
        <v>223</v>
      </c>
      <c r="E18" s="17" t="s">
        <v>224</v>
      </c>
      <c r="F18" s="22">
        <f>((2*4)/22)*6</f>
        <v>2.1818181818181817</v>
      </c>
      <c r="G18" s="228" t="s">
        <v>613</v>
      </c>
      <c r="H18" s="18">
        <f t="shared" ref="H18:H19" si="0">TRUNC($F18*G18,2)</f>
        <v>12503.82</v>
      </c>
      <c r="I18" s="229" t="s">
        <v>614</v>
      </c>
      <c r="J18" s="18">
        <f t="shared" ref="J18:J19" si="1">TRUNC($F18*I18,2)</f>
        <v>13844.83</v>
      </c>
      <c r="K18" s="104"/>
      <c r="L18" s="54"/>
      <c r="M18" s="345"/>
    </row>
    <row r="19" spans="2:13" s="1" customFormat="1" ht="20.399999999999999" x14ac:dyDescent="0.3">
      <c r="B19" s="98" t="s">
        <v>101</v>
      </c>
      <c r="C19" s="15" t="s">
        <v>225</v>
      </c>
      <c r="D19" s="16" t="s">
        <v>226</v>
      </c>
      <c r="E19" s="17" t="s">
        <v>224</v>
      </c>
      <c r="F19" s="22">
        <f>((2*4)/22)*6</f>
        <v>2.1818181818181817</v>
      </c>
      <c r="G19" s="228" t="s">
        <v>615</v>
      </c>
      <c r="H19" s="18">
        <f t="shared" si="0"/>
        <v>44240.09</v>
      </c>
      <c r="I19" s="229" t="s">
        <v>616</v>
      </c>
      <c r="J19" s="18">
        <f t="shared" si="1"/>
        <v>49369.48</v>
      </c>
      <c r="K19" s="104"/>
      <c r="L19" s="54"/>
      <c r="M19" s="346"/>
    </row>
    <row r="20" spans="2:13" s="1" customFormat="1" x14ac:dyDescent="0.3">
      <c r="B20" s="99"/>
      <c r="C20" s="100"/>
      <c r="D20" s="100"/>
      <c r="E20" s="100"/>
      <c r="F20" s="234"/>
      <c r="G20" s="91" t="s">
        <v>89</v>
      </c>
      <c r="H20" s="19">
        <f>TRUNC(SUM(H18:H19),2)</f>
        <v>56743.91</v>
      </c>
      <c r="I20" s="20" t="s">
        <v>89</v>
      </c>
      <c r="J20" s="21">
        <f>TRUNC(SUM(J18:J19),2)</f>
        <v>63214.31</v>
      </c>
      <c r="K20" s="106"/>
      <c r="L20" s="54"/>
    </row>
    <row r="21" spans="2:13" s="1" customFormat="1" ht="14.4" customHeight="1" x14ac:dyDescent="0.3">
      <c r="B21" s="240"/>
      <c r="C21" s="240"/>
      <c r="D21" s="240"/>
      <c r="E21" s="240"/>
      <c r="F21" s="240"/>
      <c r="G21" s="241"/>
      <c r="H21" s="241"/>
      <c r="I21" s="241"/>
      <c r="J21" s="241"/>
      <c r="K21" s="103"/>
      <c r="L21" s="54"/>
    </row>
    <row r="22" spans="2:13" s="370" customFormat="1" ht="11.25" hidden="1" customHeight="1" x14ac:dyDescent="0.25">
      <c r="B22" s="635" t="s">
        <v>491</v>
      </c>
      <c r="C22" s="636"/>
      <c r="D22" s="636"/>
      <c r="E22" s="636"/>
      <c r="F22" s="636"/>
      <c r="G22" s="636"/>
      <c r="H22" s="636"/>
      <c r="I22" s="636"/>
      <c r="J22" s="637"/>
      <c r="K22" s="371"/>
      <c r="L22" s="254"/>
      <c r="M22" s="254"/>
    </row>
    <row r="23" spans="2:13" s="370" customFormat="1" ht="11.25" hidden="1" customHeight="1" x14ac:dyDescent="0.25">
      <c r="B23" s="638"/>
      <c r="C23" s="639"/>
      <c r="D23" s="639"/>
      <c r="E23" s="639"/>
      <c r="F23" s="639"/>
      <c r="G23" s="639"/>
      <c r="H23" s="639"/>
      <c r="I23" s="639"/>
      <c r="J23" s="640"/>
      <c r="K23" s="371"/>
      <c r="L23" s="254"/>
      <c r="M23" s="254"/>
    </row>
    <row r="24" spans="2:13" s="370" customFormat="1" ht="11.25" hidden="1" customHeight="1" x14ac:dyDescent="0.25">
      <c r="B24" s="641"/>
      <c r="C24" s="642"/>
      <c r="D24" s="642"/>
      <c r="E24" s="642"/>
      <c r="F24" s="642"/>
      <c r="G24" s="642"/>
      <c r="H24" s="642"/>
      <c r="I24" s="642"/>
      <c r="J24" s="643"/>
      <c r="K24" s="371"/>
      <c r="L24" s="254"/>
      <c r="M24" s="254"/>
    </row>
    <row r="25" spans="2:13" s="370" customFormat="1" ht="12.75" hidden="1" customHeight="1" x14ac:dyDescent="0.25">
      <c r="B25" s="644" t="s">
        <v>321</v>
      </c>
      <c r="C25" s="645"/>
      <c r="D25" s="372" t="s">
        <v>492</v>
      </c>
      <c r="E25" s="609" t="s">
        <v>493</v>
      </c>
      <c r="F25" s="609"/>
      <c r="G25" s="609"/>
      <c r="H25" s="609"/>
      <c r="I25" s="609"/>
      <c r="J25" s="610"/>
      <c r="K25" s="373"/>
      <c r="L25" s="254"/>
      <c r="M25" s="254"/>
    </row>
    <row r="26" spans="2:13" s="370" customFormat="1" ht="11.25" hidden="1" customHeight="1" x14ac:dyDescent="0.25">
      <c r="B26" s="644"/>
      <c r="C26" s="645"/>
      <c r="D26" s="601" t="s">
        <v>96</v>
      </c>
      <c r="E26" s="611" t="s">
        <v>494</v>
      </c>
      <c r="F26" s="611"/>
      <c r="G26" s="611"/>
      <c r="H26" s="611"/>
      <c r="I26" s="611"/>
      <c r="J26" s="612"/>
      <c r="K26" s="371"/>
      <c r="L26" s="254"/>
      <c r="M26" s="254"/>
    </row>
    <row r="27" spans="2:13" s="370" customFormat="1" ht="11.25" hidden="1" customHeight="1" x14ac:dyDescent="0.25">
      <c r="B27" s="644"/>
      <c r="C27" s="645"/>
      <c r="D27" s="601"/>
      <c r="E27" s="611"/>
      <c r="F27" s="611"/>
      <c r="G27" s="613"/>
      <c r="H27" s="613"/>
      <c r="I27" s="613"/>
      <c r="J27" s="614"/>
      <c r="K27" s="371"/>
      <c r="L27" s="254"/>
      <c r="M27" s="254"/>
    </row>
    <row r="28" spans="2:13" s="370" customFormat="1" ht="11.25" hidden="1" customHeight="1" x14ac:dyDescent="0.25">
      <c r="B28" s="644"/>
      <c r="C28" s="645"/>
      <c r="D28" s="601"/>
      <c r="E28" s="611"/>
      <c r="F28" s="611"/>
      <c r="G28" s="613"/>
      <c r="H28" s="613"/>
      <c r="I28" s="613"/>
      <c r="J28" s="614"/>
      <c r="K28" s="371"/>
      <c r="L28" s="254"/>
      <c r="M28" s="254"/>
    </row>
    <row r="29" spans="2:13" s="370" customFormat="1" ht="12.75" hidden="1" customHeight="1" x14ac:dyDescent="0.25">
      <c r="B29" s="644"/>
      <c r="C29" s="645"/>
      <c r="D29" s="374" t="s">
        <v>73</v>
      </c>
      <c r="E29" s="375" t="s">
        <v>87</v>
      </c>
      <c r="F29" s="606" t="s">
        <v>495</v>
      </c>
      <c r="G29" s="615">
        <f>H37</f>
        <v>73.69</v>
      </c>
      <c r="H29" s="616"/>
      <c r="I29" s="619">
        <f>J37</f>
        <v>76.069999999999993</v>
      </c>
      <c r="J29" s="620"/>
      <c r="K29" s="371"/>
      <c r="L29" s="254"/>
      <c r="M29" s="254"/>
    </row>
    <row r="30" spans="2:13" s="370" customFormat="1" ht="14.4" hidden="1" customHeight="1" x14ac:dyDescent="0.25">
      <c r="B30" s="646"/>
      <c r="C30" s="647"/>
      <c r="D30" s="374" t="s">
        <v>496</v>
      </c>
      <c r="E30" s="375">
        <v>1</v>
      </c>
      <c r="F30" s="606"/>
      <c r="G30" s="617"/>
      <c r="H30" s="618"/>
      <c r="I30" s="621"/>
      <c r="J30" s="622"/>
      <c r="K30" s="371"/>
      <c r="L30" s="254"/>
      <c r="M30" s="254"/>
    </row>
    <row r="31" spans="2:13" s="376" customFormat="1" ht="12" hidden="1" customHeight="1" x14ac:dyDescent="0.3">
      <c r="B31" s="377"/>
      <c r="C31" s="378"/>
      <c r="D31" s="379"/>
      <c r="E31" s="380"/>
      <c r="F31" s="381"/>
      <c r="G31" s="631" t="s">
        <v>97</v>
      </c>
      <c r="H31" s="632"/>
      <c r="I31" s="633" t="s">
        <v>98</v>
      </c>
      <c r="J31" s="634"/>
      <c r="K31" s="371"/>
      <c r="L31" s="382"/>
      <c r="M31" s="382"/>
    </row>
    <row r="32" spans="2:13" s="383" customFormat="1" ht="37.799999999999997" hidden="1" x14ac:dyDescent="0.3">
      <c r="B32" s="384" t="s">
        <v>74</v>
      </c>
      <c r="C32" s="385" t="s">
        <v>75</v>
      </c>
      <c r="D32" s="386" t="s">
        <v>76</v>
      </c>
      <c r="E32" s="387" t="s">
        <v>73</v>
      </c>
      <c r="F32" s="388" t="s">
        <v>78</v>
      </c>
      <c r="G32" s="389" t="s">
        <v>77</v>
      </c>
      <c r="H32" s="390" t="s">
        <v>79</v>
      </c>
      <c r="I32" s="391" t="s">
        <v>77</v>
      </c>
      <c r="J32" s="392" t="s">
        <v>79</v>
      </c>
      <c r="K32" s="393"/>
      <c r="L32" s="394"/>
      <c r="M32" s="394"/>
    </row>
    <row r="33" spans="2:13" s="370" customFormat="1" ht="21.6" hidden="1" x14ac:dyDescent="0.25">
      <c r="B33" s="395" t="s">
        <v>99</v>
      </c>
      <c r="C33" s="396">
        <v>43055</v>
      </c>
      <c r="D33" s="397" t="s">
        <v>497</v>
      </c>
      <c r="E33" s="398" t="s">
        <v>124</v>
      </c>
      <c r="F33" s="399">
        <v>5.18</v>
      </c>
      <c r="G33" s="400">
        <v>9.92</v>
      </c>
      <c r="H33" s="401">
        <f>TRUNC($F33*G33,2)</f>
        <v>51.38</v>
      </c>
      <c r="I33" s="402">
        <v>9.92</v>
      </c>
      <c r="J33" s="401">
        <f>TRUNC($F33*I33,2)</f>
        <v>51.38</v>
      </c>
      <c r="K33" s="371"/>
      <c r="L33" s="254"/>
      <c r="M33" s="254"/>
    </row>
    <row r="34" spans="2:13" s="370" customFormat="1" ht="32.4" hidden="1" x14ac:dyDescent="0.25">
      <c r="B34" s="395" t="s">
        <v>498</v>
      </c>
      <c r="C34" s="396" t="s">
        <v>499</v>
      </c>
      <c r="D34" s="403" t="s">
        <v>500</v>
      </c>
      <c r="E34" s="398" t="s">
        <v>80</v>
      </c>
      <c r="F34" s="399">
        <v>2.5000000000000001E-3</v>
      </c>
      <c r="G34" s="400">
        <v>437.21</v>
      </c>
      <c r="H34" s="401">
        <f>TRUNC($F34*G34,2)</f>
        <v>1.0900000000000001</v>
      </c>
      <c r="I34" s="402">
        <v>448</v>
      </c>
      <c r="J34" s="401">
        <f>TRUNC($F34*I34,2)</f>
        <v>1.1200000000000001</v>
      </c>
      <c r="K34" s="371"/>
      <c r="L34" s="254"/>
      <c r="M34" s="254"/>
    </row>
    <row r="35" spans="2:13" s="370" customFormat="1" ht="21.6" hidden="1" x14ac:dyDescent="0.25">
      <c r="B35" s="395" t="s">
        <v>498</v>
      </c>
      <c r="C35" s="396" t="s">
        <v>82</v>
      </c>
      <c r="D35" s="397" t="s">
        <v>83</v>
      </c>
      <c r="E35" s="398" t="s">
        <v>81</v>
      </c>
      <c r="F35" s="399">
        <v>0.4</v>
      </c>
      <c r="G35" s="400">
        <v>20.21</v>
      </c>
      <c r="H35" s="404">
        <f>TRUNC($F35*G35,2)</f>
        <v>8.08</v>
      </c>
      <c r="I35" s="402">
        <v>22.55</v>
      </c>
      <c r="J35" s="401">
        <f>TRUNC($F35*I35,2)</f>
        <v>9.02</v>
      </c>
      <c r="K35" s="371"/>
      <c r="L35" s="254"/>
      <c r="M35" s="254"/>
    </row>
    <row r="36" spans="2:13" s="370" customFormat="1" ht="21.6" hidden="1" x14ac:dyDescent="0.25">
      <c r="B36" s="395" t="s">
        <v>498</v>
      </c>
      <c r="C36" s="396">
        <v>88316</v>
      </c>
      <c r="D36" s="397" t="s">
        <v>85</v>
      </c>
      <c r="E36" s="398" t="s">
        <v>81</v>
      </c>
      <c r="F36" s="399">
        <v>0.8</v>
      </c>
      <c r="G36" s="400">
        <v>16.43</v>
      </c>
      <c r="H36" s="401">
        <f>TRUNC($F36*G36,2)</f>
        <v>13.14</v>
      </c>
      <c r="I36" s="402">
        <v>18.190000000000001</v>
      </c>
      <c r="J36" s="401">
        <f>TRUNC($F36*I36,2)</f>
        <v>14.55</v>
      </c>
      <c r="K36" s="371"/>
      <c r="L36" s="254"/>
      <c r="M36" s="254"/>
    </row>
    <row r="37" spans="2:13" s="370" customFormat="1" ht="14.4" hidden="1" customHeight="1" x14ac:dyDescent="0.25">
      <c r="B37" s="405"/>
      <c r="C37" s="406"/>
      <c r="D37" s="406"/>
      <c r="E37" s="406"/>
      <c r="F37" s="407"/>
      <c r="G37" s="408" t="s">
        <v>89</v>
      </c>
      <c r="H37" s="409">
        <f>TRUNC(SUM(H33:H36),2)</f>
        <v>73.69</v>
      </c>
      <c r="I37" s="410" t="s">
        <v>89</v>
      </c>
      <c r="J37" s="411">
        <f>TRUNC(SUM(J33:J36),2)</f>
        <v>76.069999999999993</v>
      </c>
      <c r="K37" s="412"/>
      <c r="L37" s="254"/>
      <c r="M37" s="254"/>
    </row>
    <row r="38" spans="2:13" s="370" customFormat="1" ht="12" hidden="1" customHeight="1" x14ac:dyDescent="0.25">
      <c r="K38" s="371"/>
      <c r="L38" s="254"/>
      <c r="M38" s="254"/>
    </row>
    <row r="39" spans="2:13" s="370" customFormat="1" ht="11.25" hidden="1" customHeight="1" x14ac:dyDescent="0.25">
      <c r="B39" s="635" t="s">
        <v>501</v>
      </c>
      <c r="C39" s="636"/>
      <c r="D39" s="636"/>
      <c r="E39" s="636"/>
      <c r="F39" s="636"/>
      <c r="G39" s="636"/>
      <c r="H39" s="636"/>
      <c r="I39" s="636"/>
      <c r="J39" s="637"/>
      <c r="K39" s="371"/>
      <c r="L39" s="254"/>
      <c r="M39" s="254"/>
    </row>
    <row r="40" spans="2:13" s="370" customFormat="1" ht="10.8" hidden="1" x14ac:dyDescent="0.25">
      <c r="B40" s="638"/>
      <c r="C40" s="639"/>
      <c r="D40" s="639"/>
      <c r="E40" s="639"/>
      <c r="F40" s="639"/>
      <c r="G40" s="639"/>
      <c r="H40" s="639"/>
      <c r="I40" s="639"/>
      <c r="J40" s="640"/>
      <c r="K40" s="371"/>
      <c r="L40" s="254"/>
      <c r="M40" s="254"/>
    </row>
    <row r="41" spans="2:13" s="370" customFormat="1" ht="10.8" hidden="1" x14ac:dyDescent="0.25">
      <c r="B41" s="641"/>
      <c r="C41" s="642"/>
      <c r="D41" s="642"/>
      <c r="E41" s="642"/>
      <c r="F41" s="642"/>
      <c r="G41" s="642"/>
      <c r="H41" s="642"/>
      <c r="I41" s="642"/>
      <c r="J41" s="643"/>
      <c r="K41" s="371"/>
      <c r="L41" s="254"/>
      <c r="M41" s="254"/>
    </row>
    <row r="42" spans="2:13" s="370" customFormat="1" ht="21.75" hidden="1" customHeight="1" x14ac:dyDescent="0.25">
      <c r="B42" s="644" t="s">
        <v>360</v>
      </c>
      <c r="C42" s="645"/>
      <c r="D42" s="372" t="s">
        <v>492</v>
      </c>
      <c r="E42" s="648" t="s">
        <v>502</v>
      </c>
      <c r="F42" s="649"/>
      <c r="G42" s="649"/>
      <c r="H42" s="649"/>
      <c r="I42" s="649"/>
      <c r="J42" s="649"/>
      <c r="K42" s="373"/>
      <c r="L42" s="254"/>
      <c r="M42" s="254"/>
    </row>
    <row r="43" spans="2:13" s="370" customFormat="1" ht="11.25" hidden="1" customHeight="1" x14ac:dyDescent="0.25">
      <c r="B43" s="644"/>
      <c r="C43" s="645"/>
      <c r="D43" s="601" t="s">
        <v>96</v>
      </c>
      <c r="E43" s="602" t="s">
        <v>503</v>
      </c>
      <c r="F43" s="602"/>
      <c r="G43" s="602"/>
      <c r="H43" s="602"/>
      <c r="I43" s="602"/>
      <c r="J43" s="603"/>
      <c r="K43" s="371"/>
      <c r="L43" s="254"/>
      <c r="M43" s="254"/>
    </row>
    <row r="44" spans="2:13" s="370" customFormat="1" ht="11.25" hidden="1" customHeight="1" x14ac:dyDescent="0.25">
      <c r="B44" s="644"/>
      <c r="C44" s="645"/>
      <c r="D44" s="601"/>
      <c r="E44" s="602"/>
      <c r="F44" s="602"/>
      <c r="G44" s="604"/>
      <c r="H44" s="604"/>
      <c r="I44" s="604"/>
      <c r="J44" s="605"/>
      <c r="K44" s="371"/>
      <c r="L44" s="254"/>
      <c r="M44" s="254"/>
    </row>
    <row r="45" spans="2:13" s="370" customFormat="1" ht="14.25" hidden="1" customHeight="1" x14ac:dyDescent="0.25">
      <c r="B45" s="644"/>
      <c r="C45" s="645"/>
      <c r="D45" s="601"/>
      <c r="E45" s="602"/>
      <c r="F45" s="602"/>
      <c r="G45" s="604"/>
      <c r="H45" s="604"/>
      <c r="I45" s="604"/>
      <c r="J45" s="605"/>
      <c r="K45" s="371"/>
      <c r="L45" s="254"/>
      <c r="M45" s="254"/>
    </row>
    <row r="46" spans="2:13" s="370" customFormat="1" ht="10.199999999999999" hidden="1" customHeight="1" x14ac:dyDescent="0.25">
      <c r="B46" s="644"/>
      <c r="C46" s="645"/>
      <c r="D46" s="374" t="s">
        <v>73</v>
      </c>
      <c r="E46" s="375" t="s">
        <v>87</v>
      </c>
      <c r="F46" s="606" t="s">
        <v>495</v>
      </c>
      <c r="G46" s="607">
        <f>H57</f>
        <v>235.65</v>
      </c>
      <c r="H46" s="607"/>
      <c r="I46" s="608">
        <f>J57</f>
        <v>244.84</v>
      </c>
      <c r="J46" s="608"/>
      <c r="K46" s="371"/>
      <c r="L46" s="254"/>
      <c r="M46" s="254"/>
    </row>
    <row r="47" spans="2:13" s="370" customFormat="1" ht="14.4" hidden="1" customHeight="1" x14ac:dyDescent="0.25">
      <c r="B47" s="646"/>
      <c r="C47" s="647"/>
      <c r="D47" s="374" t="s">
        <v>496</v>
      </c>
      <c r="E47" s="375">
        <v>1</v>
      </c>
      <c r="F47" s="606"/>
      <c r="G47" s="607"/>
      <c r="H47" s="607"/>
      <c r="I47" s="608"/>
      <c r="J47" s="608"/>
      <c r="K47" s="371"/>
      <c r="L47" s="254"/>
      <c r="M47" s="254"/>
    </row>
    <row r="48" spans="2:13" s="376" customFormat="1" ht="13.2" hidden="1" x14ac:dyDescent="0.3">
      <c r="B48" s="377"/>
      <c r="C48" s="378"/>
      <c r="D48" s="379"/>
      <c r="E48" s="380"/>
      <c r="F48" s="381"/>
      <c r="G48" s="594" t="s">
        <v>97</v>
      </c>
      <c r="H48" s="594"/>
      <c r="I48" s="595" t="s">
        <v>98</v>
      </c>
      <c r="J48" s="595"/>
      <c r="K48" s="371"/>
      <c r="L48" s="382"/>
      <c r="M48" s="382"/>
    </row>
    <row r="49" spans="2:13" s="383" customFormat="1" ht="20.399999999999999" hidden="1" x14ac:dyDescent="0.3">
      <c r="B49" s="384" t="s">
        <v>74</v>
      </c>
      <c r="C49" s="385" t="s">
        <v>75</v>
      </c>
      <c r="D49" s="386" t="s">
        <v>76</v>
      </c>
      <c r="E49" s="413" t="s">
        <v>73</v>
      </c>
      <c r="F49" s="414" t="s">
        <v>78</v>
      </c>
      <c r="G49" s="415" t="s">
        <v>77</v>
      </c>
      <c r="H49" s="416" t="s">
        <v>79</v>
      </c>
      <c r="I49" s="417" t="s">
        <v>77</v>
      </c>
      <c r="J49" s="418" t="s">
        <v>79</v>
      </c>
      <c r="K49" s="393"/>
      <c r="L49" s="394"/>
      <c r="M49" s="394"/>
    </row>
    <row r="50" spans="2:13" s="370" customFormat="1" ht="21.6" hidden="1" x14ac:dyDescent="0.25">
      <c r="B50" s="395" t="s">
        <v>99</v>
      </c>
      <c r="C50" s="396">
        <v>21012</v>
      </c>
      <c r="D50" s="397" t="s">
        <v>504</v>
      </c>
      <c r="E50" s="398" t="s">
        <v>87</v>
      </c>
      <c r="F50" s="399">
        <v>2.5</v>
      </c>
      <c r="G50" s="400">
        <v>55.85</v>
      </c>
      <c r="H50" s="401">
        <f t="shared" ref="H50:H56" si="2">TRUNC($F50*G50,2)</f>
        <v>139.62</v>
      </c>
      <c r="I50" s="402">
        <v>55.85</v>
      </c>
      <c r="J50" s="401">
        <f t="shared" ref="J50:J56" si="3">TRUNC($F50*I50,2)</f>
        <v>139.62</v>
      </c>
      <c r="K50" s="371"/>
      <c r="L50" s="254"/>
      <c r="M50" s="254"/>
    </row>
    <row r="51" spans="2:13" s="370" customFormat="1" ht="21.6" hidden="1" x14ac:dyDescent="0.25">
      <c r="B51" s="395" t="s">
        <v>505</v>
      </c>
      <c r="C51" s="396">
        <v>88309</v>
      </c>
      <c r="D51" s="397" t="s">
        <v>83</v>
      </c>
      <c r="E51" s="398" t="s">
        <v>81</v>
      </c>
      <c r="F51" s="399">
        <v>1</v>
      </c>
      <c r="G51" s="400">
        <v>20.21</v>
      </c>
      <c r="H51" s="401">
        <f t="shared" si="2"/>
        <v>20.21</v>
      </c>
      <c r="I51" s="402">
        <v>22.55</v>
      </c>
      <c r="J51" s="401">
        <f t="shared" si="3"/>
        <v>22.55</v>
      </c>
      <c r="K51" s="371"/>
      <c r="L51" s="254"/>
      <c r="M51" s="254"/>
    </row>
    <row r="52" spans="2:13" s="370" customFormat="1" ht="21.6" hidden="1" x14ac:dyDescent="0.25">
      <c r="B52" s="395" t="s">
        <v>505</v>
      </c>
      <c r="C52" s="396">
        <v>88315</v>
      </c>
      <c r="D52" s="397" t="s">
        <v>506</v>
      </c>
      <c r="E52" s="398" t="s">
        <v>81</v>
      </c>
      <c r="F52" s="399">
        <v>0.5</v>
      </c>
      <c r="G52" s="400">
        <v>20.100000000000001</v>
      </c>
      <c r="H52" s="401">
        <f t="shared" si="2"/>
        <v>10.050000000000001</v>
      </c>
      <c r="I52" s="402">
        <v>22.42</v>
      </c>
      <c r="J52" s="401">
        <f t="shared" si="3"/>
        <v>11.21</v>
      </c>
      <c r="K52" s="371"/>
      <c r="L52" s="254"/>
      <c r="M52" s="254"/>
    </row>
    <row r="53" spans="2:13" s="370" customFormat="1" ht="21.6" hidden="1" x14ac:dyDescent="0.25">
      <c r="B53" s="395" t="s">
        <v>505</v>
      </c>
      <c r="C53" s="396">
        <v>88316</v>
      </c>
      <c r="D53" s="397" t="s">
        <v>85</v>
      </c>
      <c r="E53" s="398" t="s">
        <v>81</v>
      </c>
      <c r="F53" s="399">
        <v>2.5</v>
      </c>
      <c r="G53" s="400">
        <v>16.43</v>
      </c>
      <c r="H53" s="401">
        <f t="shared" si="2"/>
        <v>41.07</v>
      </c>
      <c r="I53" s="402">
        <v>18.190000000000001</v>
      </c>
      <c r="J53" s="401">
        <f t="shared" si="3"/>
        <v>45.47</v>
      </c>
      <c r="K53" s="371"/>
      <c r="L53" s="254"/>
      <c r="M53" s="254"/>
    </row>
    <row r="54" spans="2:13" s="370" customFormat="1" ht="21.6" hidden="1" x14ac:dyDescent="0.25">
      <c r="B54" s="395" t="s">
        <v>505</v>
      </c>
      <c r="C54" s="396" t="s">
        <v>507</v>
      </c>
      <c r="D54" s="397" t="s">
        <v>508</v>
      </c>
      <c r="E54" s="398" t="s">
        <v>81</v>
      </c>
      <c r="F54" s="399">
        <v>0.5</v>
      </c>
      <c r="G54" s="400">
        <v>20.92</v>
      </c>
      <c r="H54" s="401">
        <f t="shared" si="2"/>
        <v>10.46</v>
      </c>
      <c r="I54" s="402">
        <v>23.24</v>
      </c>
      <c r="J54" s="401">
        <f t="shared" si="3"/>
        <v>11.62</v>
      </c>
      <c r="K54" s="371"/>
      <c r="L54" s="254"/>
      <c r="M54" s="254"/>
    </row>
    <row r="55" spans="2:13" s="370" customFormat="1" ht="21.6" hidden="1" x14ac:dyDescent="0.25">
      <c r="B55" s="395" t="s">
        <v>99</v>
      </c>
      <c r="C55" s="396" t="s">
        <v>509</v>
      </c>
      <c r="D55" s="397" t="s">
        <v>510</v>
      </c>
      <c r="E55" s="398" t="s">
        <v>124</v>
      </c>
      <c r="F55" s="399">
        <v>0.25</v>
      </c>
      <c r="G55" s="400">
        <v>35.450000000000003</v>
      </c>
      <c r="H55" s="401">
        <f t="shared" si="2"/>
        <v>8.86</v>
      </c>
      <c r="I55" s="402">
        <v>35.450000000000003</v>
      </c>
      <c r="J55" s="401">
        <f t="shared" si="3"/>
        <v>8.86</v>
      </c>
      <c r="K55" s="371"/>
      <c r="L55" s="254"/>
      <c r="M55" s="254"/>
    </row>
    <row r="56" spans="2:13" s="370" customFormat="1" ht="25.5" hidden="1" customHeight="1" x14ac:dyDescent="0.25">
      <c r="B56" s="395" t="s">
        <v>505</v>
      </c>
      <c r="C56" s="396" t="s">
        <v>511</v>
      </c>
      <c r="D56" s="397" t="s">
        <v>512</v>
      </c>
      <c r="E56" s="398" t="s">
        <v>80</v>
      </c>
      <c r="F56" s="399">
        <v>1.4999999999999999E-2</v>
      </c>
      <c r="G56" s="400">
        <v>358.84</v>
      </c>
      <c r="H56" s="401">
        <f t="shared" si="2"/>
        <v>5.38</v>
      </c>
      <c r="I56" s="402">
        <v>367.58</v>
      </c>
      <c r="J56" s="401">
        <f t="shared" si="3"/>
        <v>5.51</v>
      </c>
      <c r="K56" s="371"/>
      <c r="L56" s="254"/>
      <c r="M56" s="254"/>
    </row>
    <row r="57" spans="2:13" s="370" customFormat="1" ht="14.4" hidden="1" customHeight="1" x14ac:dyDescent="0.25">
      <c r="B57" s="419"/>
      <c r="C57" s="420"/>
      <c r="D57" s="420"/>
      <c r="E57" s="420"/>
      <c r="F57" s="421"/>
      <c r="G57" s="408" t="s">
        <v>89</v>
      </c>
      <c r="H57" s="409">
        <f>TRUNC(SUM(H50:H56),2)</f>
        <v>235.65</v>
      </c>
      <c r="I57" s="410" t="s">
        <v>89</v>
      </c>
      <c r="J57" s="411">
        <f>TRUNC(SUM(J50:J56),2)</f>
        <v>244.84</v>
      </c>
      <c r="K57" s="412"/>
      <c r="L57" s="254"/>
      <c r="M57" s="254"/>
    </row>
    <row r="58" spans="2:13" s="370" customFormat="1" ht="14.4" hidden="1" customHeight="1" x14ac:dyDescent="0.3">
      <c r="B58" s="422"/>
      <c r="C58" s="422"/>
      <c r="D58" s="422"/>
      <c r="E58" s="422"/>
      <c r="F58" s="422"/>
      <c r="G58" s="423"/>
      <c r="H58" s="423"/>
      <c r="I58" s="423"/>
      <c r="J58" s="423"/>
      <c r="K58" s="412"/>
      <c r="L58" s="318"/>
      <c r="M58" s="254"/>
    </row>
    <row r="59" spans="2:13" s="258" customFormat="1" ht="12.75" customHeight="1" x14ac:dyDescent="0.3">
      <c r="B59" s="568" t="s">
        <v>513</v>
      </c>
      <c r="C59" s="569"/>
      <c r="D59" s="569"/>
      <c r="E59" s="569"/>
      <c r="F59" s="569"/>
      <c r="G59" s="569"/>
      <c r="H59" s="569"/>
      <c r="I59" s="569"/>
      <c r="J59" s="570"/>
      <c r="K59" s="259"/>
      <c r="L59" s="54" t="s">
        <v>612</v>
      </c>
      <c r="M59" s="1"/>
    </row>
    <row r="60" spans="2:13" s="258" customFormat="1" ht="17.399999999999999" customHeight="1" x14ac:dyDescent="0.3">
      <c r="B60" s="571"/>
      <c r="C60" s="572"/>
      <c r="D60" s="572"/>
      <c r="E60" s="572"/>
      <c r="F60" s="572"/>
      <c r="G60" s="572"/>
      <c r="H60" s="572"/>
      <c r="I60" s="572"/>
      <c r="J60" s="573"/>
      <c r="K60" s="259"/>
      <c r="L60" s="54"/>
      <c r="M60" s="1"/>
    </row>
    <row r="61" spans="2:13" s="258" customFormat="1" ht="13.8" customHeight="1" x14ac:dyDescent="0.3">
      <c r="B61" s="574" t="s">
        <v>102</v>
      </c>
      <c r="C61" s="575"/>
      <c r="D61" s="255" t="s">
        <v>121</v>
      </c>
      <c r="E61" s="578" t="s">
        <v>514</v>
      </c>
      <c r="F61" s="578"/>
      <c r="G61" s="578"/>
      <c r="H61" s="578"/>
      <c r="I61" s="578"/>
      <c r="J61" s="579"/>
      <c r="K61" s="259"/>
      <c r="L61" s="54"/>
      <c r="M61" s="1"/>
    </row>
    <row r="62" spans="2:13" s="258" customFormat="1" ht="12.75" customHeight="1" x14ac:dyDescent="0.3">
      <c r="B62" s="576"/>
      <c r="C62" s="577"/>
      <c r="D62" s="596" t="s">
        <v>96</v>
      </c>
      <c r="E62" s="597" t="s">
        <v>151</v>
      </c>
      <c r="F62" s="597"/>
      <c r="G62" s="597"/>
      <c r="H62" s="597"/>
      <c r="I62" s="597"/>
      <c r="J62" s="598"/>
      <c r="K62" s="259"/>
      <c r="L62" s="54"/>
      <c r="M62" s="1"/>
    </row>
    <row r="63" spans="2:13" s="258" customFormat="1" ht="23.4" customHeight="1" x14ac:dyDescent="0.3">
      <c r="B63" s="576"/>
      <c r="C63" s="577"/>
      <c r="D63" s="596"/>
      <c r="E63" s="597"/>
      <c r="F63" s="597"/>
      <c r="G63" s="599"/>
      <c r="H63" s="599"/>
      <c r="I63" s="599"/>
      <c r="J63" s="600"/>
      <c r="K63" s="259"/>
      <c r="L63" s="54"/>
      <c r="M63" s="1"/>
    </row>
    <row r="64" spans="2:13" s="258" customFormat="1" ht="12.75" customHeight="1" x14ac:dyDescent="0.3">
      <c r="B64" s="576"/>
      <c r="C64" s="577"/>
      <c r="D64" s="256" t="s">
        <v>119</v>
      </c>
      <c r="E64" s="242" t="s">
        <v>86</v>
      </c>
      <c r="F64" s="588" t="s">
        <v>122</v>
      </c>
      <c r="G64" s="589">
        <f>H74</f>
        <v>129.52000000000001</v>
      </c>
      <c r="H64" s="589"/>
      <c r="I64" s="590">
        <f>J74</f>
        <v>138.53</v>
      </c>
      <c r="J64" s="590"/>
      <c r="K64" s="259"/>
      <c r="L64" s="54"/>
      <c r="M64" s="1"/>
    </row>
    <row r="65" spans="2:15" s="258" customFormat="1" ht="12.75" customHeight="1" x14ac:dyDescent="0.3">
      <c r="B65" s="576"/>
      <c r="C65" s="577"/>
      <c r="D65" s="223" t="s">
        <v>120</v>
      </c>
      <c r="E65" s="242">
        <v>1</v>
      </c>
      <c r="F65" s="588"/>
      <c r="G65" s="589"/>
      <c r="H65" s="589"/>
      <c r="I65" s="590"/>
      <c r="J65" s="590"/>
      <c r="K65" s="259"/>
      <c r="L65" s="54"/>
      <c r="M65" s="1"/>
    </row>
    <row r="66" spans="2:15" s="260" customFormat="1" ht="14.25" customHeight="1" x14ac:dyDescent="0.3">
      <c r="B66" s="261"/>
      <c r="C66" s="262"/>
      <c r="D66" s="263"/>
      <c r="E66" s="264"/>
      <c r="F66" s="265"/>
      <c r="G66" s="566" t="s">
        <v>97</v>
      </c>
      <c r="H66" s="566"/>
      <c r="I66" s="567" t="s">
        <v>98</v>
      </c>
      <c r="J66" s="567"/>
      <c r="K66" s="259"/>
      <c r="L66" s="54"/>
      <c r="M66" s="6"/>
    </row>
    <row r="67" spans="2:15" s="266" customFormat="1" ht="20.399999999999999" x14ac:dyDescent="0.3">
      <c r="B67" s="97" t="s">
        <v>74</v>
      </c>
      <c r="C67" s="7" t="s">
        <v>75</v>
      </c>
      <c r="D67" s="8" t="s">
        <v>76</v>
      </c>
      <c r="E67" s="9" t="s">
        <v>73</v>
      </c>
      <c r="F67" s="10" t="s">
        <v>78</v>
      </c>
      <c r="G67" s="90" t="s">
        <v>77</v>
      </c>
      <c r="H67" s="11" t="s">
        <v>79</v>
      </c>
      <c r="I67" s="12" t="s">
        <v>77</v>
      </c>
      <c r="J67" s="13" t="s">
        <v>79</v>
      </c>
      <c r="K67" s="267"/>
      <c r="L67" s="24"/>
      <c r="M67" s="14"/>
    </row>
    <row r="68" spans="2:15" s="258" customFormat="1" ht="20.399999999999999" x14ac:dyDescent="0.3">
      <c r="B68" s="257" t="s">
        <v>101</v>
      </c>
      <c r="C68" s="15" t="s">
        <v>515</v>
      </c>
      <c r="D68" s="16" t="s">
        <v>516</v>
      </c>
      <c r="E68" s="17" t="s">
        <v>87</v>
      </c>
      <c r="F68" s="22" t="s">
        <v>517</v>
      </c>
      <c r="G68" s="228" t="s">
        <v>780</v>
      </c>
      <c r="H68" s="18">
        <f t="shared" ref="H68:H73" si="4">TRUNC($F68*G68,2)</f>
        <v>46.95</v>
      </c>
      <c r="I68" s="229" t="s">
        <v>448</v>
      </c>
      <c r="J68" s="18">
        <f t="shared" ref="J68:J73" si="5">TRUNC($F68*I68,2)</f>
        <v>50.26</v>
      </c>
      <c r="K68" s="259"/>
      <c r="L68" s="54"/>
      <c r="M68" s="1"/>
    </row>
    <row r="69" spans="2:15" s="258" customFormat="1" ht="20.399999999999999" x14ac:dyDescent="0.3">
      <c r="B69" s="257" t="s">
        <v>101</v>
      </c>
      <c r="C69" s="15" t="s">
        <v>518</v>
      </c>
      <c r="D69" s="16" t="s">
        <v>519</v>
      </c>
      <c r="E69" s="17" t="s">
        <v>86</v>
      </c>
      <c r="F69" s="22" t="s">
        <v>520</v>
      </c>
      <c r="G69" s="228" t="s">
        <v>781</v>
      </c>
      <c r="H69" s="18">
        <f t="shared" si="4"/>
        <v>10.41</v>
      </c>
      <c r="I69" s="229" t="s">
        <v>457</v>
      </c>
      <c r="J69" s="18">
        <f t="shared" si="5"/>
        <v>11.15</v>
      </c>
      <c r="K69" s="259"/>
      <c r="L69" s="54"/>
      <c r="M69" s="1"/>
    </row>
    <row r="70" spans="2:15" s="258" customFormat="1" ht="30.6" x14ac:dyDescent="0.3">
      <c r="B70" s="257" t="s">
        <v>101</v>
      </c>
      <c r="C70" s="15" t="s">
        <v>521</v>
      </c>
      <c r="D70" s="16" t="s">
        <v>522</v>
      </c>
      <c r="E70" s="17" t="s">
        <v>86</v>
      </c>
      <c r="F70" s="22" t="s">
        <v>100</v>
      </c>
      <c r="G70" s="228" t="s">
        <v>782</v>
      </c>
      <c r="H70" s="18">
        <f t="shared" si="4"/>
        <v>14.82</v>
      </c>
      <c r="I70" s="229" t="s">
        <v>783</v>
      </c>
      <c r="J70" s="18">
        <f t="shared" si="5"/>
        <v>15.4</v>
      </c>
      <c r="K70" s="259"/>
      <c r="L70" s="54"/>
      <c r="M70" s="1"/>
    </row>
    <row r="71" spans="2:15" s="258" customFormat="1" ht="20.399999999999999" x14ac:dyDescent="0.3">
      <c r="B71" s="257" t="s">
        <v>101</v>
      </c>
      <c r="C71" s="15" t="s">
        <v>524</v>
      </c>
      <c r="D71" s="16" t="s">
        <v>525</v>
      </c>
      <c r="E71" s="17" t="s">
        <v>86</v>
      </c>
      <c r="F71" s="22" t="s">
        <v>526</v>
      </c>
      <c r="G71" s="228" t="s">
        <v>784</v>
      </c>
      <c r="H71" s="18">
        <f t="shared" si="4"/>
        <v>10.8</v>
      </c>
      <c r="I71" s="229" t="s">
        <v>463</v>
      </c>
      <c r="J71" s="18">
        <f t="shared" si="5"/>
        <v>11.54</v>
      </c>
      <c r="K71" s="259"/>
      <c r="L71" s="54"/>
      <c r="M71" s="1"/>
    </row>
    <row r="72" spans="2:15" s="258" customFormat="1" ht="20.399999999999999" x14ac:dyDescent="0.3">
      <c r="B72" s="257" t="s">
        <v>101</v>
      </c>
      <c r="C72" s="15" t="s">
        <v>527</v>
      </c>
      <c r="D72" s="16" t="s">
        <v>528</v>
      </c>
      <c r="E72" s="17" t="s">
        <v>87</v>
      </c>
      <c r="F72" s="22" t="s">
        <v>517</v>
      </c>
      <c r="G72" s="228" t="s">
        <v>785</v>
      </c>
      <c r="H72" s="18">
        <f t="shared" si="4"/>
        <v>15.75</v>
      </c>
      <c r="I72" s="229" t="s">
        <v>786</v>
      </c>
      <c r="J72" s="18">
        <f t="shared" si="5"/>
        <v>17.14</v>
      </c>
      <c r="K72" s="259"/>
      <c r="L72" s="54"/>
      <c r="M72" s="1"/>
    </row>
    <row r="73" spans="2:15" s="258" customFormat="1" ht="20.399999999999999" x14ac:dyDescent="0.3">
      <c r="B73" s="257" t="s">
        <v>101</v>
      </c>
      <c r="C73" s="15" t="s">
        <v>529</v>
      </c>
      <c r="D73" s="16" t="s">
        <v>530</v>
      </c>
      <c r="E73" s="17" t="s">
        <v>87</v>
      </c>
      <c r="F73" s="22" t="s">
        <v>517</v>
      </c>
      <c r="G73" s="228" t="s">
        <v>523</v>
      </c>
      <c r="H73" s="18">
        <f t="shared" si="4"/>
        <v>30.79</v>
      </c>
      <c r="I73" s="229" t="s">
        <v>787</v>
      </c>
      <c r="J73" s="18">
        <f t="shared" si="5"/>
        <v>33.04</v>
      </c>
      <c r="K73" s="259"/>
      <c r="L73" s="54"/>
      <c r="M73" s="1"/>
    </row>
    <row r="74" spans="2:15" s="258" customFormat="1" x14ac:dyDescent="0.3">
      <c r="B74" s="268"/>
      <c r="C74" s="269"/>
      <c r="D74" s="269"/>
      <c r="E74" s="269"/>
      <c r="F74" s="270"/>
      <c r="G74" s="91" t="s">
        <v>89</v>
      </c>
      <c r="H74" s="19">
        <f>TRUNC(SUM(H68:H73),2)</f>
        <v>129.52000000000001</v>
      </c>
      <c r="I74" s="20" t="s">
        <v>89</v>
      </c>
      <c r="J74" s="21">
        <f>TRUNC(SUM(J68:J73),2)</f>
        <v>138.53</v>
      </c>
      <c r="K74" s="271"/>
      <c r="L74" s="54"/>
      <c r="M74" s="1"/>
    </row>
    <row r="75" spans="2:15" s="1" customFormat="1" ht="14.4" customHeight="1" x14ac:dyDescent="0.3">
      <c r="B75" s="240"/>
      <c r="C75" s="240"/>
      <c r="D75" s="240"/>
      <c r="E75" s="240"/>
      <c r="F75" s="240"/>
      <c r="G75" s="241"/>
      <c r="H75" s="241"/>
      <c r="I75" s="241"/>
      <c r="J75" s="241"/>
      <c r="K75" s="103"/>
      <c r="L75" s="54"/>
      <c r="M75" s="147"/>
      <c r="N75" s="147"/>
      <c r="O75" s="54"/>
    </row>
    <row r="76" spans="2:15" s="258" customFormat="1" ht="12.75" customHeight="1" x14ac:dyDescent="0.3">
      <c r="B76" s="568" t="s">
        <v>236</v>
      </c>
      <c r="C76" s="569"/>
      <c r="D76" s="569"/>
      <c r="E76" s="569"/>
      <c r="F76" s="569"/>
      <c r="G76" s="569"/>
      <c r="H76" s="569"/>
      <c r="I76" s="569"/>
      <c r="J76" s="570"/>
      <c r="K76" s="259"/>
      <c r="L76" s="54" t="s">
        <v>612</v>
      </c>
      <c r="M76" s="1"/>
    </row>
    <row r="77" spans="2:15" s="258" customFormat="1" ht="12.75" customHeight="1" x14ac:dyDescent="0.3">
      <c r="B77" s="571"/>
      <c r="C77" s="572"/>
      <c r="D77" s="572"/>
      <c r="E77" s="572"/>
      <c r="F77" s="572"/>
      <c r="G77" s="572"/>
      <c r="H77" s="572"/>
      <c r="I77" s="572"/>
      <c r="J77" s="573"/>
      <c r="K77" s="259"/>
      <c r="L77" s="54"/>
      <c r="M77" s="1"/>
    </row>
    <row r="78" spans="2:15" s="258" customFormat="1" x14ac:dyDescent="0.3">
      <c r="B78" s="574" t="s">
        <v>103</v>
      </c>
      <c r="C78" s="575"/>
      <c r="D78" s="255" t="s">
        <v>121</v>
      </c>
      <c r="E78" s="578" t="s">
        <v>790</v>
      </c>
      <c r="F78" s="578"/>
      <c r="G78" s="578"/>
      <c r="H78" s="578"/>
      <c r="I78" s="578"/>
      <c r="J78" s="579"/>
      <c r="K78" s="259"/>
      <c r="L78" s="54"/>
      <c r="M78" s="1"/>
    </row>
    <row r="79" spans="2:15" s="258" customFormat="1" ht="12.75" customHeight="1" x14ac:dyDescent="0.3">
      <c r="B79" s="576"/>
      <c r="C79" s="577"/>
      <c r="D79" s="596" t="s">
        <v>96</v>
      </c>
      <c r="E79" s="597" t="s">
        <v>236</v>
      </c>
      <c r="F79" s="597"/>
      <c r="G79" s="597"/>
      <c r="H79" s="597"/>
      <c r="I79" s="597"/>
      <c r="J79" s="598"/>
      <c r="K79" s="259"/>
      <c r="L79" s="54"/>
      <c r="M79" s="1"/>
    </row>
    <row r="80" spans="2:15" s="258" customFormat="1" ht="12.75" customHeight="1" x14ac:dyDescent="0.3">
      <c r="B80" s="576"/>
      <c r="C80" s="577"/>
      <c r="D80" s="596"/>
      <c r="E80" s="597"/>
      <c r="F80" s="597"/>
      <c r="G80" s="599"/>
      <c r="H80" s="599"/>
      <c r="I80" s="599"/>
      <c r="J80" s="600"/>
      <c r="K80" s="259"/>
      <c r="L80" s="54"/>
      <c r="M80" s="1"/>
    </row>
    <row r="81" spans="2:16" s="258" customFormat="1" ht="12.75" customHeight="1" x14ac:dyDescent="0.3">
      <c r="B81" s="576"/>
      <c r="C81" s="577"/>
      <c r="D81" s="256" t="s">
        <v>119</v>
      </c>
      <c r="E81" s="242" t="s">
        <v>86</v>
      </c>
      <c r="F81" s="588" t="s">
        <v>122</v>
      </c>
      <c r="G81" s="589">
        <f>H92</f>
        <v>105.33</v>
      </c>
      <c r="H81" s="589"/>
      <c r="I81" s="590">
        <f>J92</f>
        <v>106.92</v>
      </c>
      <c r="J81" s="590"/>
      <c r="K81" s="259"/>
      <c r="L81" s="54"/>
      <c r="M81" s="1"/>
    </row>
    <row r="82" spans="2:16" s="258" customFormat="1" ht="12.75" customHeight="1" x14ac:dyDescent="0.3">
      <c r="B82" s="576"/>
      <c r="C82" s="577"/>
      <c r="D82" s="223" t="s">
        <v>120</v>
      </c>
      <c r="E82" s="242">
        <v>1</v>
      </c>
      <c r="F82" s="588"/>
      <c r="G82" s="589"/>
      <c r="H82" s="589"/>
      <c r="I82" s="590"/>
      <c r="J82" s="590"/>
      <c r="K82" s="259"/>
      <c r="L82" s="54"/>
      <c r="M82" s="1"/>
    </row>
    <row r="83" spans="2:16" s="260" customFormat="1" ht="14.25" customHeight="1" x14ac:dyDescent="0.3">
      <c r="B83" s="261"/>
      <c r="C83" s="262"/>
      <c r="D83" s="263"/>
      <c r="E83" s="264"/>
      <c r="F83" s="265"/>
      <c r="G83" s="566" t="s">
        <v>97</v>
      </c>
      <c r="H83" s="566"/>
      <c r="I83" s="567" t="s">
        <v>98</v>
      </c>
      <c r="J83" s="567"/>
      <c r="K83" s="259"/>
      <c r="L83" s="54"/>
      <c r="M83" s="6"/>
    </row>
    <row r="84" spans="2:16" s="266" customFormat="1" ht="20.399999999999999" x14ac:dyDescent="0.3">
      <c r="B84" s="97" t="s">
        <v>74</v>
      </c>
      <c r="C84" s="7" t="s">
        <v>75</v>
      </c>
      <c r="D84" s="8" t="s">
        <v>76</v>
      </c>
      <c r="E84" s="9" t="s">
        <v>73</v>
      </c>
      <c r="F84" s="10" t="s">
        <v>78</v>
      </c>
      <c r="G84" s="90" t="s">
        <v>77</v>
      </c>
      <c r="H84" s="11" t="s">
        <v>79</v>
      </c>
      <c r="I84" s="12" t="s">
        <v>77</v>
      </c>
      <c r="J84" s="13" t="s">
        <v>79</v>
      </c>
      <c r="K84" s="267"/>
      <c r="L84" s="24"/>
      <c r="M84" s="14"/>
    </row>
    <row r="85" spans="2:16" s="258" customFormat="1" ht="20.399999999999999" x14ac:dyDescent="0.3">
      <c r="B85" s="257" t="s">
        <v>99</v>
      </c>
      <c r="C85" s="15" t="s">
        <v>237</v>
      </c>
      <c r="D85" s="16" t="s">
        <v>238</v>
      </c>
      <c r="E85" s="17" t="s">
        <v>92</v>
      </c>
      <c r="F85" s="22">
        <v>1.4999999999999999E-2</v>
      </c>
      <c r="G85" s="228" t="s">
        <v>791</v>
      </c>
      <c r="H85" s="18">
        <f t="shared" ref="H85:H91" si="6">TRUNC($F85*G85,2)</f>
        <v>0.91</v>
      </c>
      <c r="I85" s="229" t="s">
        <v>791</v>
      </c>
      <c r="J85" s="18">
        <f t="shared" ref="J85:J91" si="7">TRUNC($F85*I85,2)</f>
        <v>0.91</v>
      </c>
      <c r="K85" s="259"/>
      <c r="L85" s="54"/>
      <c r="M85" s="1"/>
    </row>
    <row r="86" spans="2:16" s="258" customFormat="1" ht="20.399999999999999" x14ac:dyDescent="0.3">
      <c r="B86" s="257" t="s">
        <v>99</v>
      </c>
      <c r="C86" s="15" t="s">
        <v>239</v>
      </c>
      <c r="D86" s="16" t="s">
        <v>240</v>
      </c>
      <c r="E86" s="17" t="s">
        <v>104</v>
      </c>
      <c r="F86" s="22">
        <v>0.05</v>
      </c>
      <c r="G86" s="228" t="s">
        <v>458</v>
      </c>
      <c r="H86" s="18">
        <f t="shared" si="6"/>
        <v>1</v>
      </c>
      <c r="I86" s="229" t="s">
        <v>458</v>
      </c>
      <c r="J86" s="18">
        <f t="shared" si="7"/>
        <v>1</v>
      </c>
      <c r="K86" s="259"/>
      <c r="L86" s="54"/>
      <c r="M86" s="1"/>
    </row>
    <row r="87" spans="2:16" s="258" customFormat="1" ht="20.399999999999999" x14ac:dyDescent="0.3">
      <c r="B87" s="257" t="s">
        <v>99</v>
      </c>
      <c r="C87" s="15" t="s">
        <v>241</v>
      </c>
      <c r="D87" s="16" t="s">
        <v>242</v>
      </c>
      <c r="E87" s="17" t="s">
        <v>92</v>
      </c>
      <c r="F87" s="22">
        <v>2</v>
      </c>
      <c r="G87" s="228" t="s">
        <v>792</v>
      </c>
      <c r="H87" s="18">
        <f t="shared" si="6"/>
        <v>14.78</v>
      </c>
      <c r="I87" s="229" t="s">
        <v>792</v>
      </c>
      <c r="J87" s="18">
        <f t="shared" si="7"/>
        <v>14.78</v>
      </c>
      <c r="K87" s="259"/>
      <c r="L87" s="54"/>
      <c r="M87" s="1"/>
    </row>
    <row r="88" spans="2:16" s="258" customFormat="1" ht="20.399999999999999" x14ac:dyDescent="0.3">
      <c r="B88" s="257" t="s">
        <v>99</v>
      </c>
      <c r="C88" s="15" t="s">
        <v>243</v>
      </c>
      <c r="D88" s="16" t="s">
        <v>244</v>
      </c>
      <c r="E88" s="17" t="s">
        <v>109</v>
      </c>
      <c r="F88" s="22">
        <v>4</v>
      </c>
      <c r="G88" s="228" t="s">
        <v>793</v>
      </c>
      <c r="H88" s="18">
        <f t="shared" si="6"/>
        <v>53.04</v>
      </c>
      <c r="I88" s="229" t="s">
        <v>793</v>
      </c>
      <c r="J88" s="18">
        <f t="shared" si="7"/>
        <v>53.04</v>
      </c>
      <c r="K88" s="259"/>
      <c r="L88" s="54"/>
      <c r="M88" s="1"/>
    </row>
    <row r="89" spans="2:16" s="258" customFormat="1" ht="20.399999999999999" x14ac:dyDescent="0.3">
      <c r="B89" s="257" t="s">
        <v>99</v>
      </c>
      <c r="C89" s="15" t="s">
        <v>245</v>
      </c>
      <c r="D89" s="16" t="s">
        <v>246</v>
      </c>
      <c r="E89" s="17" t="s">
        <v>92</v>
      </c>
      <c r="F89" s="22">
        <v>1</v>
      </c>
      <c r="G89" s="228" t="s">
        <v>794</v>
      </c>
      <c r="H89" s="18">
        <f t="shared" si="6"/>
        <v>16.97</v>
      </c>
      <c r="I89" s="229" t="s">
        <v>794</v>
      </c>
      <c r="J89" s="18">
        <f t="shared" si="7"/>
        <v>16.97</v>
      </c>
      <c r="K89" s="259"/>
      <c r="L89" s="54"/>
      <c r="M89" s="1"/>
    </row>
    <row r="90" spans="2:16" s="258" customFormat="1" ht="20.399999999999999" x14ac:dyDescent="0.3">
      <c r="B90" s="257" t="s">
        <v>101</v>
      </c>
      <c r="C90" s="15" t="s">
        <v>110</v>
      </c>
      <c r="D90" s="16" t="s">
        <v>111</v>
      </c>
      <c r="E90" s="17" t="s">
        <v>81</v>
      </c>
      <c r="F90" s="22">
        <v>0.4</v>
      </c>
      <c r="G90" s="228" t="s">
        <v>795</v>
      </c>
      <c r="H90" s="18">
        <f t="shared" si="6"/>
        <v>10.14</v>
      </c>
      <c r="I90" s="229" t="s">
        <v>796</v>
      </c>
      <c r="J90" s="18">
        <f t="shared" si="7"/>
        <v>11.04</v>
      </c>
      <c r="K90" s="259"/>
      <c r="L90" s="54"/>
      <c r="M90" s="1"/>
    </row>
    <row r="91" spans="2:16" s="258" customFormat="1" ht="20.399999999999999" x14ac:dyDescent="0.3">
      <c r="B91" s="257" t="s">
        <v>101</v>
      </c>
      <c r="C91" s="15" t="s">
        <v>84</v>
      </c>
      <c r="D91" s="16" t="s">
        <v>85</v>
      </c>
      <c r="E91" s="17" t="s">
        <v>81</v>
      </c>
      <c r="F91" s="22">
        <v>0.4</v>
      </c>
      <c r="G91" s="228" t="s">
        <v>797</v>
      </c>
      <c r="H91" s="18">
        <f t="shared" si="6"/>
        <v>8.49</v>
      </c>
      <c r="I91" s="229" t="s">
        <v>446</v>
      </c>
      <c r="J91" s="18">
        <f t="shared" si="7"/>
        <v>9.18</v>
      </c>
      <c r="K91" s="259"/>
      <c r="L91" s="54"/>
      <c r="M91" s="1"/>
    </row>
    <row r="92" spans="2:16" s="258" customFormat="1" x14ac:dyDescent="0.3">
      <c r="B92" s="268"/>
      <c r="C92" s="269"/>
      <c r="D92" s="269"/>
      <c r="E92" s="269"/>
      <c r="F92" s="270"/>
      <c r="G92" s="91" t="s">
        <v>89</v>
      </c>
      <c r="H92" s="19">
        <f>TRUNC(SUM(H85:H91),2)</f>
        <v>105.33</v>
      </c>
      <c r="I92" s="20" t="s">
        <v>89</v>
      </c>
      <c r="J92" s="21">
        <f>TRUNC(SUM(J85:J91),2)</f>
        <v>106.92</v>
      </c>
      <c r="K92" s="271"/>
      <c r="L92" s="54"/>
      <c r="M92" s="1"/>
    </row>
    <row r="93" spans="2:16" s="282" customFormat="1" x14ac:dyDescent="0.3">
      <c r="B93" s="283"/>
      <c r="C93" s="284"/>
      <c r="D93" s="284"/>
      <c r="E93" s="284"/>
      <c r="F93" s="284"/>
      <c r="K93" s="272"/>
      <c r="L93" s="54"/>
      <c r="M93" s="56"/>
      <c r="N93" s="285"/>
      <c r="O93" s="285"/>
      <c r="P93" s="285"/>
    </row>
    <row r="94" spans="2:16" s="258" customFormat="1" ht="12.75" customHeight="1" x14ac:dyDescent="0.3">
      <c r="B94" s="568" t="s">
        <v>153</v>
      </c>
      <c r="C94" s="569"/>
      <c r="D94" s="569"/>
      <c r="E94" s="569"/>
      <c r="F94" s="569"/>
      <c r="G94" s="569"/>
      <c r="H94" s="569"/>
      <c r="I94" s="569"/>
      <c r="J94" s="570"/>
      <c r="K94" s="259"/>
      <c r="L94" s="54" t="s">
        <v>612</v>
      </c>
      <c r="M94" s="1"/>
    </row>
    <row r="95" spans="2:16" s="258" customFormat="1" ht="12.75" customHeight="1" x14ac:dyDescent="0.3">
      <c r="B95" s="571"/>
      <c r="C95" s="572"/>
      <c r="D95" s="572"/>
      <c r="E95" s="572"/>
      <c r="F95" s="572"/>
      <c r="G95" s="572"/>
      <c r="H95" s="572"/>
      <c r="I95" s="572"/>
      <c r="J95" s="573"/>
      <c r="K95" s="259"/>
      <c r="L95" s="54"/>
      <c r="M95" s="1"/>
    </row>
    <row r="96" spans="2:16" s="258" customFormat="1" ht="12.75" customHeight="1" x14ac:dyDescent="0.3">
      <c r="B96" s="574" t="s">
        <v>475</v>
      </c>
      <c r="C96" s="575"/>
      <c r="D96" s="255" t="s">
        <v>121</v>
      </c>
      <c r="E96" s="578" t="s">
        <v>799</v>
      </c>
      <c r="F96" s="578"/>
      <c r="G96" s="578"/>
      <c r="H96" s="578"/>
      <c r="I96" s="578"/>
      <c r="J96" s="579"/>
      <c r="K96" s="259"/>
      <c r="L96" s="54"/>
      <c r="M96" s="1"/>
    </row>
    <row r="97" spans="2:13" s="258" customFormat="1" ht="12.75" customHeight="1" x14ac:dyDescent="0.3">
      <c r="B97" s="576"/>
      <c r="C97" s="577"/>
      <c r="D97" s="580" t="s">
        <v>96</v>
      </c>
      <c r="E97" s="582" t="s">
        <v>275</v>
      </c>
      <c r="F97" s="583"/>
      <c r="G97" s="583"/>
      <c r="H97" s="583"/>
      <c r="I97" s="583"/>
      <c r="J97" s="584"/>
      <c r="K97" s="259"/>
      <c r="L97" s="54"/>
      <c r="M97" s="1"/>
    </row>
    <row r="98" spans="2:13" s="258" customFormat="1" ht="12.75" customHeight="1" x14ac:dyDescent="0.3">
      <c r="B98" s="576"/>
      <c r="C98" s="577"/>
      <c r="D98" s="593"/>
      <c r="E98" s="585"/>
      <c r="F98" s="586"/>
      <c r="G98" s="586"/>
      <c r="H98" s="586"/>
      <c r="I98" s="586"/>
      <c r="J98" s="587"/>
      <c r="K98" s="259"/>
      <c r="L98" s="54"/>
      <c r="M98" s="1"/>
    </row>
    <row r="99" spans="2:13" s="258" customFormat="1" ht="12.75" customHeight="1" x14ac:dyDescent="0.3">
      <c r="B99" s="576"/>
      <c r="C99" s="577"/>
      <c r="D99" s="256" t="s">
        <v>119</v>
      </c>
      <c r="E99" s="242" t="s">
        <v>86</v>
      </c>
      <c r="F99" s="588" t="s">
        <v>122</v>
      </c>
      <c r="G99" s="589">
        <f>H112</f>
        <v>74.23</v>
      </c>
      <c r="H99" s="589"/>
      <c r="I99" s="590">
        <f>J112</f>
        <v>76.81</v>
      </c>
      <c r="J99" s="590"/>
      <c r="K99" s="259"/>
      <c r="L99" s="54"/>
      <c r="M99" s="1"/>
    </row>
    <row r="100" spans="2:13" s="258" customFormat="1" ht="12.75" customHeight="1" x14ac:dyDescent="0.3">
      <c r="B100" s="591"/>
      <c r="C100" s="592"/>
      <c r="D100" s="223" t="s">
        <v>120</v>
      </c>
      <c r="E100" s="242">
        <v>1</v>
      </c>
      <c r="F100" s="588"/>
      <c r="G100" s="589"/>
      <c r="H100" s="589"/>
      <c r="I100" s="590"/>
      <c r="J100" s="590"/>
      <c r="K100" s="259"/>
      <c r="L100" s="54"/>
      <c r="M100" s="1"/>
    </row>
    <row r="101" spans="2:13" s="260" customFormat="1" ht="14.25" customHeight="1" x14ac:dyDescent="0.3">
      <c r="B101" s="261"/>
      <c r="C101" s="262"/>
      <c r="D101" s="263"/>
      <c r="E101" s="264"/>
      <c r="F101" s="265"/>
      <c r="G101" s="566" t="s">
        <v>97</v>
      </c>
      <c r="H101" s="566"/>
      <c r="I101" s="567" t="s">
        <v>98</v>
      </c>
      <c r="J101" s="567"/>
      <c r="K101" s="259"/>
      <c r="L101" s="54"/>
      <c r="M101" s="6"/>
    </row>
    <row r="102" spans="2:13" s="266" customFormat="1" ht="20.399999999999999" x14ac:dyDescent="0.3">
      <c r="B102" s="97" t="s">
        <v>74</v>
      </c>
      <c r="C102" s="7" t="s">
        <v>75</v>
      </c>
      <c r="D102" s="8" t="s">
        <v>76</v>
      </c>
      <c r="E102" s="9" t="s">
        <v>73</v>
      </c>
      <c r="F102" s="10" t="s">
        <v>78</v>
      </c>
      <c r="G102" s="90" t="s">
        <v>77</v>
      </c>
      <c r="H102" s="11" t="s">
        <v>79</v>
      </c>
      <c r="I102" s="12" t="s">
        <v>77</v>
      </c>
      <c r="J102" s="13" t="s">
        <v>79</v>
      </c>
      <c r="K102" s="267"/>
      <c r="L102" s="24"/>
      <c r="M102" s="14"/>
    </row>
    <row r="103" spans="2:13" s="258" customFormat="1" ht="20.399999999999999" x14ac:dyDescent="0.3">
      <c r="B103" s="257" t="s">
        <v>99</v>
      </c>
      <c r="C103" s="15" t="s">
        <v>237</v>
      </c>
      <c r="D103" s="16" t="s">
        <v>238</v>
      </c>
      <c r="E103" s="17" t="s">
        <v>92</v>
      </c>
      <c r="F103" s="22">
        <v>3.9E-2</v>
      </c>
      <c r="G103" s="228" t="s">
        <v>791</v>
      </c>
      <c r="H103" s="18">
        <f t="shared" ref="H103:H111" si="8">TRUNC($F103*G103,2)</f>
        <v>2.37</v>
      </c>
      <c r="I103" s="229" t="s">
        <v>791</v>
      </c>
      <c r="J103" s="18">
        <f t="shared" ref="J103:J111" si="9">TRUNC($F103*I103,2)</f>
        <v>2.37</v>
      </c>
      <c r="K103" s="272"/>
      <c r="L103" s="54"/>
      <c r="M103" s="1"/>
    </row>
    <row r="104" spans="2:13" s="258" customFormat="1" ht="20.399999999999999" x14ac:dyDescent="0.3">
      <c r="B104" s="257" t="s">
        <v>99</v>
      </c>
      <c r="C104" s="15" t="s">
        <v>276</v>
      </c>
      <c r="D104" s="16" t="s">
        <v>277</v>
      </c>
      <c r="E104" s="17" t="s">
        <v>92</v>
      </c>
      <c r="F104" s="22">
        <v>0.09</v>
      </c>
      <c r="G104" s="228" t="s">
        <v>800</v>
      </c>
      <c r="H104" s="18">
        <f t="shared" si="8"/>
        <v>2.25</v>
      </c>
      <c r="I104" s="229" t="s">
        <v>800</v>
      </c>
      <c r="J104" s="18">
        <f t="shared" si="9"/>
        <v>2.25</v>
      </c>
      <c r="K104" s="272"/>
      <c r="L104" s="54"/>
      <c r="M104" s="1"/>
    </row>
    <row r="105" spans="2:13" s="258" customFormat="1" ht="20.399999999999999" x14ac:dyDescent="0.3">
      <c r="B105" s="257" t="s">
        <v>99</v>
      </c>
      <c r="C105" s="15" t="s">
        <v>154</v>
      </c>
      <c r="D105" s="16" t="s">
        <v>278</v>
      </c>
      <c r="E105" s="17" t="s">
        <v>92</v>
      </c>
      <c r="F105" s="22">
        <v>0.06</v>
      </c>
      <c r="G105" s="228" t="s">
        <v>803</v>
      </c>
      <c r="H105" s="18">
        <f t="shared" si="8"/>
        <v>4.13</v>
      </c>
      <c r="I105" s="229" t="s">
        <v>803</v>
      </c>
      <c r="J105" s="18">
        <f t="shared" si="9"/>
        <v>4.13</v>
      </c>
      <c r="K105" s="272"/>
      <c r="L105" s="54"/>
      <c r="M105" s="1"/>
    </row>
    <row r="106" spans="2:13" s="258" customFormat="1" ht="20.399999999999999" x14ac:dyDescent="0.3">
      <c r="B106" s="257" t="s">
        <v>99</v>
      </c>
      <c r="C106" s="15" t="s">
        <v>279</v>
      </c>
      <c r="D106" s="16" t="s">
        <v>280</v>
      </c>
      <c r="E106" s="17" t="s">
        <v>92</v>
      </c>
      <c r="F106" s="22">
        <v>3</v>
      </c>
      <c r="G106" s="228" t="s">
        <v>804</v>
      </c>
      <c r="H106" s="18">
        <f t="shared" si="8"/>
        <v>6.24</v>
      </c>
      <c r="I106" s="229" t="s">
        <v>804</v>
      </c>
      <c r="J106" s="18">
        <f t="shared" si="9"/>
        <v>6.24</v>
      </c>
      <c r="K106" s="272"/>
      <c r="L106" s="54"/>
      <c r="M106" s="1"/>
    </row>
    <row r="107" spans="2:13" s="258" customFormat="1" ht="20.399999999999999" x14ac:dyDescent="0.3">
      <c r="B107" s="257" t="s">
        <v>99</v>
      </c>
      <c r="C107" s="15" t="s">
        <v>281</v>
      </c>
      <c r="D107" s="16" t="s">
        <v>282</v>
      </c>
      <c r="E107" s="17" t="s">
        <v>92</v>
      </c>
      <c r="F107" s="22">
        <v>3</v>
      </c>
      <c r="G107" s="228" t="s">
        <v>460</v>
      </c>
      <c r="H107" s="18">
        <f t="shared" si="8"/>
        <v>5.64</v>
      </c>
      <c r="I107" s="229" t="s">
        <v>460</v>
      </c>
      <c r="J107" s="18">
        <f t="shared" si="9"/>
        <v>5.64</v>
      </c>
      <c r="K107" s="272"/>
      <c r="L107" s="54"/>
      <c r="M107" s="1"/>
    </row>
    <row r="108" spans="2:13" s="258" customFormat="1" ht="20.399999999999999" x14ac:dyDescent="0.3">
      <c r="B108" s="257" t="s">
        <v>99</v>
      </c>
      <c r="C108" s="15" t="s">
        <v>283</v>
      </c>
      <c r="D108" s="16" t="s">
        <v>284</v>
      </c>
      <c r="E108" s="17" t="s">
        <v>92</v>
      </c>
      <c r="F108" s="22">
        <v>0.2</v>
      </c>
      <c r="G108" s="228" t="s">
        <v>805</v>
      </c>
      <c r="H108" s="18">
        <f t="shared" si="8"/>
        <v>0.16</v>
      </c>
      <c r="I108" s="229" t="s">
        <v>805</v>
      </c>
      <c r="J108" s="18">
        <f t="shared" si="9"/>
        <v>0.16</v>
      </c>
      <c r="K108" s="272"/>
      <c r="L108" s="54"/>
      <c r="M108" s="1"/>
    </row>
    <row r="109" spans="2:13" s="258" customFormat="1" ht="20.399999999999999" x14ac:dyDescent="0.3">
      <c r="B109" s="257" t="s">
        <v>99</v>
      </c>
      <c r="C109" s="15" t="s">
        <v>285</v>
      </c>
      <c r="D109" s="16" t="s">
        <v>286</v>
      </c>
      <c r="E109" s="17" t="s">
        <v>109</v>
      </c>
      <c r="F109" s="22">
        <v>4</v>
      </c>
      <c r="G109" s="228" t="s">
        <v>806</v>
      </c>
      <c r="H109" s="18">
        <f t="shared" si="8"/>
        <v>23.16</v>
      </c>
      <c r="I109" s="229" t="s">
        <v>806</v>
      </c>
      <c r="J109" s="18">
        <f t="shared" si="9"/>
        <v>23.16</v>
      </c>
      <c r="K109" s="272"/>
      <c r="L109" s="54"/>
      <c r="M109" s="1"/>
    </row>
    <row r="110" spans="2:13" s="258" customFormat="1" ht="20.399999999999999" x14ac:dyDescent="0.3">
      <c r="B110" s="257" t="s">
        <v>101</v>
      </c>
      <c r="C110" s="15" t="s">
        <v>110</v>
      </c>
      <c r="D110" s="16" t="s">
        <v>111</v>
      </c>
      <c r="E110" s="17" t="s">
        <v>81</v>
      </c>
      <c r="F110" s="22">
        <v>0.65</v>
      </c>
      <c r="G110" s="228" t="s">
        <v>795</v>
      </c>
      <c r="H110" s="18">
        <f t="shared" si="8"/>
        <v>16.48</v>
      </c>
      <c r="I110" s="229" t="s">
        <v>796</v>
      </c>
      <c r="J110" s="18">
        <f t="shared" si="9"/>
        <v>17.95</v>
      </c>
      <c r="K110" s="272"/>
      <c r="L110" s="54"/>
      <c r="M110" s="1"/>
    </row>
    <row r="111" spans="2:13" s="258" customFormat="1" ht="20.399999999999999" x14ac:dyDescent="0.3">
      <c r="B111" s="257" t="s">
        <v>101</v>
      </c>
      <c r="C111" s="15" t="s">
        <v>84</v>
      </c>
      <c r="D111" s="16" t="s">
        <v>85</v>
      </c>
      <c r="E111" s="17" t="s">
        <v>81</v>
      </c>
      <c r="F111" s="22">
        <v>0.65</v>
      </c>
      <c r="G111" s="228" t="s">
        <v>797</v>
      </c>
      <c r="H111" s="18">
        <f t="shared" si="8"/>
        <v>13.8</v>
      </c>
      <c r="I111" s="229" t="s">
        <v>446</v>
      </c>
      <c r="J111" s="18">
        <f t="shared" si="9"/>
        <v>14.91</v>
      </c>
      <c r="K111" s="272"/>
      <c r="L111" s="54"/>
      <c r="M111" s="1"/>
    </row>
    <row r="112" spans="2:13" s="258" customFormat="1" x14ac:dyDescent="0.3">
      <c r="B112" s="268"/>
      <c r="C112" s="269"/>
      <c r="D112" s="269"/>
      <c r="E112" s="269"/>
      <c r="F112" s="273"/>
      <c r="G112" s="91" t="s">
        <v>89</v>
      </c>
      <c r="H112" s="19">
        <f>TRUNC(SUM(H103:H111),2)</f>
        <v>74.23</v>
      </c>
      <c r="I112" s="20" t="s">
        <v>89</v>
      </c>
      <c r="J112" s="21">
        <f>TRUNC(SUM(J103:J111),2)</f>
        <v>76.81</v>
      </c>
      <c r="K112" s="274"/>
      <c r="L112" s="54"/>
      <c r="M112" s="1"/>
    </row>
    <row r="113" spans="2:15" s="1" customFormat="1" ht="14.4" customHeight="1" x14ac:dyDescent="0.3">
      <c r="B113" s="240"/>
      <c r="C113" s="240"/>
      <c r="D113" s="240"/>
      <c r="E113" s="240"/>
      <c r="F113" s="240"/>
      <c r="G113" s="241"/>
      <c r="H113" s="241"/>
      <c r="I113" s="241"/>
      <c r="J113" s="241"/>
      <c r="K113" s="103"/>
      <c r="L113" s="54"/>
      <c r="M113" s="147"/>
      <c r="N113" s="147"/>
      <c r="O113" s="54"/>
    </row>
    <row r="114" spans="2:15" s="254" customFormat="1" ht="12.75" customHeight="1" x14ac:dyDescent="0.3">
      <c r="B114" s="568" t="s">
        <v>359</v>
      </c>
      <c r="C114" s="569"/>
      <c r="D114" s="569"/>
      <c r="E114" s="569"/>
      <c r="F114" s="569"/>
      <c r="G114" s="569"/>
      <c r="H114" s="569"/>
      <c r="I114" s="569"/>
      <c r="J114" s="570"/>
      <c r="K114" s="319"/>
      <c r="L114" s="54" t="s">
        <v>612</v>
      </c>
      <c r="M114" s="318"/>
      <c r="N114" s="318"/>
      <c r="O114" s="318"/>
    </row>
    <row r="115" spans="2:15" s="254" customFormat="1" ht="17.25" customHeight="1" x14ac:dyDescent="0.3">
      <c r="B115" s="571"/>
      <c r="C115" s="572"/>
      <c r="D115" s="572"/>
      <c r="E115" s="572"/>
      <c r="F115" s="572"/>
      <c r="G115" s="572"/>
      <c r="H115" s="572"/>
      <c r="I115" s="572"/>
      <c r="J115" s="573"/>
      <c r="K115" s="319"/>
      <c r="L115" s="318"/>
      <c r="M115" s="318"/>
      <c r="N115" s="318"/>
      <c r="O115" s="318"/>
    </row>
    <row r="116" spans="2:15" s="1" customFormat="1" x14ac:dyDescent="0.3">
      <c r="B116" s="623" t="s">
        <v>480</v>
      </c>
      <c r="C116" s="624"/>
      <c r="D116" s="222" t="s">
        <v>121</v>
      </c>
      <c r="E116" s="578" t="s">
        <v>447</v>
      </c>
      <c r="F116" s="578"/>
      <c r="G116" s="578"/>
      <c r="H116" s="578"/>
      <c r="I116" s="578"/>
      <c r="J116" s="579"/>
      <c r="K116" s="104"/>
      <c r="L116" s="54"/>
      <c r="M116" s="54"/>
      <c r="N116" s="54"/>
      <c r="O116" s="54"/>
    </row>
    <row r="117" spans="2:15" s="1" customFormat="1" ht="11.25" customHeight="1" x14ac:dyDescent="0.3">
      <c r="B117" s="625"/>
      <c r="C117" s="626"/>
      <c r="D117" s="630" t="s">
        <v>96</v>
      </c>
      <c r="E117" s="597" t="s">
        <v>350</v>
      </c>
      <c r="F117" s="597"/>
      <c r="G117" s="597"/>
      <c r="H117" s="597"/>
      <c r="I117" s="597"/>
      <c r="J117" s="598"/>
      <c r="K117" s="104"/>
      <c r="L117" s="54"/>
      <c r="M117" s="54"/>
      <c r="N117" s="54"/>
      <c r="O117" s="54"/>
    </row>
    <row r="118" spans="2:15" s="1" customFormat="1" x14ac:dyDescent="0.3">
      <c r="B118" s="625"/>
      <c r="C118" s="626"/>
      <c r="D118" s="630"/>
      <c r="E118" s="597"/>
      <c r="F118" s="597"/>
      <c r="G118" s="599"/>
      <c r="H118" s="599"/>
      <c r="I118" s="599"/>
      <c r="J118" s="600"/>
      <c r="K118" s="104"/>
      <c r="L118" s="54"/>
      <c r="M118" s="54"/>
      <c r="N118" s="54"/>
      <c r="O118" s="54"/>
    </row>
    <row r="119" spans="2:15" s="1" customFormat="1" ht="12.75" customHeight="1" x14ac:dyDescent="0.3">
      <c r="B119" s="625"/>
      <c r="C119" s="626"/>
      <c r="D119" s="223" t="s">
        <v>119</v>
      </c>
      <c r="E119" s="242" t="s">
        <v>86</v>
      </c>
      <c r="F119" s="628" t="s">
        <v>122</v>
      </c>
      <c r="G119" s="589">
        <f>H128</f>
        <v>199.75</v>
      </c>
      <c r="H119" s="589"/>
      <c r="I119" s="590">
        <f>J128</f>
        <v>200.94</v>
      </c>
      <c r="J119" s="590"/>
      <c r="K119" s="104"/>
      <c r="L119" s="54"/>
      <c r="M119" s="54"/>
      <c r="N119" s="54"/>
      <c r="O119" s="54"/>
    </row>
    <row r="120" spans="2:15" s="1" customFormat="1" ht="14.4" customHeight="1" x14ac:dyDescent="0.3">
      <c r="B120" s="625"/>
      <c r="C120" s="626"/>
      <c r="D120" s="223" t="s">
        <v>120</v>
      </c>
      <c r="E120" s="242">
        <v>1</v>
      </c>
      <c r="F120" s="629"/>
      <c r="G120" s="589"/>
      <c r="H120" s="589"/>
      <c r="I120" s="590"/>
      <c r="J120" s="590"/>
      <c r="K120" s="104"/>
      <c r="L120" s="54"/>
      <c r="M120" s="147"/>
      <c r="N120" s="147"/>
      <c r="O120" s="54"/>
    </row>
    <row r="121" spans="2:15" s="6" customFormat="1" x14ac:dyDescent="0.3">
      <c r="B121" s="57"/>
      <c r="C121" s="2"/>
      <c r="D121" s="3"/>
      <c r="E121" s="4"/>
      <c r="F121" s="5"/>
      <c r="G121" s="566" t="s">
        <v>97</v>
      </c>
      <c r="H121" s="566"/>
      <c r="I121" s="567" t="s">
        <v>98</v>
      </c>
      <c r="J121" s="567"/>
      <c r="K121" s="104"/>
      <c r="L121" s="54"/>
      <c r="M121" s="54"/>
      <c r="N121" s="54"/>
      <c r="O121" s="54"/>
    </row>
    <row r="122" spans="2:15" s="14" customFormat="1" ht="20.399999999999999" x14ac:dyDescent="0.3">
      <c r="B122" s="97" t="s">
        <v>74</v>
      </c>
      <c r="C122" s="7" t="s">
        <v>75</v>
      </c>
      <c r="D122" s="8" t="s">
        <v>76</v>
      </c>
      <c r="E122" s="9" t="s">
        <v>73</v>
      </c>
      <c r="F122" s="10" t="s">
        <v>78</v>
      </c>
      <c r="G122" s="90" t="s">
        <v>77</v>
      </c>
      <c r="H122" s="11" t="s">
        <v>79</v>
      </c>
      <c r="I122" s="12" t="s">
        <v>77</v>
      </c>
      <c r="J122" s="13" t="s">
        <v>79</v>
      </c>
      <c r="K122" s="105"/>
      <c r="L122" s="24"/>
      <c r="M122" s="24"/>
      <c r="N122" s="24"/>
      <c r="O122" s="24"/>
    </row>
    <row r="123" spans="2:15" s="1" customFormat="1" ht="20.399999999999999" x14ac:dyDescent="0.3">
      <c r="B123" s="98" t="s">
        <v>99</v>
      </c>
      <c r="C123" s="325" t="s">
        <v>356</v>
      </c>
      <c r="D123" s="16" t="s">
        <v>351</v>
      </c>
      <c r="E123" s="17" t="s">
        <v>86</v>
      </c>
      <c r="F123" s="22" t="s">
        <v>352</v>
      </c>
      <c r="G123" s="228" t="s">
        <v>446</v>
      </c>
      <c r="H123" s="18">
        <f>TRUNC($F123*G123,2)</f>
        <v>45.9</v>
      </c>
      <c r="I123" s="229" t="s">
        <v>446</v>
      </c>
      <c r="J123" s="18">
        <f>TRUNC($F123*I123,2)</f>
        <v>45.9</v>
      </c>
      <c r="K123" s="102"/>
      <c r="L123" s="54"/>
      <c r="M123" s="147"/>
      <c r="N123" s="147"/>
      <c r="O123" s="54"/>
    </row>
    <row r="124" spans="2:15" s="1" customFormat="1" ht="20.399999999999999" x14ac:dyDescent="0.3">
      <c r="B124" s="98" t="s">
        <v>99</v>
      </c>
      <c r="C124" s="15" t="s">
        <v>358</v>
      </c>
      <c r="D124" s="16" t="s">
        <v>357</v>
      </c>
      <c r="E124" s="17" t="s">
        <v>86</v>
      </c>
      <c r="F124" s="22" t="s">
        <v>100</v>
      </c>
      <c r="G124" s="228" t="s">
        <v>813</v>
      </c>
      <c r="H124" s="18">
        <f>TRUNC($F124*G124,2)</f>
        <v>136.62</v>
      </c>
      <c r="I124" s="229" t="s">
        <v>813</v>
      </c>
      <c r="J124" s="18">
        <f>TRUNC($F124*I124,2)</f>
        <v>136.62</v>
      </c>
      <c r="K124" s="102"/>
      <c r="L124" s="54"/>
      <c r="M124" s="147"/>
      <c r="N124" s="147"/>
      <c r="O124" s="54"/>
    </row>
    <row r="125" spans="2:15" s="1" customFormat="1" ht="20.399999999999999" x14ac:dyDescent="0.3">
      <c r="B125" s="98" t="s">
        <v>99</v>
      </c>
      <c r="C125" s="325" t="s">
        <v>341</v>
      </c>
      <c r="D125" s="16" t="s">
        <v>342</v>
      </c>
      <c r="E125" s="17" t="s">
        <v>124</v>
      </c>
      <c r="F125" s="22" t="s">
        <v>353</v>
      </c>
      <c r="G125" s="228" t="s">
        <v>814</v>
      </c>
      <c r="H125" s="18">
        <f>TRUNC($F125*G125,2)</f>
        <v>3.42</v>
      </c>
      <c r="I125" s="229" t="s">
        <v>814</v>
      </c>
      <c r="J125" s="18">
        <f>TRUNC($F125*I125,2)</f>
        <v>3.42</v>
      </c>
      <c r="K125" s="102"/>
      <c r="L125" s="54"/>
      <c r="M125" s="147"/>
      <c r="N125" s="147"/>
      <c r="O125" s="54"/>
    </row>
    <row r="126" spans="2:15" s="1" customFormat="1" ht="20.399999999999999" x14ac:dyDescent="0.2">
      <c r="B126" s="98" t="s">
        <v>101</v>
      </c>
      <c r="C126" s="15" t="s">
        <v>110</v>
      </c>
      <c r="D126" s="16" t="s">
        <v>111</v>
      </c>
      <c r="E126" s="225" t="s">
        <v>81</v>
      </c>
      <c r="F126" s="22" t="s">
        <v>354</v>
      </c>
      <c r="G126" s="228" t="s">
        <v>795</v>
      </c>
      <c r="H126" s="226">
        <f t="shared" ref="H126:H127" si="10">TRUNC($F126*G126,2)</f>
        <v>9.81</v>
      </c>
      <c r="I126" s="229" t="s">
        <v>796</v>
      </c>
      <c r="J126" s="227">
        <f t="shared" ref="J126:J127" si="11">TRUNC($F126*I126,2)</f>
        <v>10.68</v>
      </c>
      <c r="K126" s="102"/>
      <c r="M126" s="224"/>
      <c r="N126" s="224"/>
    </row>
    <row r="127" spans="2:15" s="1" customFormat="1" ht="20.399999999999999" x14ac:dyDescent="0.2">
      <c r="B127" s="98" t="s">
        <v>101</v>
      </c>
      <c r="C127" s="15" t="s">
        <v>84</v>
      </c>
      <c r="D127" s="16" t="s">
        <v>85</v>
      </c>
      <c r="E127" s="225" t="s">
        <v>81</v>
      </c>
      <c r="F127" s="22" t="s">
        <v>355</v>
      </c>
      <c r="G127" s="228" t="s">
        <v>797</v>
      </c>
      <c r="H127" s="226">
        <f t="shared" si="10"/>
        <v>4</v>
      </c>
      <c r="I127" s="229" t="s">
        <v>446</v>
      </c>
      <c r="J127" s="227">
        <f t="shared" si="11"/>
        <v>4.32</v>
      </c>
      <c r="K127" s="102"/>
      <c r="M127" s="224"/>
      <c r="N127" s="224"/>
    </row>
    <row r="128" spans="2:15" s="1" customFormat="1" ht="14.4" customHeight="1" x14ac:dyDescent="0.3">
      <c r="B128" s="99"/>
      <c r="C128" s="100"/>
      <c r="D128" s="100"/>
      <c r="E128" s="100"/>
      <c r="F128" s="101"/>
      <c r="G128" s="91" t="s">
        <v>89</v>
      </c>
      <c r="H128" s="19">
        <f>TRUNC(SUM(H123:H127),2)</f>
        <v>199.75</v>
      </c>
      <c r="I128" s="20" t="s">
        <v>89</v>
      </c>
      <c r="J128" s="21">
        <f>TRUNC(SUM(J123:J127),2)</f>
        <v>200.94</v>
      </c>
      <c r="K128" s="103"/>
      <c r="L128" s="54"/>
      <c r="M128" s="147"/>
      <c r="N128" s="147"/>
      <c r="O128" s="54"/>
    </row>
    <row r="129" spans="2:15" s="1" customFormat="1" ht="14.4" customHeight="1" x14ac:dyDescent="0.3">
      <c r="B129" s="240"/>
      <c r="C129" s="240"/>
      <c r="D129" s="240"/>
      <c r="E129" s="240"/>
      <c r="F129" s="240"/>
      <c r="G129" s="241"/>
      <c r="H129" s="241"/>
      <c r="I129" s="241"/>
      <c r="J129" s="241"/>
      <c r="K129" s="103"/>
      <c r="L129" s="54"/>
      <c r="M129" s="147"/>
      <c r="N129" s="147"/>
      <c r="O129" s="54"/>
    </row>
    <row r="130" spans="2:15" s="258" customFormat="1" ht="12.75" customHeight="1" x14ac:dyDescent="0.3">
      <c r="B130" s="568" t="s">
        <v>550</v>
      </c>
      <c r="C130" s="569"/>
      <c r="D130" s="569"/>
      <c r="E130" s="569"/>
      <c r="F130" s="569"/>
      <c r="G130" s="569"/>
      <c r="H130" s="569"/>
      <c r="I130" s="569"/>
      <c r="J130" s="570"/>
      <c r="K130" s="259"/>
      <c r="L130" s="54" t="s">
        <v>612</v>
      </c>
      <c r="M130" s="1"/>
    </row>
    <row r="131" spans="2:15" s="258" customFormat="1" ht="33" customHeight="1" x14ac:dyDescent="0.3">
      <c r="B131" s="571"/>
      <c r="C131" s="572"/>
      <c r="D131" s="572"/>
      <c r="E131" s="572"/>
      <c r="F131" s="572"/>
      <c r="G131" s="572"/>
      <c r="H131" s="572"/>
      <c r="I131" s="572"/>
      <c r="J131" s="573"/>
      <c r="K131" s="259"/>
      <c r="L131" s="54"/>
      <c r="M131" s="1"/>
    </row>
    <row r="132" spans="2:15" s="258" customFormat="1" x14ac:dyDescent="0.3">
      <c r="B132" s="574" t="s">
        <v>112</v>
      </c>
      <c r="C132" s="575"/>
      <c r="D132" s="255" t="s">
        <v>121</v>
      </c>
      <c r="E132" s="578" t="s">
        <v>824</v>
      </c>
      <c r="F132" s="578"/>
      <c r="G132" s="578"/>
      <c r="H132" s="578"/>
      <c r="I132" s="578"/>
      <c r="J132" s="579"/>
      <c r="K132" s="259"/>
      <c r="L132" s="54"/>
      <c r="M132" s="1"/>
    </row>
    <row r="133" spans="2:15" s="258" customFormat="1" ht="12.75" customHeight="1" x14ac:dyDescent="0.3">
      <c r="B133" s="576"/>
      <c r="C133" s="577"/>
      <c r="D133" s="580" t="s">
        <v>96</v>
      </c>
      <c r="E133" s="582" t="s">
        <v>534</v>
      </c>
      <c r="F133" s="583"/>
      <c r="G133" s="583"/>
      <c r="H133" s="583"/>
      <c r="I133" s="583"/>
      <c r="J133" s="584"/>
      <c r="K133" s="259"/>
      <c r="L133" s="54"/>
      <c r="M133" s="1"/>
    </row>
    <row r="134" spans="2:15" s="258" customFormat="1" ht="36" customHeight="1" x14ac:dyDescent="0.3">
      <c r="B134" s="576"/>
      <c r="C134" s="577"/>
      <c r="D134" s="581"/>
      <c r="E134" s="585"/>
      <c r="F134" s="586"/>
      <c r="G134" s="586"/>
      <c r="H134" s="586"/>
      <c r="I134" s="586"/>
      <c r="J134" s="587"/>
      <c r="K134" s="259"/>
      <c r="L134" s="54"/>
      <c r="M134" s="1"/>
    </row>
    <row r="135" spans="2:15" s="258" customFormat="1" ht="12.75" customHeight="1" x14ac:dyDescent="0.3">
      <c r="B135" s="576"/>
      <c r="C135" s="577"/>
      <c r="D135" s="256" t="s">
        <v>119</v>
      </c>
      <c r="E135" s="242" t="s">
        <v>86</v>
      </c>
      <c r="F135" s="588" t="s">
        <v>122</v>
      </c>
      <c r="G135" s="589">
        <f>H145</f>
        <v>9162.51</v>
      </c>
      <c r="H135" s="589"/>
      <c r="I135" s="590">
        <f>J145</f>
        <v>9162.51</v>
      </c>
      <c r="J135" s="590"/>
      <c r="K135" s="259"/>
      <c r="L135" s="54"/>
      <c r="M135" s="1"/>
    </row>
    <row r="136" spans="2:15" s="258" customFormat="1" ht="12.75" customHeight="1" x14ac:dyDescent="0.3">
      <c r="B136" s="576"/>
      <c r="C136" s="577"/>
      <c r="D136" s="223" t="s">
        <v>120</v>
      </c>
      <c r="E136" s="242">
        <v>1</v>
      </c>
      <c r="F136" s="588"/>
      <c r="G136" s="589"/>
      <c r="H136" s="589"/>
      <c r="I136" s="590"/>
      <c r="J136" s="590"/>
      <c r="K136" s="259"/>
      <c r="L136" s="54"/>
      <c r="M136" s="1"/>
    </row>
    <row r="137" spans="2:15" s="260" customFormat="1" ht="14.25" customHeight="1" x14ac:dyDescent="0.3">
      <c r="B137" s="261"/>
      <c r="C137" s="262"/>
      <c r="D137" s="263"/>
      <c r="E137" s="264"/>
      <c r="F137" s="265"/>
      <c r="G137" s="566" t="s">
        <v>97</v>
      </c>
      <c r="H137" s="566"/>
      <c r="I137" s="567" t="s">
        <v>98</v>
      </c>
      <c r="J137" s="567"/>
      <c r="K137" s="259"/>
      <c r="L137" s="54"/>
      <c r="M137" s="6"/>
    </row>
    <row r="138" spans="2:15" s="266" customFormat="1" ht="20.399999999999999" x14ac:dyDescent="0.3">
      <c r="B138" s="97" t="s">
        <v>74</v>
      </c>
      <c r="C138" s="7" t="s">
        <v>75</v>
      </c>
      <c r="D138" s="8" t="s">
        <v>76</v>
      </c>
      <c r="E138" s="9" t="s">
        <v>73</v>
      </c>
      <c r="F138" s="10" t="s">
        <v>78</v>
      </c>
      <c r="G138" s="90" t="s">
        <v>77</v>
      </c>
      <c r="H138" s="11" t="s">
        <v>79</v>
      </c>
      <c r="I138" s="12" t="s">
        <v>77</v>
      </c>
      <c r="J138" s="13" t="s">
        <v>79</v>
      </c>
      <c r="K138" s="267"/>
      <c r="L138" s="24"/>
      <c r="M138" s="14"/>
    </row>
    <row r="139" spans="2:15" s="258" customFormat="1" ht="20.399999999999999" x14ac:dyDescent="0.3">
      <c r="B139" s="257" t="s">
        <v>99</v>
      </c>
      <c r="C139" s="15" t="s">
        <v>535</v>
      </c>
      <c r="D139" s="16" t="s">
        <v>536</v>
      </c>
      <c r="E139" s="17" t="s">
        <v>86</v>
      </c>
      <c r="F139" s="22">
        <v>1</v>
      </c>
      <c r="G139" s="92" t="s">
        <v>825</v>
      </c>
      <c r="H139" s="18">
        <f t="shared" ref="H139:H144" si="12">TRUNC($F139*G139,2)</f>
        <v>2482.86</v>
      </c>
      <c r="I139" s="23" t="s">
        <v>825</v>
      </c>
      <c r="J139" s="18">
        <f t="shared" ref="J139:J144" si="13">TRUNC($F139*I139,2)</f>
        <v>2482.86</v>
      </c>
      <c r="K139" s="259"/>
      <c r="L139" s="54"/>
      <c r="M139" s="1"/>
    </row>
    <row r="140" spans="2:15" s="258" customFormat="1" ht="30.6" x14ac:dyDescent="0.3">
      <c r="B140" s="257" t="s">
        <v>123</v>
      </c>
      <c r="C140" s="15" t="s">
        <v>537</v>
      </c>
      <c r="D140" s="16" t="s">
        <v>538</v>
      </c>
      <c r="E140" s="17" t="s">
        <v>86</v>
      </c>
      <c r="F140" s="22">
        <v>1</v>
      </c>
      <c r="G140" s="92">
        <v>5745.93</v>
      </c>
      <c r="H140" s="18">
        <f t="shared" si="12"/>
        <v>5745.93</v>
      </c>
      <c r="I140" s="23">
        <v>5745.93</v>
      </c>
      <c r="J140" s="18">
        <f t="shared" si="13"/>
        <v>5745.93</v>
      </c>
      <c r="K140" s="259"/>
      <c r="L140" s="54"/>
      <c r="M140" s="1"/>
    </row>
    <row r="141" spans="2:15" s="258" customFormat="1" ht="20.399999999999999" x14ac:dyDescent="0.3">
      <c r="B141" s="257" t="s">
        <v>99</v>
      </c>
      <c r="C141" s="15" t="s">
        <v>539</v>
      </c>
      <c r="D141" s="16" t="s">
        <v>540</v>
      </c>
      <c r="E141" s="17" t="s">
        <v>80</v>
      </c>
      <c r="F141" s="22">
        <v>2</v>
      </c>
      <c r="G141" s="92" t="s">
        <v>541</v>
      </c>
      <c r="H141" s="18">
        <f t="shared" si="12"/>
        <v>263.38</v>
      </c>
      <c r="I141" s="23" t="s">
        <v>541</v>
      </c>
      <c r="J141" s="18">
        <f t="shared" si="13"/>
        <v>263.38</v>
      </c>
      <c r="K141" s="259"/>
      <c r="L141" s="54"/>
      <c r="M141" s="1"/>
    </row>
    <row r="142" spans="2:15" s="258" customFormat="1" ht="20.399999999999999" x14ac:dyDescent="0.3">
      <c r="B142" s="257" t="s">
        <v>99</v>
      </c>
      <c r="C142" s="15" t="s">
        <v>542</v>
      </c>
      <c r="D142" s="16" t="s">
        <v>543</v>
      </c>
      <c r="E142" s="17" t="s">
        <v>124</v>
      </c>
      <c r="F142" s="22">
        <v>400</v>
      </c>
      <c r="G142" s="92" t="s">
        <v>456</v>
      </c>
      <c r="H142" s="18">
        <f t="shared" si="12"/>
        <v>280</v>
      </c>
      <c r="I142" s="23" t="s">
        <v>456</v>
      </c>
      <c r="J142" s="18">
        <f t="shared" si="13"/>
        <v>280</v>
      </c>
      <c r="K142" s="259"/>
      <c r="L142" s="54"/>
      <c r="M142" s="1"/>
    </row>
    <row r="143" spans="2:15" s="258" customFormat="1" ht="20.399999999999999" x14ac:dyDescent="0.3">
      <c r="B143" s="257" t="s">
        <v>99</v>
      </c>
      <c r="C143" s="15" t="s">
        <v>544</v>
      </c>
      <c r="D143" s="16" t="s">
        <v>545</v>
      </c>
      <c r="E143" s="17" t="s">
        <v>80</v>
      </c>
      <c r="F143" s="22">
        <v>2</v>
      </c>
      <c r="G143" s="92" t="s">
        <v>546</v>
      </c>
      <c r="H143" s="18">
        <f t="shared" si="12"/>
        <v>201.22</v>
      </c>
      <c r="I143" s="23" t="s">
        <v>546</v>
      </c>
      <c r="J143" s="18">
        <f t="shared" si="13"/>
        <v>201.22</v>
      </c>
      <c r="K143" s="259"/>
      <c r="L143" s="54"/>
      <c r="M143" s="1"/>
    </row>
    <row r="144" spans="2:15" s="258" customFormat="1" ht="20.399999999999999" x14ac:dyDescent="0.3">
      <c r="B144" s="257" t="s">
        <v>99</v>
      </c>
      <c r="C144" s="15" t="s">
        <v>547</v>
      </c>
      <c r="D144" s="16" t="s">
        <v>548</v>
      </c>
      <c r="E144" s="17" t="s">
        <v>80</v>
      </c>
      <c r="F144" s="22">
        <v>2</v>
      </c>
      <c r="G144" s="92" t="s">
        <v>549</v>
      </c>
      <c r="H144" s="18">
        <f t="shared" si="12"/>
        <v>189.12</v>
      </c>
      <c r="I144" s="23" t="s">
        <v>549</v>
      </c>
      <c r="J144" s="18">
        <f t="shared" si="13"/>
        <v>189.12</v>
      </c>
      <c r="K144" s="259"/>
      <c r="L144" s="54"/>
      <c r="M144" s="1"/>
    </row>
    <row r="145" spans="1:24" s="258" customFormat="1" x14ac:dyDescent="0.3">
      <c r="B145" s="268"/>
      <c r="C145" s="269"/>
      <c r="D145" s="269"/>
      <c r="E145" s="269"/>
      <c r="F145" s="270"/>
      <c r="G145" s="91" t="s">
        <v>89</v>
      </c>
      <c r="H145" s="19">
        <f>TRUNC(SUM(H139:H144),2)</f>
        <v>9162.51</v>
      </c>
      <c r="I145" s="20" t="s">
        <v>89</v>
      </c>
      <c r="J145" s="21">
        <f>TRUNC(SUM(J139:J144),2)</f>
        <v>9162.51</v>
      </c>
      <c r="K145" s="271"/>
      <c r="L145" s="54"/>
      <c r="M145" s="1"/>
    </row>
    <row r="146" spans="1:24" customFormat="1" ht="14.4" x14ac:dyDescent="0.3">
      <c r="A146" s="331"/>
      <c r="B146" s="331"/>
      <c r="C146" s="331"/>
      <c r="D146" s="331"/>
      <c r="E146" s="331"/>
      <c r="F146" s="332"/>
      <c r="G146" s="332"/>
      <c r="H146" s="332"/>
      <c r="I146" s="332"/>
      <c r="J146" s="332"/>
      <c r="K146" s="331"/>
      <c r="L146" s="333"/>
      <c r="M146" s="334"/>
      <c r="N146" s="334"/>
      <c r="O146" s="335"/>
      <c r="P146" s="331"/>
      <c r="Q146" s="331"/>
      <c r="R146" s="331"/>
      <c r="S146" s="336"/>
      <c r="T146" s="331"/>
      <c r="U146" s="331"/>
      <c r="V146" s="331"/>
      <c r="W146" s="331"/>
      <c r="X146" s="331"/>
    </row>
    <row r="147" spans="1:24" s="1" customFormat="1" ht="12.75" customHeight="1" x14ac:dyDescent="0.3">
      <c r="B147" s="568" t="s">
        <v>431</v>
      </c>
      <c r="C147" s="569"/>
      <c r="D147" s="569"/>
      <c r="E147" s="569"/>
      <c r="F147" s="569"/>
      <c r="G147" s="569"/>
      <c r="H147" s="569"/>
      <c r="I147" s="569"/>
      <c r="J147" s="570"/>
      <c r="K147" s="104"/>
      <c r="L147" s="54" t="s">
        <v>612</v>
      </c>
      <c r="M147" s="54"/>
      <c r="N147" s="54"/>
      <c r="O147" s="54"/>
    </row>
    <row r="148" spans="1:24" s="1" customFormat="1" ht="17.25" customHeight="1" x14ac:dyDescent="0.3">
      <c r="B148" s="571"/>
      <c r="C148" s="572"/>
      <c r="D148" s="572"/>
      <c r="E148" s="572"/>
      <c r="F148" s="572"/>
      <c r="G148" s="572"/>
      <c r="H148" s="572"/>
      <c r="I148" s="572"/>
      <c r="J148" s="573"/>
      <c r="K148" s="104"/>
      <c r="L148" s="54"/>
      <c r="M148" s="54"/>
      <c r="N148" s="54"/>
      <c r="O148" s="54"/>
    </row>
    <row r="149" spans="1:24" s="1" customFormat="1" ht="12.75" customHeight="1" x14ac:dyDescent="0.3">
      <c r="B149" s="623" t="s">
        <v>113</v>
      </c>
      <c r="C149" s="624"/>
      <c r="D149" s="349" t="s">
        <v>121</v>
      </c>
      <c r="E149" s="578" t="s">
        <v>553</v>
      </c>
      <c r="F149" s="578"/>
      <c r="G149" s="578"/>
      <c r="H149" s="578"/>
      <c r="I149" s="578"/>
      <c r="J149" s="579"/>
      <c r="K149" s="104"/>
      <c r="L149" s="54"/>
      <c r="M149" s="54"/>
      <c r="N149" s="54"/>
      <c r="O149" s="54"/>
    </row>
    <row r="150" spans="1:24" s="1" customFormat="1" ht="11.25" customHeight="1" x14ac:dyDescent="0.3">
      <c r="B150" s="625"/>
      <c r="C150" s="626"/>
      <c r="D150" s="627" t="s">
        <v>96</v>
      </c>
      <c r="E150" s="597" t="s">
        <v>432</v>
      </c>
      <c r="F150" s="597"/>
      <c r="G150" s="597"/>
      <c r="H150" s="597"/>
      <c r="I150" s="597"/>
      <c r="J150" s="598"/>
      <c r="K150" s="104"/>
      <c r="L150" s="54"/>
      <c r="M150" s="54"/>
      <c r="N150" s="54"/>
      <c r="O150" s="54"/>
    </row>
    <row r="151" spans="1:24" s="1" customFormat="1" x14ac:dyDescent="0.3">
      <c r="B151" s="625"/>
      <c r="C151" s="626"/>
      <c r="D151" s="627"/>
      <c r="E151" s="597"/>
      <c r="F151" s="597"/>
      <c r="G151" s="599"/>
      <c r="H151" s="599"/>
      <c r="I151" s="599"/>
      <c r="J151" s="600"/>
      <c r="K151" s="104"/>
      <c r="L151" s="54"/>
      <c r="M151" s="54"/>
      <c r="N151" s="54"/>
      <c r="O151" s="54"/>
    </row>
    <row r="152" spans="1:24" s="1" customFormat="1" ht="19.5" customHeight="1" x14ac:dyDescent="0.3">
      <c r="B152" s="625"/>
      <c r="C152" s="626"/>
      <c r="D152" s="627"/>
      <c r="E152" s="597"/>
      <c r="F152" s="597"/>
      <c r="G152" s="599"/>
      <c r="H152" s="599"/>
      <c r="I152" s="599"/>
      <c r="J152" s="600"/>
      <c r="K152" s="104"/>
      <c r="L152" s="54"/>
      <c r="M152" s="54"/>
      <c r="N152" s="54"/>
      <c r="O152" s="54"/>
    </row>
    <row r="153" spans="1:24" s="1" customFormat="1" ht="12.75" customHeight="1" x14ac:dyDescent="0.3">
      <c r="B153" s="625"/>
      <c r="C153" s="626"/>
      <c r="D153" s="350" t="s">
        <v>119</v>
      </c>
      <c r="E153" s="351" t="s">
        <v>86</v>
      </c>
      <c r="F153" s="628" t="s">
        <v>122</v>
      </c>
      <c r="G153" s="589">
        <f>H159</f>
        <v>997.15</v>
      </c>
      <c r="H153" s="589"/>
      <c r="I153" s="590">
        <f>J159</f>
        <v>1008.86</v>
      </c>
      <c r="J153" s="590"/>
      <c r="K153" s="104"/>
      <c r="L153" s="54"/>
      <c r="M153" s="54"/>
      <c r="N153" s="54"/>
      <c r="O153" s="54"/>
    </row>
    <row r="154" spans="1:24" s="1" customFormat="1" ht="14.4" customHeight="1" x14ac:dyDescent="0.3">
      <c r="B154" s="625"/>
      <c r="C154" s="626"/>
      <c r="D154" s="350" t="s">
        <v>120</v>
      </c>
      <c r="E154" s="351">
        <v>1</v>
      </c>
      <c r="F154" s="629"/>
      <c r="G154" s="589"/>
      <c r="H154" s="589"/>
      <c r="I154" s="590"/>
      <c r="J154" s="590"/>
      <c r="K154" s="104"/>
      <c r="L154" s="54"/>
      <c r="M154" s="147"/>
      <c r="N154" s="147"/>
      <c r="O154" s="54"/>
    </row>
    <row r="155" spans="1:24" s="6" customFormat="1" x14ac:dyDescent="0.3">
      <c r="B155" s="57"/>
      <c r="C155" s="2"/>
      <c r="D155" s="3"/>
      <c r="E155" s="4"/>
      <c r="F155" s="5"/>
      <c r="G155" s="566" t="s">
        <v>97</v>
      </c>
      <c r="H155" s="566"/>
      <c r="I155" s="567" t="s">
        <v>98</v>
      </c>
      <c r="J155" s="567"/>
      <c r="K155" s="104"/>
      <c r="L155" s="54"/>
      <c r="M155" s="54"/>
      <c r="N155" s="54"/>
      <c r="O155" s="54"/>
    </row>
    <row r="156" spans="1:24" s="14" customFormat="1" ht="20.399999999999999" x14ac:dyDescent="0.3">
      <c r="B156" s="97" t="s">
        <v>74</v>
      </c>
      <c r="C156" s="7" t="s">
        <v>75</v>
      </c>
      <c r="D156" s="8" t="s">
        <v>76</v>
      </c>
      <c r="E156" s="9" t="s">
        <v>73</v>
      </c>
      <c r="F156" s="10" t="s">
        <v>78</v>
      </c>
      <c r="G156" s="90" t="s">
        <v>77</v>
      </c>
      <c r="H156" s="11" t="s">
        <v>79</v>
      </c>
      <c r="I156" s="12" t="s">
        <v>77</v>
      </c>
      <c r="J156" s="13" t="s">
        <v>79</v>
      </c>
      <c r="K156" s="105"/>
      <c r="L156" s="24"/>
      <c r="M156" s="24"/>
      <c r="N156" s="24"/>
      <c r="O156" s="24"/>
    </row>
    <row r="157" spans="1:24" s="1" customFormat="1" ht="30.6" x14ac:dyDescent="0.3">
      <c r="B157" s="98" t="s">
        <v>101</v>
      </c>
      <c r="C157" s="15" t="s">
        <v>552</v>
      </c>
      <c r="D157" s="16" t="s">
        <v>432</v>
      </c>
      <c r="E157" s="17" t="s">
        <v>92</v>
      </c>
      <c r="F157" s="22">
        <v>1</v>
      </c>
      <c r="G157" s="92" t="s">
        <v>717</v>
      </c>
      <c r="H157" s="18">
        <f>TRUNC($F157*G157,2)</f>
        <v>504.52</v>
      </c>
      <c r="I157" s="23" t="s">
        <v>718</v>
      </c>
      <c r="J157" s="18">
        <f>TRUNC($F157*I157,2)</f>
        <v>516.23</v>
      </c>
      <c r="K157" s="102"/>
      <c r="L157" s="54"/>
      <c r="M157" s="147"/>
      <c r="N157" s="147"/>
      <c r="O157" s="54"/>
    </row>
    <row r="158" spans="1:24" s="1" customFormat="1" ht="20.399999999999999" x14ac:dyDescent="0.3">
      <c r="B158" s="98" t="s">
        <v>99</v>
      </c>
      <c r="C158" s="15" t="s">
        <v>433</v>
      </c>
      <c r="D158" s="16" t="s">
        <v>434</v>
      </c>
      <c r="E158" s="17" t="s">
        <v>92</v>
      </c>
      <c r="F158" s="22">
        <v>1</v>
      </c>
      <c r="G158" s="92" t="s">
        <v>719</v>
      </c>
      <c r="H158" s="18">
        <f>TRUNC($F158*G158,2)</f>
        <v>492.63</v>
      </c>
      <c r="I158" s="23" t="s">
        <v>719</v>
      </c>
      <c r="J158" s="18">
        <f>TRUNC($F158*I158,2)</f>
        <v>492.63</v>
      </c>
      <c r="K158" s="102"/>
      <c r="L158" s="54"/>
      <c r="M158" s="147"/>
      <c r="N158" s="147"/>
      <c r="O158" s="54"/>
    </row>
    <row r="159" spans="1:24" s="1" customFormat="1" ht="14.4" customHeight="1" x14ac:dyDescent="0.3">
      <c r="B159" s="99"/>
      <c r="C159" s="100"/>
      <c r="D159" s="100"/>
      <c r="E159" s="100"/>
      <c r="F159" s="101"/>
      <c r="G159" s="91" t="s">
        <v>89</v>
      </c>
      <c r="H159" s="19">
        <f>TRUNC(SUM(H157:H158),2)</f>
        <v>997.15</v>
      </c>
      <c r="I159" s="20" t="s">
        <v>89</v>
      </c>
      <c r="J159" s="21">
        <f>TRUNC(SUM(J157:J158),2)</f>
        <v>1008.86</v>
      </c>
      <c r="K159" s="103"/>
      <c r="L159" s="54"/>
      <c r="M159" s="147"/>
      <c r="N159" s="147"/>
      <c r="O159" s="54"/>
    </row>
    <row r="644" spans="13:13" x14ac:dyDescent="0.3">
      <c r="M644" s="169" t="e">
        <f>#REF!</f>
        <v>#REF!</v>
      </c>
    </row>
  </sheetData>
  <mergeCells count="92">
    <mergeCell ref="I16:J16"/>
    <mergeCell ref="B2:J2"/>
    <mergeCell ref="B114:J115"/>
    <mergeCell ref="B116:C120"/>
    <mergeCell ref="E116:J116"/>
    <mergeCell ref="D117:D118"/>
    <mergeCell ref="E117:J118"/>
    <mergeCell ref="F119:F120"/>
    <mergeCell ref="G119:H120"/>
    <mergeCell ref="I119:J120"/>
    <mergeCell ref="B76:J77"/>
    <mergeCell ref="B78:C82"/>
    <mergeCell ref="G83:H83"/>
    <mergeCell ref="I83:J83"/>
    <mergeCell ref="B11:C15"/>
    <mergeCell ref="E11:J11"/>
    <mergeCell ref="D12:D13"/>
    <mergeCell ref="G81:H82"/>
    <mergeCell ref="I81:J82"/>
    <mergeCell ref="B9:J10"/>
    <mergeCell ref="E12:J13"/>
    <mergeCell ref="F14:F15"/>
    <mergeCell ref="G14:H15"/>
    <mergeCell ref="I14:J15"/>
    <mergeCell ref="G16:H16"/>
    <mergeCell ref="G31:H31"/>
    <mergeCell ref="I31:J31"/>
    <mergeCell ref="B39:J41"/>
    <mergeCell ref="B42:C47"/>
    <mergeCell ref="E42:J42"/>
    <mergeCell ref="B22:J24"/>
    <mergeCell ref="B25:C30"/>
    <mergeCell ref="F99:F100"/>
    <mergeCell ref="G99:H100"/>
    <mergeCell ref="I99:J100"/>
    <mergeCell ref="G101:H101"/>
    <mergeCell ref="I101:J101"/>
    <mergeCell ref="G155:H155"/>
    <mergeCell ref="I155:J155"/>
    <mergeCell ref="E79:J80"/>
    <mergeCell ref="E78:J78"/>
    <mergeCell ref="D79:D80"/>
    <mergeCell ref="B147:J148"/>
    <mergeCell ref="B149:C154"/>
    <mergeCell ref="E149:J149"/>
    <mergeCell ref="D150:D152"/>
    <mergeCell ref="E150:J152"/>
    <mergeCell ref="F153:F154"/>
    <mergeCell ref="G153:H154"/>
    <mergeCell ref="I153:J154"/>
    <mergeCell ref="G121:H121"/>
    <mergeCell ref="G137:H137"/>
    <mergeCell ref="I137:J137"/>
    <mergeCell ref="E25:J25"/>
    <mergeCell ref="D26:D28"/>
    <mergeCell ref="E26:J28"/>
    <mergeCell ref="F29:F30"/>
    <mergeCell ref="G29:H30"/>
    <mergeCell ref="I29:J30"/>
    <mergeCell ref="D43:D45"/>
    <mergeCell ref="E43:J45"/>
    <mergeCell ref="F46:F47"/>
    <mergeCell ref="G46:H47"/>
    <mergeCell ref="I46:J47"/>
    <mergeCell ref="D97:D98"/>
    <mergeCell ref="G48:H48"/>
    <mergeCell ref="I48:J48"/>
    <mergeCell ref="B59:J60"/>
    <mergeCell ref="B61:C65"/>
    <mergeCell ref="E61:J61"/>
    <mergeCell ref="D62:D63"/>
    <mergeCell ref="E62:J63"/>
    <mergeCell ref="F64:F65"/>
    <mergeCell ref="G64:H65"/>
    <mergeCell ref="I64:J65"/>
    <mergeCell ref="E97:J98"/>
    <mergeCell ref="B6:J6"/>
    <mergeCell ref="G66:H66"/>
    <mergeCell ref="I66:J66"/>
    <mergeCell ref="B130:J131"/>
    <mergeCell ref="B132:C136"/>
    <mergeCell ref="E132:J132"/>
    <mergeCell ref="D133:D134"/>
    <mergeCell ref="E133:J134"/>
    <mergeCell ref="F135:F136"/>
    <mergeCell ref="G135:H136"/>
    <mergeCell ref="I135:J136"/>
    <mergeCell ref="F81:F82"/>
    <mergeCell ref="I121:J121"/>
    <mergeCell ref="B94:J95"/>
    <mergeCell ref="B96:C100"/>
    <mergeCell ref="E96:J96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74" fitToHeight="0" orientation="portrait" r:id="rId1"/>
  <headerFooter>
    <oddHeader>&amp;L&amp;G&amp;R&amp;G</oddHeader>
    <oddFooter>Página &amp;P de &amp;N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797CD-FDC1-4429-9B5E-FB7CE1947A93}">
  <sheetPr>
    <tabColor rgb="FF92D050"/>
    <pageSetUpPr fitToPage="1"/>
  </sheetPr>
  <dimension ref="B1:U29"/>
  <sheetViews>
    <sheetView view="pageBreakPreview" topLeftCell="A16" zoomScaleNormal="100" zoomScaleSheetLayoutView="100" workbookViewId="0">
      <selection activeCell="M10" sqref="M10"/>
    </sheetView>
  </sheetViews>
  <sheetFormatPr defaultRowHeight="13.8" x14ac:dyDescent="0.3"/>
  <cols>
    <col min="1" max="1" width="2.33203125" style="167" customWidth="1"/>
    <col min="2" max="2" width="20.6640625" style="167" customWidth="1"/>
    <col min="3" max="3" width="10.88671875" style="167" customWidth="1"/>
    <col min="4" max="4" width="13.109375" style="167" customWidth="1"/>
    <col min="5" max="5" width="53.33203125" style="167" customWidth="1"/>
    <col min="6" max="7" width="13.88671875" style="167" customWidth="1"/>
    <col min="8" max="8" width="10.5546875" style="167" customWidth="1"/>
    <col min="9" max="9" width="10.77734375" style="167" customWidth="1"/>
    <col min="10" max="10" width="10" style="167" customWidth="1"/>
    <col min="11" max="11" width="2.33203125" style="168" customWidth="1"/>
    <col min="12" max="12" width="9.109375" style="166"/>
    <col min="13" max="255" width="9.109375" style="167"/>
    <col min="256" max="256" width="17.5546875" style="167" customWidth="1"/>
    <col min="257" max="257" width="47.5546875" style="167" customWidth="1"/>
    <col min="258" max="258" width="9.109375" style="167"/>
    <col min="259" max="259" width="10.33203125" style="167" customWidth="1"/>
    <col min="260" max="260" width="11.6640625" style="167" customWidth="1"/>
    <col min="261" max="261" width="15.88671875" style="167" customWidth="1"/>
    <col min="262" max="511" width="9.109375" style="167"/>
    <col min="512" max="512" width="17.5546875" style="167" customWidth="1"/>
    <col min="513" max="513" width="47.5546875" style="167" customWidth="1"/>
    <col min="514" max="514" width="9.109375" style="167"/>
    <col min="515" max="515" width="10.33203125" style="167" customWidth="1"/>
    <col min="516" max="516" width="11.6640625" style="167" customWidth="1"/>
    <col min="517" max="517" width="15.88671875" style="167" customWidth="1"/>
    <col min="518" max="767" width="9.109375" style="167"/>
    <col min="768" max="768" width="17.5546875" style="167" customWidth="1"/>
    <col min="769" max="769" width="47.5546875" style="167" customWidth="1"/>
    <col min="770" max="770" width="9.109375" style="167"/>
    <col min="771" max="771" width="10.33203125" style="167" customWidth="1"/>
    <col min="772" max="772" width="11.6640625" style="167" customWidth="1"/>
    <col min="773" max="773" width="15.88671875" style="167" customWidth="1"/>
    <col min="774" max="1023" width="9.109375" style="167"/>
    <col min="1024" max="1024" width="17.5546875" style="167" customWidth="1"/>
    <col min="1025" max="1025" width="47.5546875" style="167" customWidth="1"/>
    <col min="1026" max="1026" width="9.109375" style="167"/>
    <col min="1027" max="1027" width="10.33203125" style="167" customWidth="1"/>
    <col min="1028" max="1028" width="11.6640625" style="167" customWidth="1"/>
    <col min="1029" max="1029" width="15.88671875" style="167" customWidth="1"/>
    <col min="1030" max="1279" width="9.109375" style="167"/>
    <col min="1280" max="1280" width="17.5546875" style="167" customWidth="1"/>
    <col min="1281" max="1281" width="47.5546875" style="167" customWidth="1"/>
    <col min="1282" max="1282" width="9.109375" style="167"/>
    <col min="1283" max="1283" width="10.33203125" style="167" customWidth="1"/>
    <col min="1284" max="1284" width="11.6640625" style="167" customWidth="1"/>
    <col min="1285" max="1285" width="15.88671875" style="167" customWidth="1"/>
    <col min="1286" max="1535" width="9.109375" style="167"/>
    <col min="1536" max="1536" width="17.5546875" style="167" customWidth="1"/>
    <col min="1537" max="1537" width="47.5546875" style="167" customWidth="1"/>
    <col min="1538" max="1538" width="9.109375" style="167"/>
    <col min="1539" max="1539" width="10.33203125" style="167" customWidth="1"/>
    <col min="1540" max="1540" width="11.6640625" style="167" customWidth="1"/>
    <col min="1541" max="1541" width="15.88671875" style="167" customWidth="1"/>
    <col min="1542" max="1791" width="9.109375" style="167"/>
    <col min="1792" max="1792" width="17.5546875" style="167" customWidth="1"/>
    <col min="1793" max="1793" width="47.5546875" style="167" customWidth="1"/>
    <col min="1794" max="1794" width="9.109375" style="167"/>
    <col min="1795" max="1795" width="10.33203125" style="167" customWidth="1"/>
    <col min="1796" max="1796" width="11.6640625" style="167" customWidth="1"/>
    <col min="1797" max="1797" width="15.88671875" style="167" customWidth="1"/>
    <col min="1798" max="2047" width="9.109375" style="167"/>
    <col min="2048" max="2048" width="17.5546875" style="167" customWidth="1"/>
    <col min="2049" max="2049" width="47.5546875" style="167" customWidth="1"/>
    <col min="2050" max="2050" width="9.109375" style="167"/>
    <col min="2051" max="2051" width="10.33203125" style="167" customWidth="1"/>
    <col min="2052" max="2052" width="11.6640625" style="167" customWidth="1"/>
    <col min="2053" max="2053" width="15.88671875" style="167" customWidth="1"/>
    <col min="2054" max="2303" width="9.109375" style="167"/>
    <col min="2304" max="2304" width="17.5546875" style="167" customWidth="1"/>
    <col min="2305" max="2305" width="47.5546875" style="167" customWidth="1"/>
    <col min="2306" max="2306" width="9.109375" style="167"/>
    <col min="2307" max="2307" width="10.33203125" style="167" customWidth="1"/>
    <col min="2308" max="2308" width="11.6640625" style="167" customWidth="1"/>
    <col min="2309" max="2309" width="15.88671875" style="167" customWidth="1"/>
    <col min="2310" max="2559" width="9.109375" style="167"/>
    <col min="2560" max="2560" width="17.5546875" style="167" customWidth="1"/>
    <col min="2561" max="2561" width="47.5546875" style="167" customWidth="1"/>
    <col min="2562" max="2562" width="9.109375" style="167"/>
    <col min="2563" max="2563" width="10.33203125" style="167" customWidth="1"/>
    <col min="2564" max="2564" width="11.6640625" style="167" customWidth="1"/>
    <col min="2565" max="2565" width="15.88671875" style="167" customWidth="1"/>
    <col min="2566" max="2815" width="9.109375" style="167"/>
    <col min="2816" max="2816" width="17.5546875" style="167" customWidth="1"/>
    <col min="2817" max="2817" width="47.5546875" style="167" customWidth="1"/>
    <col min="2818" max="2818" width="9.109375" style="167"/>
    <col min="2819" max="2819" width="10.33203125" style="167" customWidth="1"/>
    <col min="2820" max="2820" width="11.6640625" style="167" customWidth="1"/>
    <col min="2821" max="2821" width="15.88671875" style="167" customWidth="1"/>
    <col min="2822" max="3071" width="9.109375" style="167"/>
    <col min="3072" max="3072" width="17.5546875" style="167" customWidth="1"/>
    <col min="3073" max="3073" width="47.5546875" style="167" customWidth="1"/>
    <col min="3074" max="3074" width="9.109375" style="167"/>
    <col min="3075" max="3075" width="10.33203125" style="167" customWidth="1"/>
    <col min="3076" max="3076" width="11.6640625" style="167" customWidth="1"/>
    <col min="3077" max="3077" width="15.88671875" style="167" customWidth="1"/>
    <col min="3078" max="3327" width="9.109375" style="167"/>
    <col min="3328" max="3328" width="17.5546875" style="167" customWidth="1"/>
    <col min="3329" max="3329" width="47.5546875" style="167" customWidth="1"/>
    <col min="3330" max="3330" width="9.109375" style="167"/>
    <col min="3331" max="3331" width="10.33203125" style="167" customWidth="1"/>
    <col min="3332" max="3332" width="11.6640625" style="167" customWidth="1"/>
    <col min="3333" max="3333" width="15.88671875" style="167" customWidth="1"/>
    <col min="3334" max="3583" width="9.109375" style="167"/>
    <col min="3584" max="3584" width="17.5546875" style="167" customWidth="1"/>
    <col min="3585" max="3585" width="47.5546875" style="167" customWidth="1"/>
    <col min="3586" max="3586" width="9.109375" style="167"/>
    <col min="3587" max="3587" width="10.33203125" style="167" customWidth="1"/>
    <col min="3588" max="3588" width="11.6640625" style="167" customWidth="1"/>
    <col min="3589" max="3589" width="15.88671875" style="167" customWidth="1"/>
    <col min="3590" max="3839" width="9.109375" style="167"/>
    <col min="3840" max="3840" width="17.5546875" style="167" customWidth="1"/>
    <col min="3841" max="3841" width="47.5546875" style="167" customWidth="1"/>
    <col min="3842" max="3842" width="9.109375" style="167"/>
    <col min="3843" max="3843" width="10.33203125" style="167" customWidth="1"/>
    <col min="3844" max="3844" width="11.6640625" style="167" customWidth="1"/>
    <col min="3845" max="3845" width="15.88671875" style="167" customWidth="1"/>
    <col min="3846" max="4095" width="9.109375" style="167"/>
    <col min="4096" max="4096" width="17.5546875" style="167" customWidth="1"/>
    <col min="4097" max="4097" width="47.5546875" style="167" customWidth="1"/>
    <col min="4098" max="4098" width="9.109375" style="167"/>
    <col min="4099" max="4099" width="10.33203125" style="167" customWidth="1"/>
    <col min="4100" max="4100" width="11.6640625" style="167" customWidth="1"/>
    <col min="4101" max="4101" width="15.88671875" style="167" customWidth="1"/>
    <col min="4102" max="4351" width="9.109375" style="167"/>
    <col min="4352" max="4352" width="17.5546875" style="167" customWidth="1"/>
    <col min="4353" max="4353" width="47.5546875" style="167" customWidth="1"/>
    <col min="4354" max="4354" width="9.109375" style="167"/>
    <col min="4355" max="4355" width="10.33203125" style="167" customWidth="1"/>
    <col min="4356" max="4356" width="11.6640625" style="167" customWidth="1"/>
    <col min="4357" max="4357" width="15.88671875" style="167" customWidth="1"/>
    <col min="4358" max="4607" width="9.109375" style="167"/>
    <col min="4608" max="4608" width="17.5546875" style="167" customWidth="1"/>
    <col min="4609" max="4609" width="47.5546875" style="167" customWidth="1"/>
    <col min="4610" max="4610" width="9.109375" style="167"/>
    <col min="4611" max="4611" width="10.33203125" style="167" customWidth="1"/>
    <col min="4612" max="4612" width="11.6640625" style="167" customWidth="1"/>
    <col min="4613" max="4613" width="15.88671875" style="167" customWidth="1"/>
    <col min="4614" max="4863" width="9.109375" style="167"/>
    <col min="4864" max="4864" width="17.5546875" style="167" customWidth="1"/>
    <col min="4865" max="4865" width="47.5546875" style="167" customWidth="1"/>
    <col min="4866" max="4866" width="9.109375" style="167"/>
    <col min="4867" max="4867" width="10.33203125" style="167" customWidth="1"/>
    <col min="4868" max="4868" width="11.6640625" style="167" customWidth="1"/>
    <col min="4869" max="4869" width="15.88671875" style="167" customWidth="1"/>
    <col min="4870" max="5119" width="9.109375" style="167"/>
    <col min="5120" max="5120" width="17.5546875" style="167" customWidth="1"/>
    <col min="5121" max="5121" width="47.5546875" style="167" customWidth="1"/>
    <col min="5122" max="5122" width="9.109375" style="167"/>
    <col min="5123" max="5123" width="10.33203125" style="167" customWidth="1"/>
    <col min="5124" max="5124" width="11.6640625" style="167" customWidth="1"/>
    <col min="5125" max="5125" width="15.88671875" style="167" customWidth="1"/>
    <col min="5126" max="5375" width="9.109375" style="167"/>
    <col min="5376" max="5376" width="17.5546875" style="167" customWidth="1"/>
    <col min="5377" max="5377" width="47.5546875" style="167" customWidth="1"/>
    <col min="5378" max="5378" width="9.109375" style="167"/>
    <col min="5379" max="5379" width="10.33203125" style="167" customWidth="1"/>
    <col min="5380" max="5380" width="11.6640625" style="167" customWidth="1"/>
    <col min="5381" max="5381" width="15.88671875" style="167" customWidth="1"/>
    <col min="5382" max="5631" width="9.109375" style="167"/>
    <col min="5632" max="5632" width="17.5546875" style="167" customWidth="1"/>
    <col min="5633" max="5633" width="47.5546875" style="167" customWidth="1"/>
    <col min="5634" max="5634" width="9.109375" style="167"/>
    <col min="5635" max="5635" width="10.33203125" style="167" customWidth="1"/>
    <col min="5636" max="5636" width="11.6640625" style="167" customWidth="1"/>
    <col min="5637" max="5637" width="15.88671875" style="167" customWidth="1"/>
    <col min="5638" max="5887" width="9.109375" style="167"/>
    <col min="5888" max="5888" width="17.5546875" style="167" customWidth="1"/>
    <col min="5889" max="5889" width="47.5546875" style="167" customWidth="1"/>
    <col min="5890" max="5890" width="9.109375" style="167"/>
    <col min="5891" max="5891" width="10.33203125" style="167" customWidth="1"/>
    <col min="5892" max="5892" width="11.6640625" style="167" customWidth="1"/>
    <col min="5893" max="5893" width="15.88671875" style="167" customWidth="1"/>
    <col min="5894" max="6143" width="9.109375" style="167"/>
    <col min="6144" max="6144" width="17.5546875" style="167" customWidth="1"/>
    <col min="6145" max="6145" width="47.5546875" style="167" customWidth="1"/>
    <col min="6146" max="6146" width="9.109375" style="167"/>
    <col min="6147" max="6147" width="10.33203125" style="167" customWidth="1"/>
    <col min="6148" max="6148" width="11.6640625" style="167" customWidth="1"/>
    <col min="6149" max="6149" width="15.88671875" style="167" customWidth="1"/>
    <col min="6150" max="6399" width="9.109375" style="167"/>
    <col min="6400" max="6400" width="17.5546875" style="167" customWidth="1"/>
    <col min="6401" max="6401" width="47.5546875" style="167" customWidth="1"/>
    <col min="6402" max="6402" width="9.109375" style="167"/>
    <col min="6403" max="6403" width="10.33203125" style="167" customWidth="1"/>
    <col min="6404" max="6404" width="11.6640625" style="167" customWidth="1"/>
    <col min="6405" max="6405" width="15.88671875" style="167" customWidth="1"/>
    <col min="6406" max="6655" width="9.109375" style="167"/>
    <col min="6656" max="6656" width="17.5546875" style="167" customWidth="1"/>
    <col min="6657" max="6657" width="47.5546875" style="167" customWidth="1"/>
    <col min="6658" max="6658" width="9.109375" style="167"/>
    <col min="6659" max="6659" width="10.33203125" style="167" customWidth="1"/>
    <col min="6660" max="6660" width="11.6640625" style="167" customWidth="1"/>
    <col min="6661" max="6661" width="15.88671875" style="167" customWidth="1"/>
    <col min="6662" max="6911" width="9.109375" style="167"/>
    <col min="6912" max="6912" width="17.5546875" style="167" customWidth="1"/>
    <col min="6913" max="6913" width="47.5546875" style="167" customWidth="1"/>
    <col min="6914" max="6914" width="9.109375" style="167"/>
    <col min="6915" max="6915" width="10.33203125" style="167" customWidth="1"/>
    <col min="6916" max="6916" width="11.6640625" style="167" customWidth="1"/>
    <col min="6917" max="6917" width="15.88671875" style="167" customWidth="1"/>
    <col min="6918" max="7167" width="9.109375" style="167"/>
    <col min="7168" max="7168" width="17.5546875" style="167" customWidth="1"/>
    <col min="7169" max="7169" width="47.5546875" style="167" customWidth="1"/>
    <col min="7170" max="7170" width="9.109375" style="167"/>
    <col min="7171" max="7171" width="10.33203125" style="167" customWidth="1"/>
    <col min="7172" max="7172" width="11.6640625" style="167" customWidth="1"/>
    <col min="7173" max="7173" width="15.88671875" style="167" customWidth="1"/>
    <col min="7174" max="7423" width="9.109375" style="167"/>
    <col min="7424" max="7424" width="17.5546875" style="167" customWidth="1"/>
    <col min="7425" max="7425" width="47.5546875" style="167" customWidth="1"/>
    <col min="7426" max="7426" width="9.109375" style="167"/>
    <col min="7427" max="7427" width="10.33203125" style="167" customWidth="1"/>
    <col min="7428" max="7428" width="11.6640625" style="167" customWidth="1"/>
    <col min="7429" max="7429" width="15.88671875" style="167" customWidth="1"/>
    <col min="7430" max="7679" width="9.109375" style="167"/>
    <col min="7680" max="7680" width="17.5546875" style="167" customWidth="1"/>
    <col min="7681" max="7681" width="47.5546875" style="167" customWidth="1"/>
    <col min="7682" max="7682" width="9.109375" style="167"/>
    <col min="7683" max="7683" width="10.33203125" style="167" customWidth="1"/>
    <col min="7684" max="7684" width="11.6640625" style="167" customWidth="1"/>
    <col min="7685" max="7685" width="15.88671875" style="167" customWidth="1"/>
    <col min="7686" max="7935" width="9.109375" style="167"/>
    <col min="7936" max="7936" width="17.5546875" style="167" customWidth="1"/>
    <col min="7937" max="7937" width="47.5546875" style="167" customWidth="1"/>
    <col min="7938" max="7938" width="9.109375" style="167"/>
    <col min="7939" max="7939" width="10.33203125" style="167" customWidth="1"/>
    <col min="7940" max="7940" width="11.6640625" style="167" customWidth="1"/>
    <col min="7941" max="7941" width="15.88671875" style="167" customWidth="1"/>
    <col min="7942" max="8191" width="9.109375" style="167"/>
    <col min="8192" max="8192" width="17.5546875" style="167" customWidth="1"/>
    <col min="8193" max="8193" width="47.5546875" style="167" customWidth="1"/>
    <col min="8194" max="8194" width="9.109375" style="167"/>
    <col min="8195" max="8195" width="10.33203125" style="167" customWidth="1"/>
    <col min="8196" max="8196" width="11.6640625" style="167" customWidth="1"/>
    <col min="8197" max="8197" width="15.88671875" style="167" customWidth="1"/>
    <col min="8198" max="8447" width="9.109375" style="167"/>
    <col min="8448" max="8448" width="17.5546875" style="167" customWidth="1"/>
    <col min="8449" max="8449" width="47.5546875" style="167" customWidth="1"/>
    <col min="8450" max="8450" width="9.109375" style="167"/>
    <col min="8451" max="8451" width="10.33203125" style="167" customWidth="1"/>
    <col min="8452" max="8452" width="11.6640625" style="167" customWidth="1"/>
    <col min="8453" max="8453" width="15.88671875" style="167" customWidth="1"/>
    <col min="8454" max="8703" width="9.109375" style="167"/>
    <col min="8704" max="8704" width="17.5546875" style="167" customWidth="1"/>
    <col min="8705" max="8705" width="47.5546875" style="167" customWidth="1"/>
    <col min="8706" max="8706" width="9.109375" style="167"/>
    <col min="8707" max="8707" width="10.33203125" style="167" customWidth="1"/>
    <col min="8708" max="8708" width="11.6640625" style="167" customWidth="1"/>
    <col min="8709" max="8709" width="15.88671875" style="167" customWidth="1"/>
    <col min="8710" max="8959" width="9.109375" style="167"/>
    <col min="8960" max="8960" width="17.5546875" style="167" customWidth="1"/>
    <col min="8961" max="8961" width="47.5546875" style="167" customWidth="1"/>
    <col min="8962" max="8962" width="9.109375" style="167"/>
    <col min="8963" max="8963" width="10.33203125" style="167" customWidth="1"/>
    <col min="8964" max="8964" width="11.6640625" style="167" customWidth="1"/>
    <col min="8965" max="8965" width="15.88671875" style="167" customWidth="1"/>
    <col min="8966" max="9215" width="9.109375" style="167"/>
    <col min="9216" max="9216" width="17.5546875" style="167" customWidth="1"/>
    <col min="9217" max="9217" width="47.5546875" style="167" customWidth="1"/>
    <col min="9218" max="9218" width="9.109375" style="167"/>
    <col min="9219" max="9219" width="10.33203125" style="167" customWidth="1"/>
    <col min="9220" max="9220" width="11.6640625" style="167" customWidth="1"/>
    <col min="9221" max="9221" width="15.88671875" style="167" customWidth="1"/>
    <col min="9222" max="9471" width="9.109375" style="167"/>
    <col min="9472" max="9472" width="17.5546875" style="167" customWidth="1"/>
    <col min="9473" max="9473" width="47.5546875" style="167" customWidth="1"/>
    <col min="9474" max="9474" width="9.109375" style="167"/>
    <col min="9475" max="9475" width="10.33203125" style="167" customWidth="1"/>
    <col min="9476" max="9476" width="11.6640625" style="167" customWidth="1"/>
    <col min="9477" max="9477" width="15.88671875" style="167" customWidth="1"/>
    <col min="9478" max="9727" width="9.109375" style="167"/>
    <col min="9728" max="9728" width="17.5546875" style="167" customWidth="1"/>
    <col min="9729" max="9729" width="47.5546875" style="167" customWidth="1"/>
    <col min="9730" max="9730" width="9.109375" style="167"/>
    <col min="9731" max="9731" width="10.33203125" style="167" customWidth="1"/>
    <col min="9732" max="9732" width="11.6640625" style="167" customWidth="1"/>
    <col min="9733" max="9733" width="15.88671875" style="167" customWidth="1"/>
    <col min="9734" max="9983" width="9.109375" style="167"/>
    <col min="9984" max="9984" width="17.5546875" style="167" customWidth="1"/>
    <col min="9985" max="9985" width="47.5546875" style="167" customWidth="1"/>
    <col min="9986" max="9986" width="9.109375" style="167"/>
    <col min="9987" max="9987" width="10.33203125" style="167" customWidth="1"/>
    <col min="9988" max="9988" width="11.6640625" style="167" customWidth="1"/>
    <col min="9989" max="9989" width="15.88671875" style="167" customWidth="1"/>
    <col min="9990" max="10239" width="9.109375" style="167"/>
    <col min="10240" max="10240" width="17.5546875" style="167" customWidth="1"/>
    <col min="10241" max="10241" width="47.5546875" style="167" customWidth="1"/>
    <col min="10242" max="10242" width="9.109375" style="167"/>
    <col min="10243" max="10243" width="10.33203125" style="167" customWidth="1"/>
    <col min="10244" max="10244" width="11.6640625" style="167" customWidth="1"/>
    <col min="10245" max="10245" width="15.88671875" style="167" customWidth="1"/>
    <col min="10246" max="10495" width="9.109375" style="167"/>
    <col min="10496" max="10496" width="17.5546875" style="167" customWidth="1"/>
    <col min="10497" max="10497" width="47.5546875" style="167" customWidth="1"/>
    <col min="10498" max="10498" width="9.109375" style="167"/>
    <col min="10499" max="10499" width="10.33203125" style="167" customWidth="1"/>
    <col min="10500" max="10500" width="11.6640625" style="167" customWidth="1"/>
    <col min="10501" max="10501" width="15.88671875" style="167" customWidth="1"/>
    <col min="10502" max="10751" width="9.109375" style="167"/>
    <col min="10752" max="10752" width="17.5546875" style="167" customWidth="1"/>
    <col min="10753" max="10753" width="47.5546875" style="167" customWidth="1"/>
    <col min="10754" max="10754" width="9.109375" style="167"/>
    <col min="10755" max="10755" width="10.33203125" style="167" customWidth="1"/>
    <col min="10756" max="10756" width="11.6640625" style="167" customWidth="1"/>
    <col min="10757" max="10757" width="15.88671875" style="167" customWidth="1"/>
    <col min="10758" max="11007" width="9.109375" style="167"/>
    <col min="11008" max="11008" width="17.5546875" style="167" customWidth="1"/>
    <col min="11009" max="11009" width="47.5546875" style="167" customWidth="1"/>
    <col min="11010" max="11010" width="9.109375" style="167"/>
    <col min="11011" max="11011" width="10.33203125" style="167" customWidth="1"/>
    <col min="11012" max="11012" width="11.6640625" style="167" customWidth="1"/>
    <col min="11013" max="11013" width="15.88671875" style="167" customWidth="1"/>
    <col min="11014" max="11263" width="9.109375" style="167"/>
    <col min="11264" max="11264" width="17.5546875" style="167" customWidth="1"/>
    <col min="11265" max="11265" width="47.5546875" style="167" customWidth="1"/>
    <col min="11266" max="11266" width="9.109375" style="167"/>
    <col min="11267" max="11267" width="10.33203125" style="167" customWidth="1"/>
    <col min="11268" max="11268" width="11.6640625" style="167" customWidth="1"/>
    <col min="11269" max="11269" width="15.88671875" style="167" customWidth="1"/>
    <col min="11270" max="11519" width="9.109375" style="167"/>
    <col min="11520" max="11520" width="17.5546875" style="167" customWidth="1"/>
    <col min="11521" max="11521" width="47.5546875" style="167" customWidth="1"/>
    <col min="11522" max="11522" width="9.109375" style="167"/>
    <col min="11523" max="11523" width="10.33203125" style="167" customWidth="1"/>
    <col min="11524" max="11524" width="11.6640625" style="167" customWidth="1"/>
    <col min="11525" max="11525" width="15.88671875" style="167" customWidth="1"/>
    <col min="11526" max="11775" width="9.109375" style="167"/>
    <col min="11776" max="11776" width="17.5546875" style="167" customWidth="1"/>
    <col min="11777" max="11777" width="47.5546875" style="167" customWidth="1"/>
    <col min="11778" max="11778" width="9.109375" style="167"/>
    <col min="11779" max="11779" width="10.33203125" style="167" customWidth="1"/>
    <col min="11780" max="11780" width="11.6640625" style="167" customWidth="1"/>
    <col min="11781" max="11781" width="15.88671875" style="167" customWidth="1"/>
    <col min="11782" max="12031" width="9.109375" style="167"/>
    <col min="12032" max="12032" width="17.5546875" style="167" customWidth="1"/>
    <col min="12033" max="12033" width="47.5546875" style="167" customWidth="1"/>
    <col min="12034" max="12034" width="9.109375" style="167"/>
    <col min="12035" max="12035" width="10.33203125" style="167" customWidth="1"/>
    <col min="12036" max="12036" width="11.6640625" style="167" customWidth="1"/>
    <col min="12037" max="12037" width="15.88671875" style="167" customWidth="1"/>
    <col min="12038" max="12287" width="9.109375" style="167"/>
    <col min="12288" max="12288" width="17.5546875" style="167" customWidth="1"/>
    <col min="12289" max="12289" width="47.5546875" style="167" customWidth="1"/>
    <col min="12290" max="12290" width="9.109375" style="167"/>
    <col min="12291" max="12291" width="10.33203125" style="167" customWidth="1"/>
    <col min="12292" max="12292" width="11.6640625" style="167" customWidth="1"/>
    <col min="12293" max="12293" width="15.88671875" style="167" customWidth="1"/>
    <col min="12294" max="12543" width="9.109375" style="167"/>
    <col min="12544" max="12544" width="17.5546875" style="167" customWidth="1"/>
    <col min="12545" max="12545" width="47.5546875" style="167" customWidth="1"/>
    <col min="12546" max="12546" width="9.109375" style="167"/>
    <col min="12547" max="12547" width="10.33203125" style="167" customWidth="1"/>
    <col min="12548" max="12548" width="11.6640625" style="167" customWidth="1"/>
    <col min="12549" max="12549" width="15.88671875" style="167" customWidth="1"/>
    <col min="12550" max="12799" width="9.109375" style="167"/>
    <col min="12800" max="12800" width="17.5546875" style="167" customWidth="1"/>
    <col min="12801" max="12801" width="47.5546875" style="167" customWidth="1"/>
    <col min="12802" max="12802" width="9.109375" style="167"/>
    <col min="12803" max="12803" width="10.33203125" style="167" customWidth="1"/>
    <col min="12804" max="12804" width="11.6640625" style="167" customWidth="1"/>
    <col min="12805" max="12805" width="15.88671875" style="167" customWidth="1"/>
    <col min="12806" max="13055" width="9.109375" style="167"/>
    <col min="13056" max="13056" width="17.5546875" style="167" customWidth="1"/>
    <col min="13057" max="13057" width="47.5546875" style="167" customWidth="1"/>
    <col min="13058" max="13058" width="9.109375" style="167"/>
    <col min="13059" max="13059" width="10.33203125" style="167" customWidth="1"/>
    <col min="13060" max="13060" width="11.6640625" style="167" customWidth="1"/>
    <col min="13061" max="13061" width="15.88671875" style="167" customWidth="1"/>
    <col min="13062" max="13311" width="9.109375" style="167"/>
    <col min="13312" max="13312" width="17.5546875" style="167" customWidth="1"/>
    <col min="13313" max="13313" width="47.5546875" style="167" customWidth="1"/>
    <col min="13314" max="13314" width="9.109375" style="167"/>
    <col min="13315" max="13315" width="10.33203125" style="167" customWidth="1"/>
    <col min="13316" max="13316" width="11.6640625" style="167" customWidth="1"/>
    <col min="13317" max="13317" width="15.88671875" style="167" customWidth="1"/>
    <col min="13318" max="13567" width="9.109375" style="167"/>
    <col min="13568" max="13568" width="17.5546875" style="167" customWidth="1"/>
    <col min="13569" max="13569" width="47.5546875" style="167" customWidth="1"/>
    <col min="13570" max="13570" width="9.109375" style="167"/>
    <col min="13571" max="13571" width="10.33203125" style="167" customWidth="1"/>
    <col min="13572" max="13572" width="11.6640625" style="167" customWidth="1"/>
    <col min="13573" max="13573" width="15.88671875" style="167" customWidth="1"/>
    <col min="13574" max="13823" width="9.109375" style="167"/>
    <col min="13824" max="13824" width="17.5546875" style="167" customWidth="1"/>
    <col min="13825" max="13825" width="47.5546875" style="167" customWidth="1"/>
    <col min="13826" max="13826" width="9.109375" style="167"/>
    <col min="13827" max="13827" width="10.33203125" style="167" customWidth="1"/>
    <col min="13828" max="13828" width="11.6640625" style="167" customWidth="1"/>
    <col min="13829" max="13829" width="15.88671875" style="167" customWidth="1"/>
    <col min="13830" max="14079" width="9.109375" style="167"/>
    <col min="14080" max="14080" width="17.5546875" style="167" customWidth="1"/>
    <col min="14081" max="14081" width="47.5546875" style="167" customWidth="1"/>
    <col min="14082" max="14082" width="9.109375" style="167"/>
    <col min="14083" max="14083" width="10.33203125" style="167" customWidth="1"/>
    <col min="14084" max="14084" width="11.6640625" style="167" customWidth="1"/>
    <col min="14085" max="14085" width="15.88671875" style="167" customWidth="1"/>
    <col min="14086" max="14335" width="9.109375" style="167"/>
    <col min="14336" max="14336" width="17.5546875" style="167" customWidth="1"/>
    <col min="14337" max="14337" width="47.5546875" style="167" customWidth="1"/>
    <col min="14338" max="14338" width="9.109375" style="167"/>
    <col min="14339" max="14339" width="10.33203125" style="167" customWidth="1"/>
    <col min="14340" max="14340" width="11.6640625" style="167" customWidth="1"/>
    <col min="14341" max="14341" width="15.88671875" style="167" customWidth="1"/>
    <col min="14342" max="14591" width="9.109375" style="167"/>
    <col min="14592" max="14592" width="17.5546875" style="167" customWidth="1"/>
    <col min="14593" max="14593" width="47.5546875" style="167" customWidth="1"/>
    <col min="14594" max="14594" width="9.109375" style="167"/>
    <col min="14595" max="14595" width="10.33203125" style="167" customWidth="1"/>
    <col min="14596" max="14596" width="11.6640625" style="167" customWidth="1"/>
    <col min="14597" max="14597" width="15.88671875" style="167" customWidth="1"/>
    <col min="14598" max="14847" width="9.109375" style="167"/>
    <col min="14848" max="14848" width="17.5546875" style="167" customWidth="1"/>
    <col min="14849" max="14849" width="47.5546875" style="167" customWidth="1"/>
    <col min="14850" max="14850" width="9.109375" style="167"/>
    <col min="14851" max="14851" width="10.33203125" style="167" customWidth="1"/>
    <col min="14852" max="14852" width="11.6640625" style="167" customWidth="1"/>
    <col min="14853" max="14853" width="15.88671875" style="167" customWidth="1"/>
    <col min="14854" max="15103" width="9.109375" style="167"/>
    <col min="15104" max="15104" width="17.5546875" style="167" customWidth="1"/>
    <col min="15105" max="15105" width="47.5546875" style="167" customWidth="1"/>
    <col min="15106" max="15106" width="9.109375" style="167"/>
    <col min="15107" max="15107" width="10.33203125" style="167" customWidth="1"/>
    <col min="15108" max="15108" width="11.6640625" style="167" customWidth="1"/>
    <col min="15109" max="15109" width="15.88671875" style="167" customWidth="1"/>
    <col min="15110" max="15359" width="9.109375" style="167"/>
    <col min="15360" max="15360" width="17.5546875" style="167" customWidth="1"/>
    <col min="15361" max="15361" width="47.5546875" style="167" customWidth="1"/>
    <col min="15362" max="15362" width="9.109375" style="167"/>
    <col min="15363" max="15363" width="10.33203125" style="167" customWidth="1"/>
    <col min="15364" max="15364" width="11.6640625" style="167" customWidth="1"/>
    <col min="15365" max="15365" width="15.88671875" style="167" customWidth="1"/>
    <col min="15366" max="15615" width="9.109375" style="167"/>
    <col min="15616" max="15616" width="17.5546875" style="167" customWidth="1"/>
    <col min="15617" max="15617" width="47.5546875" style="167" customWidth="1"/>
    <col min="15618" max="15618" width="9.109375" style="167"/>
    <col min="15619" max="15619" width="10.33203125" style="167" customWidth="1"/>
    <col min="15620" max="15620" width="11.6640625" style="167" customWidth="1"/>
    <col min="15621" max="15621" width="15.88671875" style="167" customWidth="1"/>
    <col min="15622" max="15871" width="9.109375" style="167"/>
    <col min="15872" max="15872" width="17.5546875" style="167" customWidth="1"/>
    <col min="15873" max="15873" width="47.5546875" style="167" customWidth="1"/>
    <col min="15874" max="15874" width="9.109375" style="167"/>
    <col min="15875" max="15875" width="10.33203125" style="167" customWidth="1"/>
    <col min="15876" max="15876" width="11.6640625" style="167" customWidth="1"/>
    <col min="15877" max="15877" width="15.88671875" style="167" customWidth="1"/>
    <col min="15878" max="16127" width="9.109375" style="167"/>
    <col min="16128" max="16128" width="17.5546875" style="167" customWidth="1"/>
    <col min="16129" max="16129" width="47.5546875" style="167" customWidth="1"/>
    <col min="16130" max="16130" width="9.109375" style="167"/>
    <col min="16131" max="16131" width="10.33203125" style="167" customWidth="1"/>
    <col min="16132" max="16132" width="11.6640625" style="167" customWidth="1"/>
    <col min="16133" max="16133" width="15.88671875" style="167" customWidth="1"/>
    <col min="16134" max="16381" width="9.109375" style="167"/>
    <col min="16382" max="16384" width="8.88671875" style="167" customWidth="1"/>
  </cols>
  <sheetData>
    <row r="1" spans="2:21" s="1" customFormat="1" x14ac:dyDescent="0.3"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2:21" s="1" customFormat="1" x14ac:dyDescent="0.3">
      <c r="B2" s="655" t="s">
        <v>465</v>
      </c>
      <c r="C2" s="656"/>
      <c r="D2" s="656"/>
      <c r="E2" s="656"/>
      <c r="F2" s="656"/>
      <c r="G2" s="656"/>
      <c r="H2" s="656"/>
      <c r="I2" s="656"/>
      <c r="J2" s="657"/>
      <c r="K2" s="148"/>
      <c r="L2" s="54"/>
    </row>
    <row r="3" spans="2:21" s="1" customFormat="1" x14ac:dyDescent="0.3"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2:21" s="54" customFormat="1" ht="12.75" customHeight="1" x14ac:dyDescent="0.3">
      <c r="B4" s="52" t="str">
        <f>'(ORÇAMENTO GERAL)'!A6</f>
        <v>OBRA: REFORMA DO AÇOUGUE MUNICIPAL E CONSTRUÇÃO DE 01 GALPÃO PRÉ-FABRICADO DE CONCRETO ARMADO</v>
      </c>
      <c r="C4" s="53"/>
      <c r="D4" s="53"/>
      <c r="E4" s="53"/>
      <c r="F4" s="53"/>
      <c r="G4" s="53"/>
      <c r="H4" s="53"/>
      <c r="I4" s="53"/>
      <c r="J4" s="53"/>
      <c r="M4" s="55"/>
      <c r="N4" s="55"/>
      <c r="O4" s="55"/>
      <c r="P4" s="55"/>
      <c r="Q4" s="55"/>
      <c r="R4" s="55"/>
      <c r="S4" s="55"/>
      <c r="T4" s="55"/>
      <c r="U4" s="55"/>
    </row>
    <row r="5" spans="2:21" s="54" customFormat="1" x14ac:dyDescent="0.3">
      <c r="B5" s="39" t="str">
        <f>'(ORÇAMENTO GERAL)'!A7</f>
        <v>LOCALIZAÇÃO: RUA SÉRGIO AMARO DO NASCIMENTO - JOÃO ALFREDO/PE</v>
      </c>
      <c r="C5" s="89"/>
      <c r="D5" s="89"/>
      <c r="E5" s="89"/>
      <c r="F5" s="89"/>
      <c r="G5" s="89"/>
      <c r="H5" s="89"/>
      <c r="M5" s="56"/>
      <c r="N5" s="56"/>
      <c r="O5" s="56"/>
      <c r="P5" s="56"/>
      <c r="Q5" s="56"/>
      <c r="R5" s="56"/>
      <c r="S5" s="56"/>
      <c r="T5" s="56"/>
      <c r="U5" s="56"/>
    </row>
    <row r="6" spans="2:21" s="54" customFormat="1" x14ac:dyDescent="0.3">
      <c r="B6" s="39" t="str">
        <f>'(ORÇAMENTO GERAL)'!A8</f>
        <v>FONTES DE PREÇOS: SINAPI-PE FEVEREIRO - 2025 / ORSEJANEIRO - 2025 / SEINFRA-CE 028  / SBC - PE / COMPOSIÇÕES / SEM DESONERAÇÃO / BDI = 20,50% / BDI = 11,10%</v>
      </c>
      <c r="C6" s="89"/>
      <c r="D6" s="89"/>
      <c r="E6" s="89"/>
      <c r="F6" s="89"/>
      <c r="G6" s="89"/>
      <c r="H6" s="89"/>
      <c r="M6" s="56"/>
      <c r="N6" s="56"/>
      <c r="O6" s="56"/>
      <c r="P6" s="56"/>
      <c r="Q6" s="56"/>
      <c r="R6" s="56"/>
      <c r="S6" s="56"/>
      <c r="T6" s="56"/>
      <c r="U6" s="56"/>
    </row>
    <row r="7" spans="2:21" s="54" customFormat="1" x14ac:dyDescent="0.3">
      <c r="B7" s="39" t="str">
        <f>'(ORÇAMENTO GERAL)'!A9</f>
        <v>DATA: ABRIL/2025</v>
      </c>
      <c r="C7" s="89"/>
      <c r="D7" s="89"/>
      <c r="E7" s="89"/>
      <c r="F7" s="89"/>
      <c r="G7" s="89"/>
      <c r="H7" s="89"/>
      <c r="M7" s="56"/>
      <c r="N7" s="56"/>
      <c r="O7" s="56"/>
      <c r="P7" s="56"/>
      <c r="Q7" s="56"/>
      <c r="R7" s="56"/>
      <c r="S7" s="56"/>
      <c r="T7" s="56"/>
      <c r="U7" s="56"/>
    </row>
    <row r="8" spans="2:21" s="54" customFormat="1" x14ac:dyDescent="0.3">
      <c r="B8" s="39"/>
      <c r="C8" s="89"/>
      <c r="D8" s="89"/>
      <c r="E8" s="89"/>
      <c r="F8" s="89"/>
      <c r="G8" s="89"/>
      <c r="H8" s="89"/>
      <c r="M8" s="56"/>
      <c r="N8" s="56"/>
      <c r="O8" s="56"/>
      <c r="P8" s="56"/>
      <c r="Q8" s="56"/>
      <c r="R8" s="56"/>
      <c r="S8" s="56"/>
      <c r="T8" s="56"/>
      <c r="U8" s="56"/>
    </row>
    <row r="9" spans="2:21" s="1" customFormat="1" ht="12.75" customHeight="1" x14ac:dyDescent="0.3">
      <c r="B9" s="664" t="s">
        <v>589</v>
      </c>
      <c r="C9" s="658" t="s">
        <v>464</v>
      </c>
      <c r="D9" s="659"/>
      <c r="E9" s="659"/>
      <c r="F9" s="659"/>
      <c r="G9" s="659"/>
      <c r="H9" s="659"/>
      <c r="I9" s="659"/>
      <c r="J9" s="660"/>
      <c r="K9" s="148"/>
      <c r="L9" s="54"/>
    </row>
    <row r="10" spans="2:21" s="1" customFormat="1" ht="15" customHeight="1" x14ac:dyDescent="0.3">
      <c r="B10" s="665"/>
      <c r="C10" s="661"/>
      <c r="D10" s="662"/>
      <c r="E10" s="662"/>
      <c r="F10" s="662"/>
      <c r="G10" s="662"/>
      <c r="H10" s="662"/>
      <c r="I10" s="662"/>
      <c r="J10" s="663"/>
      <c r="K10" s="148"/>
      <c r="L10" s="54"/>
    </row>
    <row r="11" spans="2:21" s="14" customFormat="1" ht="27.6" x14ac:dyDescent="0.3">
      <c r="B11" s="425" t="s">
        <v>565</v>
      </c>
      <c r="C11" s="425" t="s">
        <v>571</v>
      </c>
      <c r="D11" s="425" t="s">
        <v>570</v>
      </c>
      <c r="E11" s="426" t="s">
        <v>310</v>
      </c>
      <c r="F11" s="426" t="s">
        <v>567</v>
      </c>
      <c r="G11" s="426" t="s">
        <v>566</v>
      </c>
      <c r="H11" s="427" t="s">
        <v>568</v>
      </c>
      <c r="I11" s="428" t="s">
        <v>569</v>
      </c>
      <c r="J11" s="426" t="s">
        <v>79</v>
      </c>
      <c r="K11" s="287"/>
      <c r="L11" s="24"/>
    </row>
    <row r="12" spans="2:21" s="1" customFormat="1" ht="96.6" x14ac:dyDescent="0.3">
      <c r="B12" s="435" t="s">
        <v>583</v>
      </c>
      <c r="C12" s="429" t="s">
        <v>584</v>
      </c>
      <c r="D12" s="429" t="s">
        <v>585</v>
      </c>
      <c r="E12" s="430" t="s">
        <v>564</v>
      </c>
      <c r="F12" s="431" t="s">
        <v>88</v>
      </c>
      <c r="G12" s="430" t="s">
        <v>586</v>
      </c>
      <c r="H12" s="431" t="s">
        <v>587</v>
      </c>
      <c r="I12" s="433" t="s">
        <v>588</v>
      </c>
      <c r="J12" s="434">
        <v>527.35</v>
      </c>
      <c r="K12" s="148"/>
      <c r="L12" s="54"/>
    </row>
    <row r="13" spans="2:21" s="1" customFormat="1" ht="124.2" x14ac:dyDescent="0.3">
      <c r="B13" s="435" t="s">
        <v>574</v>
      </c>
      <c r="C13" s="429" t="s">
        <v>578</v>
      </c>
      <c r="D13" s="429" t="s">
        <v>591</v>
      </c>
      <c r="E13" s="430" t="s">
        <v>564</v>
      </c>
      <c r="F13" s="431" t="s">
        <v>88</v>
      </c>
      <c r="G13" s="432" t="s">
        <v>575</v>
      </c>
      <c r="H13" s="431" t="s">
        <v>572</v>
      </c>
      <c r="I13" s="433" t="s">
        <v>573</v>
      </c>
      <c r="J13" s="434">
        <v>412.05</v>
      </c>
      <c r="K13" s="148"/>
      <c r="L13" s="54"/>
      <c r="M13" s="289"/>
      <c r="N13" s="290"/>
    </row>
    <row r="14" spans="2:21" s="1" customFormat="1" ht="151.80000000000001" x14ac:dyDescent="0.3">
      <c r="B14" s="435" t="s">
        <v>582</v>
      </c>
      <c r="C14" s="429" t="s">
        <v>577</v>
      </c>
      <c r="D14" s="429" t="s">
        <v>579</v>
      </c>
      <c r="E14" s="430" t="s">
        <v>564</v>
      </c>
      <c r="F14" s="431" t="s">
        <v>88</v>
      </c>
      <c r="G14" s="432" t="s">
        <v>576</v>
      </c>
      <c r="H14" s="431" t="s">
        <v>580</v>
      </c>
      <c r="I14" s="433" t="s">
        <v>581</v>
      </c>
      <c r="J14" s="434">
        <v>412.05</v>
      </c>
      <c r="K14" s="148"/>
      <c r="L14" s="54"/>
    </row>
    <row r="15" spans="2:21" s="1" customFormat="1" x14ac:dyDescent="0.3">
      <c r="B15" s="666" t="s">
        <v>590</v>
      </c>
      <c r="C15" s="667"/>
      <c r="D15" s="667"/>
      <c r="E15" s="667"/>
      <c r="F15" s="667"/>
      <c r="G15" s="667"/>
      <c r="H15" s="668"/>
      <c r="I15" s="20" t="s">
        <v>89</v>
      </c>
      <c r="J15" s="21">
        <f>AVERAGE(J14)</f>
        <v>412.05</v>
      </c>
      <c r="K15" s="288"/>
      <c r="L15" s="54"/>
      <c r="P15" s="290"/>
    </row>
    <row r="16" spans="2:21" x14ac:dyDescent="0.3">
      <c r="B16" s="436" t="s">
        <v>595</v>
      </c>
    </row>
    <row r="17" spans="2:10" x14ac:dyDescent="0.3">
      <c r="B17" s="436"/>
    </row>
    <row r="18" spans="2:10" x14ac:dyDescent="0.3">
      <c r="B18" s="436" t="s">
        <v>592</v>
      </c>
    </row>
    <row r="20" spans="2:10" ht="25.8" customHeight="1" x14ac:dyDescent="0.3">
      <c r="B20" s="653" t="s">
        <v>593</v>
      </c>
      <c r="C20" s="653"/>
      <c r="D20" s="653"/>
      <c r="E20" s="653"/>
      <c r="F20" s="653"/>
      <c r="G20" s="653"/>
      <c r="H20" s="653"/>
      <c r="I20" s="653"/>
      <c r="J20" s="653"/>
    </row>
    <row r="22" spans="2:10" ht="13.8" customHeight="1" x14ac:dyDescent="0.3">
      <c r="B22" s="654" t="s">
        <v>594</v>
      </c>
      <c r="C22" s="654"/>
      <c r="D22" s="654"/>
      <c r="E22" s="654"/>
      <c r="F22" s="654"/>
      <c r="G22" s="654"/>
      <c r="H22" s="654"/>
      <c r="I22" s="654"/>
      <c r="J22" s="654"/>
    </row>
    <row r="23" spans="2:10" x14ac:dyDescent="0.3">
      <c r="F23" s="54"/>
      <c r="G23" s="54"/>
      <c r="H23" s="355"/>
    </row>
    <row r="24" spans="2:10" x14ac:dyDescent="0.3">
      <c r="F24" s="54"/>
      <c r="G24" s="54"/>
      <c r="H24" s="355"/>
    </row>
    <row r="25" spans="2:10" x14ac:dyDescent="0.3">
      <c r="F25" s="54"/>
      <c r="G25" s="54"/>
      <c r="H25" s="355"/>
    </row>
    <row r="26" spans="2:10" x14ac:dyDescent="0.3">
      <c r="F26" s="54"/>
      <c r="G26" s="54"/>
      <c r="H26" s="355"/>
    </row>
    <row r="27" spans="2:10" x14ac:dyDescent="0.3">
      <c r="F27" s="54"/>
      <c r="G27" s="54"/>
      <c r="H27" s="355"/>
    </row>
    <row r="28" spans="2:10" x14ac:dyDescent="0.3">
      <c r="F28" s="54"/>
      <c r="G28" s="54"/>
      <c r="H28" s="54"/>
    </row>
    <row r="29" spans="2:10" x14ac:dyDescent="0.3">
      <c r="F29" s="54"/>
      <c r="G29" s="54"/>
      <c r="H29" s="355"/>
    </row>
  </sheetData>
  <mergeCells count="6">
    <mergeCell ref="B20:J20"/>
    <mergeCell ref="B22:J22"/>
    <mergeCell ref="B2:J2"/>
    <mergeCell ref="C9:J10"/>
    <mergeCell ref="B9:B10"/>
    <mergeCell ref="B15:H15"/>
  </mergeCells>
  <printOptions horizontalCentered="1"/>
  <pageMargins left="0.59055118110236227" right="0.59055118110236227" top="0.98425196850393704" bottom="0.70866141732283472" header="0.31496062992125984" footer="0.31496062992125984"/>
  <pageSetup paperSize="9" scale="56" fitToHeight="0" orientation="portrait" horizontalDpi="360" verticalDpi="360" r:id="rId1"/>
  <headerFooter>
    <oddHeader>&amp;L&amp;G&amp;R&amp;G</oddHeader>
    <oddFooter>Página &amp;P de &amp;N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AB89A-0E27-40DE-870D-9A6DCBE68E52}">
  <sheetPr>
    <tabColor rgb="FF92D050"/>
    <pageSetUpPr fitToPage="1"/>
  </sheetPr>
  <dimension ref="B1:F61"/>
  <sheetViews>
    <sheetView view="pageBreakPreview" topLeftCell="A10" zoomScaleSheetLayoutView="100" workbookViewId="0">
      <selection activeCell="F31" sqref="F31"/>
    </sheetView>
  </sheetViews>
  <sheetFormatPr defaultColWidth="9.109375" defaultRowHeight="14.4" x14ac:dyDescent="0.3"/>
  <cols>
    <col min="1" max="1" width="1.109375" customWidth="1"/>
    <col min="2" max="2" width="75.6640625" customWidth="1"/>
    <col min="3" max="3" width="13.33203125" style="82" customWidth="1"/>
    <col min="4" max="4" width="14.33203125" style="82" customWidth="1"/>
    <col min="5" max="5" width="11.44140625" customWidth="1"/>
    <col min="6" max="6" width="62.5546875" customWidth="1"/>
  </cols>
  <sheetData>
    <row r="1" spans="2:6" s="58" customFormat="1" ht="6.75" customHeight="1" x14ac:dyDescent="0.3">
      <c r="C1" s="59"/>
      <c r="D1" s="59"/>
    </row>
    <row r="2" spans="2:6" s="58" customFormat="1" ht="18" x14ac:dyDescent="0.35">
      <c r="B2" s="511" t="s">
        <v>322</v>
      </c>
      <c r="C2" s="511"/>
      <c r="D2" s="511"/>
    </row>
    <row r="3" spans="2:6" s="60" customFormat="1" ht="10.199999999999999" x14ac:dyDescent="0.2">
      <c r="B3" s="61"/>
      <c r="C3" s="61"/>
      <c r="D3" s="61"/>
    </row>
    <row r="4" spans="2:6" s="58" customFormat="1" ht="15.6" x14ac:dyDescent="0.3">
      <c r="B4" s="512" t="s">
        <v>323</v>
      </c>
      <c r="C4" s="512"/>
      <c r="D4" s="512"/>
    </row>
    <row r="5" spans="2:6" s="58" customFormat="1" ht="13.8" x14ac:dyDescent="0.3">
      <c r="B5" s="62"/>
      <c r="C5" s="62"/>
      <c r="D5" s="62"/>
    </row>
    <row r="6" spans="2:6" s="54" customFormat="1" ht="15" customHeight="1" x14ac:dyDescent="0.3">
      <c r="B6" s="52" t="str">
        <f>'(ORÇAMENTO GERAL)'!A6</f>
        <v>OBRA: REFORMA DO AÇOUGUE MUNICIPAL E CONSTRUÇÃO DE 01 GALPÃO PRÉ-FABRICADO DE CONCRETO ARMADO</v>
      </c>
      <c r="C6" s="303"/>
      <c r="D6" s="303"/>
    </row>
    <row r="7" spans="2:6" s="54" customFormat="1" ht="15" customHeight="1" x14ac:dyDescent="0.3">
      <c r="B7" s="39" t="str">
        <f>'(ORÇAMENTO GERAL)'!A7</f>
        <v>LOCALIZAÇÃO: RUA SÉRGIO AMARO DO NASCIMENTO - JOÃO ALFREDO/PE</v>
      </c>
      <c r="C7" s="303"/>
      <c r="D7" s="303"/>
    </row>
    <row r="8" spans="2:6" s="54" customFormat="1" ht="15" customHeight="1" x14ac:dyDescent="0.3">
      <c r="B8" s="39" t="str">
        <f>'(ORÇAMENTO GERAL)'!A9</f>
        <v>DATA: ABRIL/2025</v>
      </c>
      <c r="C8" s="304"/>
      <c r="D8" s="304"/>
    </row>
    <row r="9" spans="2:6" s="58" customFormat="1" ht="13.8" x14ac:dyDescent="0.3">
      <c r="B9" s="39"/>
      <c r="C9" s="64"/>
      <c r="D9" s="64"/>
    </row>
    <row r="10" spans="2:6" s="58" customFormat="1" x14ac:dyDescent="0.3">
      <c r="B10" s="65" t="s">
        <v>37</v>
      </c>
      <c r="C10" s="66" t="s">
        <v>38</v>
      </c>
      <c r="D10" s="66" t="s">
        <v>39</v>
      </c>
      <c r="F10" s="67" t="s">
        <v>40</v>
      </c>
    </row>
    <row r="11" spans="2:6" s="58" customFormat="1" x14ac:dyDescent="0.3">
      <c r="B11" s="68"/>
      <c r="C11" s="69"/>
      <c r="D11" s="69"/>
    </row>
    <row r="12" spans="2:6" s="58" customFormat="1" x14ac:dyDescent="0.3">
      <c r="B12" s="70" t="s">
        <v>41</v>
      </c>
      <c r="C12" s="71" t="s">
        <v>42</v>
      </c>
      <c r="D12" s="305">
        <v>0.04</v>
      </c>
      <c r="E12" s="58" t="s">
        <v>324</v>
      </c>
      <c r="F12" s="72" t="s">
        <v>325</v>
      </c>
    </row>
    <row r="13" spans="2:6" s="58" customFormat="1" x14ac:dyDescent="0.3">
      <c r="B13" s="70"/>
      <c r="C13" s="71"/>
      <c r="D13" s="306"/>
    </row>
    <row r="14" spans="2:6" s="58" customFormat="1" x14ac:dyDescent="0.3">
      <c r="B14" s="70" t="s">
        <v>43</v>
      </c>
      <c r="C14" s="71" t="s">
        <v>44</v>
      </c>
      <c r="D14" s="305">
        <v>1.23E-2</v>
      </c>
      <c r="E14" s="58" t="s">
        <v>324</v>
      </c>
      <c r="F14" s="72" t="s">
        <v>326</v>
      </c>
    </row>
    <row r="15" spans="2:6" s="58" customFormat="1" x14ac:dyDescent="0.3">
      <c r="B15" s="70"/>
      <c r="C15" s="71"/>
      <c r="D15" s="307"/>
    </row>
    <row r="16" spans="2:6" s="58" customFormat="1" x14ac:dyDescent="0.3">
      <c r="B16" s="70" t="s">
        <v>45</v>
      </c>
      <c r="C16" s="71" t="s">
        <v>46</v>
      </c>
      <c r="D16" s="305">
        <v>9.7000000000000003E-3</v>
      </c>
      <c r="E16" s="58" t="s">
        <v>324</v>
      </c>
      <c r="F16" s="72" t="s">
        <v>327</v>
      </c>
    </row>
    <row r="17" spans="2:6" s="58" customFormat="1" x14ac:dyDescent="0.3">
      <c r="B17" s="70"/>
      <c r="C17" s="71"/>
      <c r="D17" s="307"/>
    </row>
    <row r="18" spans="2:6" s="58" customFormat="1" x14ac:dyDescent="0.3">
      <c r="B18" s="308" t="s">
        <v>328</v>
      </c>
      <c r="C18" s="309" t="s">
        <v>329</v>
      </c>
      <c r="D18" s="310">
        <v>8.0000000000000002E-3</v>
      </c>
      <c r="E18" s="58" t="s">
        <v>330</v>
      </c>
      <c r="F18" s="311" t="s">
        <v>331</v>
      </c>
    </row>
    <row r="19" spans="2:6" s="58" customFormat="1" x14ac:dyDescent="0.3">
      <c r="B19" s="70"/>
      <c r="C19" s="71"/>
      <c r="D19" s="73"/>
    </row>
    <row r="20" spans="2:6" s="58" customFormat="1" x14ac:dyDescent="0.3">
      <c r="B20" s="70" t="s">
        <v>47</v>
      </c>
      <c r="C20" s="71" t="s">
        <v>47</v>
      </c>
      <c r="D20" s="73">
        <v>0.03</v>
      </c>
    </row>
    <row r="21" spans="2:6" s="58" customFormat="1" x14ac:dyDescent="0.3">
      <c r="B21" s="70" t="s">
        <v>48</v>
      </c>
      <c r="C21" s="71" t="s">
        <v>49</v>
      </c>
      <c r="D21" s="73">
        <v>0.02</v>
      </c>
      <c r="E21" s="74">
        <f>0.05*0.4</f>
        <v>2.0000000000000004E-2</v>
      </c>
    </row>
    <row r="22" spans="2:6" s="58" customFormat="1" x14ac:dyDescent="0.3">
      <c r="B22" s="70" t="s">
        <v>50</v>
      </c>
      <c r="C22" s="71" t="s">
        <v>50</v>
      </c>
      <c r="D22" s="73">
        <v>6.4999999999999997E-3</v>
      </c>
    </row>
    <row r="23" spans="2:6" s="58" customFormat="1" x14ac:dyDescent="0.3">
      <c r="B23" s="70" t="s">
        <v>51</v>
      </c>
      <c r="C23" s="71" t="s">
        <v>52</v>
      </c>
      <c r="D23" s="73">
        <v>0</v>
      </c>
      <c r="E23" s="58" t="s">
        <v>53</v>
      </c>
    </row>
    <row r="24" spans="2:6" s="58" customFormat="1" x14ac:dyDescent="0.3">
      <c r="B24" s="70" t="s">
        <v>332</v>
      </c>
      <c r="C24" s="71" t="s">
        <v>54</v>
      </c>
      <c r="D24" s="305">
        <f>SUM(D20:D23)</f>
        <v>5.6500000000000002E-2</v>
      </c>
    </row>
    <row r="25" spans="2:6" s="58" customFormat="1" x14ac:dyDescent="0.3">
      <c r="B25" s="70"/>
      <c r="C25" s="71"/>
      <c r="D25" s="73"/>
    </row>
    <row r="26" spans="2:6" s="58" customFormat="1" x14ac:dyDescent="0.3">
      <c r="B26" s="70" t="s">
        <v>55</v>
      </c>
      <c r="C26" s="71" t="s">
        <v>56</v>
      </c>
      <c r="D26" s="305">
        <v>6.1800000000000001E-2</v>
      </c>
      <c r="E26" s="58" t="s">
        <v>333</v>
      </c>
      <c r="F26" s="72" t="s">
        <v>334</v>
      </c>
    </row>
    <row r="27" spans="2:6" s="58" customFormat="1" x14ac:dyDescent="0.3">
      <c r="B27" s="68"/>
      <c r="C27" s="69"/>
      <c r="D27" s="312"/>
    </row>
    <row r="28" spans="2:6" s="58" customFormat="1" x14ac:dyDescent="0.3">
      <c r="B28" s="75" t="s">
        <v>57</v>
      </c>
      <c r="C28" s="76"/>
      <c r="D28" s="305">
        <f>ROUND((((1+D12+D18+D16)*(1+D14)*(1+D26))/(1-D24))-1,4)</f>
        <v>0.20499999999999999</v>
      </c>
      <c r="E28" s="313"/>
    </row>
    <row r="29" spans="2:6" s="58" customFormat="1" ht="13.8" x14ac:dyDescent="0.3">
      <c r="C29" s="59"/>
      <c r="D29" s="314"/>
      <c r="F29" s="72" t="s">
        <v>335</v>
      </c>
    </row>
    <row r="30" spans="2:6" s="58" customFormat="1" ht="13.8" x14ac:dyDescent="0.3">
      <c r="C30" s="59"/>
      <c r="D30" s="59"/>
    </row>
    <row r="31" spans="2:6" s="58" customFormat="1" ht="13.8" x14ac:dyDescent="0.3">
      <c r="C31" s="59"/>
      <c r="D31" s="59"/>
    </row>
    <row r="32" spans="2:6" s="58" customFormat="1" ht="15.6" x14ac:dyDescent="0.3">
      <c r="B32" s="77" t="s">
        <v>58</v>
      </c>
      <c r="C32" s="59"/>
      <c r="D32" s="59"/>
    </row>
    <row r="33" spans="2:6" x14ac:dyDescent="0.3">
      <c r="B33" s="78"/>
      <c r="C33" s="79"/>
      <c r="D33" s="80"/>
    </row>
    <row r="34" spans="2:6" x14ac:dyDescent="0.3">
      <c r="B34" s="81"/>
      <c r="D34" s="83"/>
    </row>
    <row r="35" spans="2:6" x14ac:dyDescent="0.3">
      <c r="B35" s="81"/>
      <c r="D35" s="83"/>
    </row>
    <row r="36" spans="2:6" x14ac:dyDescent="0.3">
      <c r="B36" s="81"/>
      <c r="D36" s="83"/>
    </row>
    <row r="37" spans="2:6" x14ac:dyDescent="0.3">
      <c r="B37" s="81"/>
      <c r="D37" s="83"/>
    </row>
    <row r="38" spans="2:6" x14ac:dyDescent="0.3">
      <c r="B38" s="84"/>
      <c r="C38" s="85"/>
      <c r="D38" s="86"/>
    </row>
    <row r="39" spans="2:6" x14ac:dyDescent="0.3">
      <c r="B39" s="87"/>
    </row>
    <row r="40" spans="2:6" x14ac:dyDescent="0.3">
      <c r="B40" s="87" t="s">
        <v>59</v>
      </c>
    </row>
    <row r="41" spans="2:6" s="315" customFormat="1" x14ac:dyDescent="0.3">
      <c r="B41" s="513" t="s">
        <v>60</v>
      </c>
      <c r="C41" s="513"/>
      <c r="D41" s="513"/>
    </row>
    <row r="42" spans="2:6" s="315" customFormat="1" ht="48" customHeight="1" x14ac:dyDescent="0.3">
      <c r="B42" s="514" t="s">
        <v>336</v>
      </c>
      <c r="C42" s="514"/>
      <c r="D42" s="514"/>
    </row>
    <row r="43" spans="2:6" ht="98.25" customHeight="1" x14ac:dyDescent="0.3">
      <c r="B43" s="515" t="s">
        <v>337</v>
      </c>
      <c r="C43" s="515"/>
      <c r="D43" s="515"/>
      <c r="F43" s="88" t="s">
        <v>61</v>
      </c>
    </row>
    <row r="46" spans="2:6" x14ac:dyDescent="0.3">
      <c r="B46" t="s">
        <v>62</v>
      </c>
    </row>
    <row r="47" spans="2:6" ht="135" customHeight="1" x14ac:dyDescent="0.3">
      <c r="B47" s="508" t="s">
        <v>108</v>
      </c>
      <c r="C47" s="509"/>
      <c r="D47" s="510"/>
    </row>
    <row r="59" spans="2:4" s="58" customFormat="1" ht="13.8" x14ac:dyDescent="0.3">
      <c r="C59" s="59"/>
      <c r="D59" s="59"/>
    </row>
    <row r="60" spans="2:4" s="58" customFormat="1" ht="13.8" x14ac:dyDescent="0.3">
      <c r="C60" s="59"/>
      <c r="D60" s="59"/>
    </row>
    <row r="61" spans="2:4" x14ac:dyDescent="0.3">
      <c r="B61" t="s">
        <v>63</v>
      </c>
    </row>
  </sheetData>
  <mergeCells count="6">
    <mergeCell ref="B47:D47"/>
    <mergeCell ref="B2:D2"/>
    <mergeCell ref="B4:D4"/>
    <mergeCell ref="B41:D41"/>
    <mergeCell ref="B42:D42"/>
    <mergeCell ref="B43:D43"/>
  </mergeCells>
  <printOptions horizontalCentered="1"/>
  <pageMargins left="0.59055118110236227" right="0.59055118110236227" top="1.3779527559055118" bottom="0.59055118110236227" header="0.39370078740157483" footer="0.39370078740157483"/>
  <pageSetup paperSize="9" scale="88" fitToHeight="0" orientation="portrait" horizontalDpi="300" verticalDpi="300" r:id="rId1"/>
  <headerFooter>
    <oddHeader>&amp;L&amp;G&amp;R&amp;G</oddHeader>
    <oddFooter>Página &amp;P de &amp;N</oddFoot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Equation.3" shapeId="51201" r:id="rId5">
          <objectPr defaultSize="0" autoPict="0" r:id="rId6">
            <anchor moveWithCells="1" sizeWithCells="1">
              <from>
                <xdr:col>1</xdr:col>
                <xdr:colOff>975360</xdr:colOff>
                <xdr:row>33</xdr:row>
                <xdr:rowOff>0</xdr:rowOff>
              </from>
              <to>
                <xdr:col>2</xdr:col>
                <xdr:colOff>419100</xdr:colOff>
                <xdr:row>37</xdr:row>
                <xdr:rowOff>7620</xdr:rowOff>
              </to>
            </anchor>
          </objectPr>
        </oleObject>
      </mc:Choice>
      <mc:Fallback>
        <oleObject progId="Equation.3" shapeId="51201" r:id="rId5"/>
      </mc:Fallback>
    </mc:AlternateContent>
  </oleObjec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774D2-0030-4C34-90C6-7B8BF0F883D6}">
  <sheetPr>
    <tabColor rgb="FF92D050"/>
  </sheetPr>
  <dimension ref="B1:F62"/>
  <sheetViews>
    <sheetView view="pageBreakPreview" zoomScaleSheetLayoutView="100" workbookViewId="0">
      <selection activeCell="B21" sqref="B21"/>
    </sheetView>
  </sheetViews>
  <sheetFormatPr defaultRowHeight="14.4" x14ac:dyDescent="0.3"/>
  <cols>
    <col min="1" max="1" width="1.109375" customWidth="1"/>
    <col min="2" max="2" width="75.6640625" customWidth="1"/>
    <col min="3" max="3" width="10.109375" style="82" bestFit="1" customWidth="1"/>
    <col min="4" max="4" width="12" style="82" customWidth="1"/>
    <col min="5" max="5" width="8.109375" customWidth="1"/>
    <col min="6" max="6" width="62.44140625" customWidth="1"/>
  </cols>
  <sheetData>
    <row r="1" spans="2:6" s="58" customFormat="1" ht="6.75" customHeight="1" x14ac:dyDescent="0.3">
      <c r="C1" s="59"/>
      <c r="D1" s="59"/>
    </row>
    <row r="2" spans="2:6" s="58" customFormat="1" ht="18" x14ac:dyDescent="0.35">
      <c r="B2" s="511" t="s">
        <v>214</v>
      </c>
      <c r="C2" s="511"/>
      <c r="D2" s="511"/>
    </row>
    <row r="3" spans="2:6" s="60" customFormat="1" ht="10.199999999999999" x14ac:dyDescent="0.2">
      <c r="B3" s="61"/>
      <c r="C3" s="61"/>
      <c r="D3" s="61"/>
    </row>
    <row r="4" spans="2:6" s="58" customFormat="1" ht="15.6" x14ac:dyDescent="0.3">
      <c r="B4" s="512" t="s">
        <v>196</v>
      </c>
      <c r="C4" s="512"/>
      <c r="D4" s="512"/>
    </row>
    <row r="5" spans="2:6" s="58" customFormat="1" ht="13.8" x14ac:dyDescent="0.3">
      <c r="B5" s="62"/>
      <c r="C5" s="62"/>
      <c r="D5" s="62"/>
    </row>
    <row r="6" spans="2:6" s="58" customFormat="1" x14ac:dyDescent="0.3">
      <c r="B6" s="674" t="str">
        <f>'(ORÇAMENTO GERAL)'!A6</f>
        <v>OBRA: REFORMA DO AÇOUGUE MUNICIPAL E CONSTRUÇÃO DE 01 GALPÃO PRÉ-FABRICADO DE CONCRETO ARMADO</v>
      </c>
      <c r="C6" s="674"/>
      <c r="D6" s="674"/>
    </row>
    <row r="7" spans="2:6" s="58" customFormat="1" x14ac:dyDescent="0.3">
      <c r="B7" s="674" t="str">
        <f>'(ORÇAMENTO GERAL)'!A7</f>
        <v>LOCALIZAÇÃO: RUA SÉRGIO AMARO DO NASCIMENTO - JOÃO ALFREDO/PE</v>
      </c>
      <c r="C7" s="674"/>
      <c r="D7" s="674"/>
    </row>
    <row r="8" spans="2:6" s="58" customFormat="1" x14ac:dyDescent="0.3">
      <c r="B8" s="674" t="str">
        <f>'(ORÇAMENTO GERAL)'!A9</f>
        <v>DATA: ABRIL/2025</v>
      </c>
      <c r="C8" s="674"/>
      <c r="D8" s="674"/>
    </row>
    <row r="9" spans="2:6" s="58" customFormat="1" ht="13.8" x14ac:dyDescent="0.3">
      <c r="B9" s="63"/>
      <c r="C9" s="64"/>
      <c r="D9" s="64"/>
    </row>
    <row r="10" spans="2:6" s="58" customFormat="1" ht="22.5" customHeight="1" x14ac:dyDescent="0.3">
      <c r="B10" s="65" t="s">
        <v>37</v>
      </c>
      <c r="C10" s="66" t="s">
        <v>38</v>
      </c>
      <c r="D10" s="66" t="s">
        <v>39</v>
      </c>
      <c r="F10" s="67" t="s">
        <v>40</v>
      </c>
    </row>
    <row r="11" spans="2:6" s="58" customFormat="1" x14ac:dyDescent="0.3">
      <c r="B11" s="68"/>
      <c r="C11" s="69"/>
      <c r="D11" s="69"/>
    </row>
    <row r="12" spans="2:6" s="58" customFormat="1" x14ac:dyDescent="0.3">
      <c r="B12" s="70" t="s">
        <v>41</v>
      </c>
      <c r="C12" s="71" t="s">
        <v>42</v>
      </c>
      <c r="D12" s="235">
        <v>4.2799999999999998E-2</v>
      </c>
      <c r="E12" s="58" t="s">
        <v>197</v>
      </c>
      <c r="F12" s="72" t="s">
        <v>198</v>
      </c>
    </row>
    <row r="13" spans="2:6" s="58" customFormat="1" x14ac:dyDescent="0.3">
      <c r="B13" s="70"/>
      <c r="C13" s="71"/>
      <c r="D13" s="236"/>
    </row>
    <row r="14" spans="2:6" s="58" customFormat="1" x14ac:dyDescent="0.3">
      <c r="B14" s="70" t="s">
        <v>43</v>
      </c>
      <c r="C14" s="71" t="s">
        <v>44</v>
      </c>
      <c r="D14" s="235">
        <v>1.0200000000000001E-2</v>
      </c>
      <c r="E14" s="58" t="s">
        <v>197</v>
      </c>
      <c r="F14" s="72" t="s">
        <v>199</v>
      </c>
    </row>
    <row r="15" spans="2:6" s="58" customFormat="1" x14ac:dyDescent="0.3">
      <c r="B15" s="70"/>
      <c r="C15" s="71"/>
      <c r="D15" s="237"/>
    </row>
    <row r="16" spans="2:6" s="58" customFormat="1" x14ac:dyDescent="0.3">
      <c r="B16" s="70" t="s">
        <v>45</v>
      </c>
      <c r="C16" s="71" t="s">
        <v>46</v>
      </c>
      <c r="D16" s="235">
        <v>5.0000000000000001E-3</v>
      </c>
      <c r="E16" s="58" t="s">
        <v>197</v>
      </c>
      <c r="F16" s="72" t="s">
        <v>200</v>
      </c>
    </row>
    <row r="17" spans="2:6" s="58" customFormat="1" x14ac:dyDescent="0.3">
      <c r="B17" s="70"/>
      <c r="C17" s="71"/>
      <c r="D17" s="237"/>
    </row>
    <row r="18" spans="2:6" s="58" customFormat="1" x14ac:dyDescent="0.3">
      <c r="B18" s="70" t="s">
        <v>201</v>
      </c>
      <c r="C18" s="71" t="s">
        <v>202</v>
      </c>
      <c r="D18" s="235">
        <f>0.32%/2</f>
        <v>1.6000000000000001E-3</v>
      </c>
      <c r="E18" s="58" t="s">
        <v>197</v>
      </c>
      <c r="F18" s="669" t="s">
        <v>203</v>
      </c>
    </row>
    <row r="19" spans="2:6" s="58" customFormat="1" x14ac:dyDescent="0.3">
      <c r="B19" s="70"/>
      <c r="C19" s="71"/>
      <c r="D19" s="237"/>
      <c r="F19" s="670"/>
    </row>
    <row r="20" spans="2:6" s="58" customFormat="1" x14ac:dyDescent="0.3">
      <c r="B20" s="70" t="s">
        <v>204</v>
      </c>
      <c r="C20" s="71" t="s">
        <v>205</v>
      </c>
      <c r="D20" s="235">
        <f>D18</f>
        <v>1.6000000000000001E-3</v>
      </c>
      <c r="E20" s="58" t="s">
        <v>197</v>
      </c>
      <c r="F20" s="671"/>
    </row>
    <row r="21" spans="2:6" s="58" customFormat="1" x14ac:dyDescent="0.3">
      <c r="B21" s="70"/>
      <c r="C21" s="71"/>
      <c r="D21" s="237"/>
    </row>
    <row r="22" spans="2:6" s="58" customFormat="1" x14ac:dyDescent="0.3">
      <c r="B22" s="70" t="s">
        <v>47</v>
      </c>
      <c r="C22" s="71" t="s">
        <v>47</v>
      </c>
      <c r="D22" s="237">
        <v>0.03</v>
      </c>
    </row>
    <row r="23" spans="2:6" s="58" customFormat="1" x14ac:dyDescent="0.3">
      <c r="B23" s="70" t="s">
        <v>48</v>
      </c>
      <c r="C23" s="71" t="s">
        <v>49</v>
      </c>
      <c r="D23" s="237">
        <v>0.02</v>
      </c>
      <c r="E23" s="74">
        <f>0.05*0.4</f>
        <v>2.0000000000000004E-2</v>
      </c>
    </row>
    <row r="24" spans="2:6" s="58" customFormat="1" x14ac:dyDescent="0.3">
      <c r="B24" s="70" t="s">
        <v>50</v>
      </c>
      <c r="C24" s="71" t="s">
        <v>50</v>
      </c>
      <c r="D24" s="237">
        <v>6.4999999999999997E-3</v>
      </c>
    </row>
    <row r="25" spans="2:6" s="58" customFormat="1" hidden="1" x14ac:dyDescent="0.3">
      <c r="B25" s="70" t="s">
        <v>51</v>
      </c>
      <c r="C25" s="71" t="s">
        <v>52</v>
      </c>
      <c r="D25" s="73">
        <v>0</v>
      </c>
      <c r="E25" s="58" t="s">
        <v>53</v>
      </c>
    </row>
    <row r="26" spans="2:6" s="58" customFormat="1" x14ac:dyDescent="0.3">
      <c r="B26" s="70" t="s">
        <v>212</v>
      </c>
      <c r="C26" s="71" t="s">
        <v>54</v>
      </c>
      <c r="D26" s="235">
        <f>SUM(D22:D25)</f>
        <v>5.6500000000000002E-2</v>
      </c>
    </row>
    <row r="27" spans="2:6" s="58" customFormat="1" x14ac:dyDescent="0.3">
      <c r="B27" s="70"/>
      <c r="C27" s="71"/>
      <c r="D27" s="237"/>
    </row>
    <row r="28" spans="2:6" s="58" customFormat="1" x14ac:dyDescent="0.3">
      <c r="B28" s="70" t="s">
        <v>55</v>
      </c>
      <c r="C28" s="71" t="s">
        <v>56</v>
      </c>
      <c r="D28" s="235">
        <v>6.6400000000000001E-2</v>
      </c>
      <c r="E28" s="58" t="s">
        <v>197</v>
      </c>
      <c r="F28" s="72" t="s">
        <v>207</v>
      </c>
    </row>
    <row r="29" spans="2:6" s="58" customFormat="1" x14ac:dyDescent="0.3">
      <c r="B29" s="68"/>
      <c r="C29" s="69"/>
      <c r="D29" s="238"/>
    </row>
    <row r="30" spans="2:6" s="58" customFormat="1" x14ac:dyDescent="0.3">
      <c r="B30" s="75" t="s">
        <v>57</v>
      </c>
      <c r="C30" s="76"/>
      <c r="D30" s="235">
        <f>ROUND((((1+D12+D18+D16+D20)*(1+D14)*(1+D28))/(1-D26))-1,4)</f>
        <v>0.2</v>
      </c>
      <c r="E30" s="58" t="s">
        <v>213</v>
      </c>
    </row>
    <row r="31" spans="2:6" s="58" customFormat="1" ht="13.8" x14ac:dyDescent="0.3">
      <c r="C31" s="59"/>
      <c r="D31" s="59"/>
      <c r="F31" s="72" t="s">
        <v>209</v>
      </c>
    </row>
    <row r="32" spans="2:6" s="58" customFormat="1" ht="13.8" x14ac:dyDescent="0.3">
      <c r="C32" s="59"/>
      <c r="D32" s="59"/>
    </row>
    <row r="33" spans="2:6" s="58" customFormat="1" ht="15.6" x14ac:dyDescent="0.3">
      <c r="B33" s="77" t="s">
        <v>58</v>
      </c>
      <c r="C33" s="59"/>
      <c r="D33" s="59"/>
    </row>
    <row r="34" spans="2:6" x14ac:dyDescent="0.3">
      <c r="B34" s="78"/>
      <c r="C34" s="79"/>
      <c r="D34" s="80"/>
    </row>
    <row r="35" spans="2:6" x14ac:dyDescent="0.3">
      <c r="B35" s="81"/>
      <c r="D35" s="83"/>
    </row>
    <row r="36" spans="2:6" x14ac:dyDescent="0.3">
      <c r="B36" s="81"/>
      <c r="D36" s="83"/>
    </row>
    <row r="37" spans="2:6" x14ac:dyDescent="0.3">
      <c r="B37" s="81"/>
      <c r="D37" s="83"/>
    </row>
    <row r="38" spans="2:6" x14ac:dyDescent="0.3">
      <c r="B38" s="81"/>
      <c r="D38" s="83"/>
    </row>
    <row r="39" spans="2:6" x14ac:dyDescent="0.3">
      <c r="B39" s="84"/>
      <c r="C39" s="85"/>
      <c r="D39" s="86"/>
    </row>
    <row r="40" spans="2:6" x14ac:dyDescent="0.3">
      <c r="B40" s="87"/>
    </row>
    <row r="41" spans="2:6" x14ac:dyDescent="0.3">
      <c r="B41" s="87" t="s">
        <v>59</v>
      </c>
    </row>
    <row r="42" spans="2:6" s="239" customFormat="1" x14ac:dyDescent="0.3">
      <c r="B42" s="672" t="s">
        <v>60</v>
      </c>
      <c r="C42" s="672"/>
      <c r="D42" s="672"/>
    </row>
    <row r="43" spans="2:6" s="239" customFormat="1" ht="50.25" customHeight="1" x14ac:dyDescent="0.3">
      <c r="B43" s="514" t="s">
        <v>210</v>
      </c>
      <c r="C43" s="514"/>
      <c r="D43" s="514"/>
    </row>
    <row r="44" spans="2:6" ht="93" hidden="1" customHeight="1" x14ac:dyDescent="0.3">
      <c r="B44" s="673" t="s">
        <v>211</v>
      </c>
      <c r="C44" s="673"/>
      <c r="D44" s="673"/>
      <c r="F44" s="88" t="s">
        <v>61</v>
      </c>
    </row>
    <row r="47" spans="2:6" x14ac:dyDescent="0.3">
      <c r="B47" t="s">
        <v>62</v>
      </c>
    </row>
    <row r="48" spans="2:6" ht="135" customHeight="1" x14ac:dyDescent="0.3">
      <c r="B48" s="508" t="s">
        <v>108</v>
      </c>
      <c r="C48" s="509"/>
      <c r="D48" s="510"/>
    </row>
    <row r="60" spans="2:4" s="58" customFormat="1" ht="13.8" x14ac:dyDescent="0.3">
      <c r="C60" s="59"/>
      <c r="D60" s="59"/>
    </row>
    <row r="61" spans="2:4" s="58" customFormat="1" ht="13.8" x14ac:dyDescent="0.3">
      <c r="C61" s="59"/>
      <c r="D61" s="59"/>
    </row>
    <row r="62" spans="2:4" x14ac:dyDescent="0.3">
      <c r="B62" t="s">
        <v>63</v>
      </c>
    </row>
  </sheetData>
  <mergeCells count="10">
    <mergeCell ref="B2:D2"/>
    <mergeCell ref="B4:D4"/>
    <mergeCell ref="B6:D6"/>
    <mergeCell ref="B7:D7"/>
    <mergeCell ref="B8:D8"/>
    <mergeCell ref="F18:F20"/>
    <mergeCell ref="B42:D42"/>
    <mergeCell ref="B43:D43"/>
    <mergeCell ref="B44:D44"/>
    <mergeCell ref="B48:D48"/>
  </mergeCells>
  <printOptions horizontalCentered="1"/>
  <pageMargins left="0.59055118110236227" right="0.59055118110236227" top="1.5748031496062993" bottom="0.78740157480314965" header="0.39370078740157483" footer="0.39370078740157483"/>
  <pageSetup paperSize="9" scale="90" orientation="portrait" horizontalDpi="300" verticalDpi="300" r:id="rId1"/>
  <headerFooter>
    <oddHeader>&amp;L&amp;G&amp;R&amp;G</oddHead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Equation.3" shapeId="49153" r:id="rId5">
          <objectPr defaultSize="0" autoPict="0" r:id="rId6">
            <anchor moveWithCells="1" sizeWithCells="1">
              <from>
                <xdr:col>1</xdr:col>
                <xdr:colOff>38100</xdr:colOff>
                <xdr:row>34</xdr:row>
                <xdr:rowOff>0</xdr:rowOff>
              </from>
              <to>
                <xdr:col>1</xdr:col>
                <xdr:colOff>4671060</xdr:colOff>
                <xdr:row>38</xdr:row>
                <xdr:rowOff>7620</xdr:rowOff>
              </to>
            </anchor>
          </objectPr>
        </oleObject>
      </mc:Choice>
      <mc:Fallback>
        <oleObject progId="Equation.3" shapeId="49153" r:id="rId5"/>
      </mc:Fallback>
    </mc:AlternateContent>
  </oleObjec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FBAC8-30A9-4696-A7A1-EE7B0A66EBA3}">
  <sheetPr>
    <tabColor rgb="FF92D050"/>
    <pageSetUpPr fitToPage="1"/>
  </sheetPr>
  <dimension ref="B1:F61"/>
  <sheetViews>
    <sheetView view="pageBreakPreview" zoomScaleSheetLayoutView="100" workbookViewId="0">
      <selection activeCell="D14" sqref="D14"/>
    </sheetView>
  </sheetViews>
  <sheetFormatPr defaultColWidth="9.109375" defaultRowHeight="14.4" x14ac:dyDescent="0.3"/>
  <cols>
    <col min="1" max="1" width="1.109375" customWidth="1"/>
    <col min="2" max="2" width="75.6640625" customWidth="1"/>
    <col min="3" max="3" width="13.33203125" style="82" customWidth="1"/>
    <col min="4" max="4" width="14.33203125" style="82" customWidth="1"/>
    <col min="5" max="5" width="11.44140625" customWidth="1"/>
    <col min="6" max="6" width="62.5546875" customWidth="1"/>
  </cols>
  <sheetData>
    <row r="1" spans="2:6" s="58" customFormat="1" ht="6.75" customHeight="1" x14ac:dyDescent="0.3">
      <c r="C1" s="59"/>
      <c r="D1" s="59"/>
    </row>
    <row r="2" spans="2:6" s="58" customFormat="1" ht="18" x14ac:dyDescent="0.35">
      <c r="B2" s="511" t="s">
        <v>466</v>
      </c>
      <c r="C2" s="511"/>
      <c r="D2" s="511"/>
    </row>
    <row r="3" spans="2:6" s="60" customFormat="1" ht="10.199999999999999" x14ac:dyDescent="0.2">
      <c r="B3" s="61"/>
      <c r="C3" s="61"/>
      <c r="D3" s="61"/>
    </row>
    <row r="4" spans="2:6" s="58" customFormat="1" ht="15.6" x14ac:dyDescent="0.3">
      <c r="B4" s="512" t="s">
        <v>323</v>
      </c>
      <c r="C4" s="512"/>
      <c r="D4" s="512"/>
    </row>
    <row r="5" spans="2:6" s="58" customFormat="1" ht="13.8" x14ac:dyDescent="0.3">
      <c r="B5" s="62"/>
      <c r="C5" s="62"/>
      <c r="D5" s="62"/>
    </row>
    <row r="6" spans="2:6" s="54" customFormat="1" ht="15" customHeight="1" x14ac:dyDescent="0.3">
      <c r="B6" s="52" t="str">
        <f>'(ORÇAMENTO GERAL)'!A6</f>
        <v>OBRA: REFORMA DO AÇOUGUE MUNICIPAL E CONSTRUÇÃO DE 01 GALPÃO PRÉ-FABRICADO DE CONCRETO ARMADO</v>
      </c>
      <c r="C6" s="303"/>
      <c r="D6" s="303"/>
    </row>
    <row r="7" spans="2:6" s="54" customFormat="1" ht="15" customHeight="1" x14ac:dyDescent="0.3">
      <c r="B7" s="39" t="str">
        <f>'(ORÇAMENTO GERAL)'!A7</f>
        <v>LOCALIZAÇÃO: RUA SÉRGIO AMARO DO NASCIMENTO - JOÃO ALFREDO/PE</v>
      </c>
      <c r="C7" s="303"/>
      <c r="D7" s="303"/>
    </row>
    <row r="8" spans="2:6" s="54" customFormat="1" ht="15" customHeight="1" x14ac:dyDescent="0.3">
      <c r="B8" s="39" t="str">
        <f>'(ORÇAMENTO GERAL)'!A9</f>
        <v>DATA: ABRIL/2025</v>
      </c>
      <c r="C8" s="304"/>
      <c r="D8" s="304"/>
    </row>
    <row r="9" spans="2:6" s="58" customFormat="1" ht="13.8" x14ac:dyDescent="0.3">
      <c r="B9" s="39"/>
      <c r="C9" s="64"/>
      <c r="D9" s="64"/>
    </row>
    <row r="10" spans="2:6" s="58" customFormat="1" x14ac:dyDescent="0.3">
      <c r="B10" s="65" t="s">
        <v>37</v>
      </c>
      <c r="C10" s="66" t="s">
        <v>38</v>
      </c>
      <c r="D10" s="66" t="s">
        <v>39</v>
      </c>
      <c r="F10" s="67" t="s">
        <v>40</v>
      </c>
    </row>
    <row r="11" spans="2:6" s="58" customFormat="1" x14ac:dyDescent="0.3">
      <c r="B11" s="68"/>
      <c r="C11" s="69"/>
      <c r="D11" s="69"/>
    </row>
    <row r="12" spans="2:6" s="58" customFormat="1" x14ac:dyDescent="0.3">
      <c r="B12" s="70" t="s">
        <v>41</v>
      </c>
      <c r="C12" s="71" t="s">
        <v>42</v>
      </c>
      <c r="D12" s="305">
        <v>1.4999999999999999E-2</v>
      </c>
      <c r="F12" s="368" t="s">
        <v>467</v>
      </c>
    </row>
    <row r="13" spans="2:6" s="58" customFormat="1" x14ac:dyDescent="0.3">
      <c r="B13" s="70"/>
      <c r="C13" s="71"/>
      <c r="D13" s="306"/>
      <c r="F13" s="63"/>
    </row>
    <row r="14" spans="2:6" s="58" customFormat="1" x14ac:dyDescent="0.3">
      <c r="B14" s="70" t="s">
        <v>43</v>
      </c>
      <c r="C14" s="71" t="s">
        <v>44</v>
      </c>
      <c r="D14" s="305">
        <v>8.5000000000000006E-3</v>
      </c>
      <c r="F14" s="368" t="s">
        <v>468</v>
      </c>
    </row>
    <row r="15" spans="2:6" s="58" customFormat="1" x14ac:dyDescent="0.3">
      <c r="B15" s="70"/>
      <c r="C15" s="71"/>
      <c r="D15" s="307"/>
      <c r="F15" s="63"/>
    </row>
    <row r="16" spans="2:6" s="58" customFormat="1" x14ac:dyDescent="0.3">
      <c r="B16" s="70" t="s">
        <v>45</v>
      </c>
      <c r="C16" s="71" t="s">
        <v>46</v>
      </c>
      <c r="D16" s="305">
        <v>5.5999999999999999E-3</v>
      </c>
      <c r="F16" s="368" t="s">
        <v>469</v>
      </c>
    </row>
    <row r="17" spans="2:6" s="58" customFormat="1" x14ac:dyDescent="0.3">
      <c r="B17" s="70"/>
      <c r="C17" s="71"/>
      <c r="D17" s="307"/>
      <c r="F17" s="63"/>
    </row>
    <row r="18" spans="2:6" s="58" customFormat="1" x14ac:dyDescent="0.3">
      <c r="B18" s="308" t="s">
        <v>328</v>
      </c>
      <c r="C18" s="309" t="s">
        <v>329</v>
      </c>
      <c r="D18" s="310">
        <v>4.8999999999999998E-3</v>
      </c>
      <c r="F18" s="369" t="s">
        <v>470</v>
      </c>
    </row>
    <row r="19" spans="2:6" s="58" customFormat="1" x14ac:dyDescent="0.3">
      <c r="B19" s="70"/>
      <c r="C19" s="71"/>
      <c r="D19" s="73"/>
    </row>
    <row r="20" spans="2:6" s="58" customFormat="1" x14ac:dyDescent="0.3">
      <c r="B20" s="70" t="s">
        <v>47</v>
      </c>
      <c r="C20" s="71" t="s">
        <v>47</v>
      </c>
      <c r="D20" s="73">
        <v>0.03</v>
      </c>
    </row>
    <row r="21" spans="2:6" s="58" customFormat="1" x14ac:dyDescent="0.3">
      <c r="B21" s="70" t="s">
        <v>48</v>
      </c>
      <c r="C21" s="71" t="s">
        <v>49</v>
      </c>
      <c r="D21" s="73">
        <v>0</v>
      </c>
      <c r="E21" s="74">
        <f>0.05*0.4</f>
        <v>2.0000000000000004E-2</v>
      </c>
    </row>
    <row r="22" spans="2:6" s="58" customFormat="1" x14ac:dyDescent="0.3">
      <c r="B22" s="70" t="s">
        <v>50</v>
      </c>
      <c r="C22" s="71" t="s">
        <v>50</v>
      </c>
      <c r="D22" s="73">
        <v>6.4999999999999997E-3</v>
      </c>
    </row>
    <row r="23" spans="2:6" s="58" customFormat="1" x14ac:dyDescent="0.3">
      <c r="B23" s="70" t="s">
        <v>51</v>
      </c>
      <c r="C23" s="71" t="s">
        <v>52</v>
      </c>
      <c r="D23" s="73">
        <v>0</v>
      </c>
      <c r="E23" s="58" t="s">
        <v>53</v>
      </c>
    </row>
    <row r="24" spans="2:6" s="58" customFormat="1" x14ac:dyDescent="0.3">
      <c r="B24" s="70" t="s">
        <v>332</v>
      </c>
      <c r="C24" s="71" t="s">
        <v>54</v>
      </c>
      <c r="D24" s="305">
        <f>SUM(D20:D23)</f>
        <v>3.6499999999999998E-2</v>
      </c>
    </row>
    <row r="25" spans="2:6" s="58" customFormat="1" x14ac:dyDescent="0.3">
      <c r="B25" s="70"/>
      <c r="C25" s="71"/>
      <c r="D25" s="73"/>
    </row>
    <row r="26" spans="2:6" s="58" customFormat="1" x14ac:dyDescent="0.3">
      <c r="B26" s="70" t="s">
        <v>55</v>
      </c>
      <c r="C26" s="71" t="s">
        <v>56</v>
      </c>
      <c r="D26" s="305">
        <v>3.5000000000000003E-2</v>
      </c>
      <c r="F26" s="368" t="s">
        <v>472</v>
      </c>
    </row>
    <row r="27" spans="2:6" s="58" customFormat="1" x14ac:dyDescent="0.3">
      <c r="B27" s="68"/>
      <c r="C27" s="69"/>
      <c r="D27" s="312"/>
    </row>
    <row r="28" spans="2:6" s="58" customFormat="1" x14ac:dyDescent="0.3">
      <c r="B28" s="75" t="s">
        <v>57</v>
      </c>
      <c r="C28" s="76"/>
      <c r="D28" s="305">
        <f>ROUND((((1+D12+D18+D16)*(1+D14)*(1+D26))/(1-D24))-1,4)</f>
        <v>0.111</v>
      </c>
      <c r="E28" s="313"/>
    </row>
    <row r="29" spans="2:6" s="58" customFormat="1" ht="13.8" x14ac:dyDescent="0.3">
      <c r="C29" s="59"/>
      <c r="D29" s="314"/>
      <c r="F29" s="368" t="s">
        <v>471</v>
      </c>
    </row>
    <row r="30" spans="2:6" s="58" customFormat="1" ht="13.8" x14ac:dyDescent="0.3">
      <c r="C30" s="59"/>
      <c r="D30" s="59"/>
    </row>
    <row r="31" spans="2:6" s="58" customFormat="1" ht="13.8" x14ac:dyDescent="0.3">
      <c r="C31" s="59"/>
      <c r="D31" s="59"/>
    </row>
    <row r="32" spans="2:6" s="58" customFormat="1" ht="15.6" x14ac:dyDescent="0.3">
      <c r="B32" s="77" t="s">
        <v>58</v>
      </c>
      <c r="C32" s="59"/>
      <c r="D32" s="59"/>
    </row>
    <row r="33" spans="2:6" x14ac:dyDescent="0.3">
      <c r="B33" s="78"/>
      <c r="C33" s="79"/>
      <c r="D33" s="80"/>
    </row>
    <row r="34" spans="2:6" x14ac:dyDescent="0.3">
      <c r="B34" s="81"/>
      <c r="D34" s="83"/>
    </row>
    <row r="35" spans="2:6" x14ac:dyDescent="0.3">
      <c r="B35" s="81"/>
      <c r="D35" s="83"/>
    </row>
    <row r="36" spans="2:6" x14ac:dyDescent="0.3">
      <c r="B36" s="81"/>
      <c r="D36" s="83"/>
    </row>
    <row r="37" spans="2:6" x14ac:dyDescent="0.3">
      <c r="B37" s="81"/>
      <c r="D37" s="83"/>
    </row>
    <row r="38" spans="2:6" x14ac:dyDescent="0.3">
      <c r="B38" s="84"/>
      <c r="C38" s="85"/>
      <c r="D38" s="86"/>
    </row>
    <row r="39" spans="2:6" x14ac:dyDescent="0.3">
      <c r="B39" s="87"/>
    </row>
    <row r="40" spans="2:6" x14ac:dyDescent="0.3">
      <c r="B40" s="87" t="s">
        <v>59</v>
      </c>
    </row>
    <row r="41" spans="2:6" s="315" customFormat="1" x14ac:dyDescent="0.3">
      <c r="B41" s="513" t="s">
        <v>60</v>
      </c>
      <c r="C41" s="513"/>
      <c r="D41" s="513"/>
    </row>
    <row r="42" spans="2:6" s="315" customFormat="1" ht="48" customHeight="1" x14ac:dyDescent="0.3">
      <c r="B42" s="514" t="s">
        <v>336</v>
      </c>
      <c r="C42" s="514"/>
      <c r="D42" s="514"/>
    </row>
    <row r="43" spans="2:6" ht="98.25" customHeight="1" x14ac:dyDescent="0.3">
      <c r="B43" s="515" t="s">
        <v>337</v>
      </c>
      <c r="C43" s="515"/>
      <c r="D43" s="515"/>
      <c r="F43" s="88" t="s">
        <v>61</v>
      </c>
    </row>
    <row r="46" spans="2:6" x14ac:dyDescent="0.3">
      <c r="B46" t="s">
        <v>62</v>
      </c>
    </row>
    <row r="47" spans="2:6" ht="135" customHeight="1" x14ac:dyDescent="0.3">
      <c r="B47" s="508" t="s">
        <v>108</v>
      </c>
      <c r="C47" s="509"/>
      <c r="D47" s="510"/>
    </row>
    <row r="59" spans="2:4" s="58" customFormat="1" ht="13.8" x14ac:dyDescent="0.3">
      <c r="C59" s="59"/>
      <c r="D59" s="59"/>
    </row>
    <row r="60" spans="2:4" s="58" customFormat="1" ht="13.8" x14ac:dyDescent="0.3">
      <c r="C60" s="59"/>
      <c r="D60" s="59"/>
    </row>
    <row r="61" spans="2:4" x14ac:dyDescent="0.3">
      <c r="B61" t="s">
        <v>63</v>
      </c>
    </row>
  </sheetData>
  <mergeCells count="6">
    <mergeCell ref="B47:D47"/>
    <mergeCell ref="B2:D2"/>
    <mergeCell ref="B4:D4"/>
    <mergeCell ref="B41:D41"/>
    <mergeCell ref="B42:D42"/>
    <mergeCell ref="B43:D43"/>
  </mergeCells>
  <printOptions horizontalCentered="1"/>
  <pageMargins left="0.59055118110236227" right="0.59055118110236227" top="1.3779527559055118" bottom="0.59055118110236227" header="0.39370078740157483" footer="0.39370078740157483"/>
  <pageSetup paperSize="9" scale="88" fitToHeight="0" orientation="portrait" horizontalDpi="300" verticalDpi="300" r:id="rId1"/>
  <headerFooter>
    <oddHeader>&amp;L&amp;G&amp;R&amp;G</oddHeader>
    <oddFooter>Página &amp;P de &amp;N</oddFoot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Equation.3" shapeId="63489" r:id="rId5">
          <objectPr defaultSize="0" autoPict="0" r:id="rId6">
            <anchor moveWithCells="1" sizeWithCells="1">
              <from>
                <xdr:col>1</xdr:col>
                <xdr:colOff>975360</xdr:colOff>
                <xdr:row>33</xdr:row>
                <xdr:rowOff>0</xdr:rowOff>
              </from>
              <to>
                <xdr:col>2</xdr:col>
                <xdr:colOff>419100</xdr:colOff>
                <xdr:row>37</xdr:row>
                <xdr:rowOff>7620</xdr:rowOff>
              </to>
            </anchor>
          </objectPr>
        </oleObject>
      </mc:Choice>
      <mc:Fallback>
        <oleObject progId="Equation.3" shapeId="63489" r:id="rId5"/>
      </mc:Fallback>
    </mc:AlternateContent>
  </oleObjec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  <pageSetUpPr fitToPage="1"/>
  </sheetPr>
  <dimension ref="A1:H21"/>
  <sheetViews>
    <sheetView tabSelected="1" view="pageBreakPreview" zoomScaleSheetLayoutView="100" workbookViewId="0">
      <selection activeCell="C19" sqref="C19"/>
    </sheetView>
  </sheetViews>
  <sheetFormatPr defaultColWidth="9.109375" defaultRowHeight="14.4" x14ac:dyDescent="0.3"/>
  <cols>
    <col min="1" max="1" width="31.88671875" style="129" customWidth="1"/>
    <col min="2" max="2" width="16.5546875" style="128" customWidth="1"/>
    <col min="3" max="3" width="39" style="128" customWidth="1"/>
    <col min="4" max="4" width="30.44140625" style="107" customWidth="1"/>
    <col min="5" max="16384" width="9.109375" style="107"/>
  </cols>
  <sheetData>
    <row r="1" spans="1:8" ht="18" x14ac:dyDescent="0.35">
      <c r="A1" s="675" t="s">
        <v>65</v>
      </c>
      <c r="B1" s="676"/>
      <c r="C1" s="676"/>
      <c r="D1" s="676"/>
    </row>
    <row r="2" spans="1:8" ht="15.6" x14ac:dyDescent="0.3">
      <c r="A2" s="677" t="s">
        <v>117</v>
      </c>
      <c r="B2" s="677"/>
      <c r="C2" s="677"/>
      <c r="D2" s="677"/>
    </row>
    <row r="3" spans="1:8" x14ac:dyDescent="0.3">
      <c r="A3" s="108"/>
      <c r="B3" s="109"/>
      <c r="C3" s="109"/>
      <c r="D3" s="109"/>
    </row>
    <row r="4" spans="1:8" x14ac:dyDescent="0.3">
      <c r="A4" s="131" t="str">
        <f>'(ORÇAMENTO GERAL)'!A6</f>
        <v>OBRA: REFORMA DO AÇOUGUE MUNICIPAL E CONSTRUÇÃO DE 01 GALPÃO PRÉ-FABRICADO DE CONCRETO ARMADO</v>
      </c>
      <c r="B4" s="131"/>
      <c r="C4" s="131"/>
      <c r="D4" s="131"/>
      <c r="E4" s="110"/>
      <c r="F4" s="110"/>
      <c r="G4" s="110"/>
      <c r="H4" s="110"/>
    </row>
    <row r="5" spans="1:8" x14ac:dyDescent="0.3">
      <c r="A5" s="111" t="str">
        <f>'(ORÇAMENTO GERAL)'!A7</f>
        <v>LOCALIZAÇÃO: RUA SÉRGIO AMARO DO NASCIMENTO - JOÃO ALFREDO/PE</v>
      </c>
      <c r="B5" s="112"/>
      <c r="C5" s="109"/>
      <c r="D5" s="109"/>
      <c r="E5" s="109"/>
      <c r="F5" s="109"/>
      <c r="G5" s="109"/>
      <c r="H5" s="113"/>
    </row>
    <row r="6" spans="1:8" x14ac:dyDescent="0.3">
      <c r="A6" s="114" t="str">
        <f>'(ORÇAMENTO GERAL)'!A9</f>
        <v>DATA: ABRIL/2025</v>
      </c>
      <c r="B6" s="116"/>
      <c r="C6" s="116"/>
      <c r="D6" s="116"/>
    </row>
    <row r="7" spans="1:8" x14ac:dyDescent="0.3">
      <c r="A7" s="115"/>
      <c r="B7" s="116"/>
      <c r="C7" s="116"/>
      <c r="D7" s="116"/>
    </row>
    <row r="8" spans="1:8" s="118" customFormat="1" ht="43.2" x14ac:dyDescent="0.3">
      <c r="A8" s="117"/>
      <c r="B8" s="135" t="s">
        <v>66</v>
      </c>
      <c r="C8" s="138" t="s">
        <v>118</v>
      </c>
      <c r="D8" s="138" t="s">
        <v>67</v>
      </c>
    </row>
    <row r="9" spans="1:8" s="121" customFormat="1" x14ac:dyDescent="0.3">
      <c r="A9" s="119"/>
      <c r="B9" s="120"/>
      <c r="C9" s="120"/>
      <c r="D9" s="120"/>
    </row>
    <row r="10" spans="1:8" s="122" customFormat="1" x14ac:dyDescent="0.3">
      <c r="A10" s="134" t="s">
        <v>115</v>
      </c>
      <c r="B10" s="140">
        <f>'(ORÇAMENTO GERAL)'!N405</f>
        <v>2653615.6599999992</v>
      </c>
      <c r="C10" s="342" t="s">
        <v>563</v>
      </c>
      <c r="D10" s="342" t="s">
        <v>866</v>
      </c>
    </row>
    <row r="11" spans="1:8" s="121" customFormat="1" x14ac:dyDescent="0.3">
      <c r="A11" s="123"/>
      <c r="B11" s="124"/>
      <c r="C11" s="125"/>
      <c r="D11" s="120"/>
    </row>
    <row r="12" spans="1:8" s="122" customFormat="1" x14ac:dyDescent="0.3">
      <c r="A12" s="132" t="s">
        <v>116</v>
      </c>
      <c r="B12" s="141">
        <f>'(ORÇAMENTO GERAL)'!Q405</f>
        <v>2590295.1900000018</v>
      </c>
      <c r="C12" s="133" t="s">
        <v>373</v>
      </c>
      <c r="D12" s="133" t="s">
        <v>865</v>
      </c>
    </row>
    <row r="13" spans="1:8" s="128" customFormat="1" x14ac:dyDescent="0.3">
      <c r="A13" s="126"/>
      <c r="B13" s="127"/>
      <c r="C13" s="127"/>
      <c r="D13" s="127"/>
    </row>
    <row r="15" spans="1:8" x14ac:dyDescent="0.3">
      <c r="A15" s="130" t="s">
        <v>68</v>
      </c>
    </row>
    <row r="16" spans="1:8" x14ac:dyDescent="0.3">
      <c r="A16" s="130"/>
      <c r="C16" s="137" t="s">
        <v>125</v>
      </c>
      <c r="D16" s="136" t="str">
        <f>IF(B10&gt;B12,"SEM DESONERAÇÃO","COM DESONERAÇÃO")</f>
        <v>SEM DESONERAÇÃO</v>
      </c>
    </row>
    <row r="21" spans="7:7" x14ac:dyDescent="0.3">
      <c r="G21" s="139"/>
    </row>
  </sheetData>
  <mergeCells count="2">
    <mergeCell ref="A1:D1"/>
    <mergeCell ref="A2:D2"/>
  </mergeCells>
  <printOptions horizontalCentered="1"/>
  <pageMargins left="0.59055118110236227" right="0.59055118110236227" top="1.3779527559055118" bottom="0.59055118110236227" header="0.39370078740157483" footer="0.39370078740157483"/>
  <pageSetup paperSize="9" scale="77" fitToHeight="0" orientation="portrait" horizontalDpi="300" verticalDpi="300" r:id="rId1"/>
  <headerFooter>
    <oddHeader>&amp;L&amp;G&amp;R&amp;G</oddHeader>
    <oddFooter>Página &amp;P de &amp;N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B62A0-5C41-4CE7-AFD5-F8E2EF16BB30}">
  <sheetPr>
    <tabColor rgb="FF92D050"/>
    <pageSetUpPr fitToPage="1"/>
  </sheetPr>
  <dimension ref="A1:F46"/>
  <sheetViews>
    <sheetView view="pageBreakPreview" topLeftCell="A4" zoomScale="115" zoomScaleNormal="100" zoomScaleSheetLayoutView="115" workbookViewId="0">
      <selection activeCell="B4" sqref="B1:E1048576"/>
    </sheetView>
  </sheetViews>
  <sheetFormatPr defaultRowHeight="14.4" x14ac:dyDescent="0.3"/>
  <cols>
    <col min="1" max="1" width="7" style="449" customWidth="1"/>
    <col min="2" max="2" width="48.33203125" style="449" customWidth="1"/>
    <col min="3" max="3" width="13.77734375" style="449" hidden="1" customWidth="1"/>
    <col min="4" max="4" width="14" style="449" hidden="1" customWidth="1"/>
    <col min="5" max="5" width="16.6640625" style="449" customWidth="1"/>
    <col min="6" max="6" width="15.6640625" style="449" customWidth="1"/>
    <col min="7" max="16384" width="8.88671875" style="449"/>
  </cols>
  <sheetData>
    <row r="1" spans="1:6" x14ac:dyDescent="0.3">
      <c r="A1" s="679" t="s">
        <v>374</v>
      </c>
      <c r="B1" s="680"/>
      <c r="C1" s="680"/>
      <c r="D1" s="680"/>
      <c r="E1" s="680"/>
      <c r="F1" s="681"/>
    </row>
    <row r="2" spans="1:6" x14ac:dyDescent="0.3">
      <c r="A2" s="682" t="s">
        <v>867</v>
      </c>
      <c r="B2" s="683"/>
      <c r="C2" s="683"/>
      <c r="D2" s="683"/>
      <c r="E2" s="683"/>
      <c r="F2" s="684"/>
    </row>
    <row r="3" spans="1:6" x14ac:dyDescent="0.3">
      <c r="A3" s="685" t="s">
        <v>868</v>
      </c>
      <c r="B3" s="686"/>
      <c r="C3" s="686"/>
      <c r="D3" s="686"/>
      <c r="E3" s="686"/>
      <c r="F3" s="687"/>
    </row>
    <row r="4" spans="1:6" ht="15.6" x14ac:dyDescent="0.3">
      <c r="A4" s="450"/>
      <c r="B4" s="450"/>
      <c r="C4" s="450"/>
      <c r="D4" s="450"/>
      <c r="E4" s="451"/>
      <c r="F4" s="451"/>
    </row>
    <row r="5" spans="1:6" ht="28.2" customHeight="1" x14ac:dyDescent="0.3">
      <c r="A5" s="691" t="s">
        <v>607</v>
      </c>
      <c r="B5" s="691"/>
      <c r="C5" s="691"/>
      <c r="D5" s="691"/>
      <c r="E5" s="691"/>
      <c r="F5" s="691"/>
    </row>
    <row r="6" spans="1:6" ht="14.4" customHeight="1" x14ac:dyDescent="0.3">
      <c r="A6" s="674" t="s">
        <v>608</v>
      </c>
      <c r="B6" s="674"/>
      <c r="C6" s="674"/>
      <c r="D6" s="674"/>
      <c r="E6" s="674"/>
      <c r="F6" s="674"/>
    </row>
    <row r="7" spans="1:6" ht="14.4" customHeight="1" x14ac:dyDescent="0.3">
      <c r="A7" s="674" t="s">
        <v>609</v>
      </c>
      <c r="B7" s="674"/>
      <c r="C7" s="674"/>
      <c r="D7" s="674"/>
      <c r="E7" s="674"/>
      <c r="F7" s="674"/>
    </row>
    <row r="8" spans="1:6" x14ac:dyDescent="0.3">
      <c r="A8" s="448"/>
      <c r="B8" s="448"/>
      <c r="C8" s="448"/>
      <c r="D8" s="448"/>
      <c r="E8" s="448"/>
      <c r="F8" s="448"/>
    </row>
    <row r="9" spans="1:6" ht="12.9" customHeight="1" x14ac:dyDescent="0.3">
      <c r="A9" s="688" t="s">
        <v>869</v>
      </c>
      <c r="B9" s="688"/>
      <c r="C9" s="688"/>
      <c r="D9" s="688"/>
      <c r="E9" s="688"/>
      <c r="F9" s="688"/>
    </row>
    <row r="10" spans="1:6" ht="12.9" customHeight="1" x14ac:dyDescent="0.3">
      <c r="A10" s="689" t="s">
        <v>13</v>
      </c>
      <c r="B10" s="689" t="s">
        <v>2</v>
      </c>
      <c r="C10" s="690" t="s">
        <v>870</v>
      </c>
      <c r="D10" s="690"/>
      <c r="E10" s="690" t="s">
        <v>871</v>
      </c>
      <c r="F10" s="690"/>
    </row>
    <row r="11" spans="1:6" ht="25.95" customHeight="1" x14ac:dyDescent="0.3">
      <c r="A11" s="689" t="s">
        <v>13</v>
      </c>
      <c r="B11" s="689" t="s">
        <v>2</v>
      </c>
      <c r="C11" s="453" t="s">
        <v>872</v>
      </c>
      <c r="D11" s="453" t="s">
        <v>873</v>
      </c>
      <c r="E11" s="453" t="s">
        <v>872</v>
      </c>
      <c r="F11" s="453" t="s">
        <v>873</v>
      </c>
    </row>
    <row r="12" spans="1:6" ht="12.9" customHeight="1" x14ac:dyDescent="0.3">
      <c r="A12" s="678" t="s">
        <v>874</v>
      </c>
      <c r="B12" s="678"/>
      <c r="C12" s="678"/>
      <c r="D12" s="678"/>
      <c r="E12" s="678"/>
      <c r="F12" s="678"/>
    </row>
    <row r="13" spans="1:6" ht="12.9" customHeight="1" x14ac:dyDescent="0.3">
      <c r="A13" s="454" t="s">
        <v>375</v>
      </c>
      <c r="B13" s="455" t="s">
        <v>376</v>
      </c>
      <c r="C13" s="456" t="s">
        <v>875</v>
      </c>
      <c r="D13" s="456" t="s">
        <v>875</v>
      </c>
      <c r="E13" s="456" t="s">
        <v>876</v>
      </c>
      <c r="F13" s="456" t="s">
        <v>876</v>
      </c>
    </row>
    <row r="14" spans="1:6" ht="12.9" customHeight="1" x14ac:dyDescent="0.3">
      <c r="A14" s="457" t="s">
        <v>377</v>
      </c>
      <c r="B14" s="458" t="s">
        <v>378</v>
      </c>
      <c r="C14" s="459" t="s">
        <v>877</v>
      </c>
      <c r="D14" s="459" t="s">
        <v>877</v>
      </c>
      <c r="E14" s="459" t="s">
        <v>877</v>
      </c>
      <c r="F14" s="459" t="s">
        <v>877</v>
      </c>
    </row>
    <row r="15" spans="1:6" ht="12.9" customHeight="1" x14ac:dyDescent="0.3">
      <c r="A15" s="454" t="s">
        <v>379</v>
      </c>
      <c r="B15" s="455" t="s">
        <v>380</v>
      </c>
      <c r="C15" s="456" t="s">
        <v>878</v>
      </c>
      <c r="D15" s="456" t="s">
        <v>878</v>
      </c>
      <c r="E15" s="456" t="s">
        <v>878</v>
      </c>
      <c r="F15" s="456" t="s">
        <v>878</v>
      </c>
    </row>
    <row r="16" spans="1:6" ht="12.9" customHeight="1" x14ac:dyDescent="0.3">
      <c r="A16" s="457" t="s">
        <v>381</v>
      </c>
      <c r="B16" s="458" t="s">
        <v>382</v>
      </c>
      <c r="C16" s="459" t="s">
        <v>879</v>
      </c>
      <c r="D16" s="459" t="s">
        <v>879</v>
      </c>
      <c r="E16" s="459" t="s">
        <v>879</v>
      </c>
      <c r="F16" s="459" t="s">
        <v>879</v>
      </c>
    </row>
    <row r="17" spans="1:6" ht="12.9" customHeight="1" x14ac:dyDescent="0.3">
      <c r="A17" s="454" t="s">
        <v>383</v>
      </c>
      <c r="B17" s="455" t="s">
        <v>384</v>
      </c>
      <c r="C17" s="456" t="s">
        <v>880</v>
      </c>
      <c r="D17" s="456" t="s">
        <v>880</v>
      </c>
      <c r="E17" s="456" t="s">
        <v>880</v>
      </c>
      <c r="F17" s="456" t="s">
        <v>880</v>
      </c>
    </row>
    <row r="18" spans="1:6" ht="12.9" customHeight="1" x14ac:dyDescent="0.3">
      <c r="A18" s="457" t="s">
        <v>385</v>
      </c>
      <c r="B18" s="458" t="s">
        <v>881</v>
      </c>
      <c r="C18" s="459" t="s">
        <v>882</v>
      </c>
      <c r="D18" s="459" t="s">
        <v>882</v>
      </c>
      <c r="E18" s="459" t="s">
        <v>882</v>
      </c>
      <c r="F18" s="459" t="s">
        <v>882</v>
      </c>
    </row>
    <row r="19" spans="1:6" ht="12.9" customHeight="1" x14ac:dyDescent="0.3">
      <c r="A19" s="454" t="s">
        <v>386</v>
      </c>
      <c r="B19" s="455" t="s">
        <v>883</v>
      </c>
      <c r="C19" s="456" t="s">
        <v>884</v>
      </c>
      <c r="D19" s="456" t="s">
        <v>884</v>
      </c>
      <c r="E19" s="456" t="s">
        <v>884</v>
      </c>
      <c r="F19" s="456" t="s">
        <v>884</v>
      </c>
    </row>
    <row r="20" spans="1:6" ht="12.9" customHeight="1" x14ac:dyDescent="0.3">
      <c r="A20" s="457" t="s">
        <v>387</v>
      </c>
      <c r="B20" s="458" t="s">
        <v>388</v>
      </c>
      <c r="C20" s="459" t="s">
        <v>885</v>
      </c>
      <c r="D20" s="459" t="s">
        <v>885</v>
      </c>
      <c r="E20" s="459" t="s">
        <v>885</v>
      </c>
      <c r="F20" s="459" t="s">
        <v>885</v>
      </c>
    </row>
    <row r="21" spans="1:6" ht="12.9" customHeight="1" x14ac:dyDescent="0.3">
      <c r="A21" s="454" t="s">
        <v>389</v>
      </c>
      <c r="B21" s="455" t="s">
        <v>390</v>
      </c>
      <c r="C21" s="456" t="s">
        <v>886</v>
      </c>
      <c r="D21" s="456" t="s">
        <v>886</v>
      </c>
      <c r="E21" s="456" t="s">
        <v>886</v>
      </c>
      <c r="F21" s="456" t="s">
        <v>886</v>
      </c>
    </row>
    <row r="22" spans="1:6" ht="12.9" customHeight="1" x14ac:dyDescent="0.3">
      <c r="A22" s="460" t="s">
        <v>181</v>
      </c>
      <c r="B22" s="460" t="s">
        <v>89</v>
      </c>
      <c r="C22" s="461" t="s">
        <v>887</v>
      </c>
      <c r="D22" s="461" t="s">
        <v>887</v>
      </c>
      <c r="E22" s="461" t="s">
        <v>888</v>
      </c>
      <c r="F22" s="461" t="s">
        <v>888</v>
      </c>
    </row>
    <row r="23" spans="1:6" ht="12.9" customHeight="1" x14ac:dyDescent="0.3">
      <c r="A23" s="678" t="s">
        <v>889</v>
      </c>
      <c r="B23" s="678"/>
      <c r="C23" s="678"/>
      <c r="D23" s="678"/>
      <c r="E23" s="678"/>
      <c r="F23" s="678"/>
    </row>
    <row r="24" spans="1:6" ht="12.9" customHeight="1" x14ac:dyDescent="0.3">
      <c r="A24" s="454" t="s">
        <v>391</v>
      </c>
      <c r="B24" s="455" t="s">
        <v>890</v>
      </c>
      <c r="C24" s="456" t="s">
        <v>891</v>
      </c>
      <c r="D24" s="456" t="s">
        <v>892</v>
      </c>
      <c r="E24" s="454" t="s">
        <v>891</v>
      </c>
      <c r="F24" s="454" t="s">
        <v>892</v>
      </c>
    </row>
    <row r="25" spans="1:6" ht="12.9" customHeight="1" x14ac:dyDescent="0.3">
      <c r="A25" s="454" t="s">
        <v>392</v>
      </c>
      <c r="B25" s="455" t="s">
        <v>393</v>
      </c>
      <c r="C25" s="456" t="s">
        <v>893</v>
      </c>
      <c r="D25" s="456" t="s">
        <v>892</v>
      </c>
      <c r="E25" s="454" t="s">
        <v>893</v>
      </c>
      <c r="F25" s="454" t="s">
        <v>892</v>
      </c>
    </row>
    <row r="26" spans="1:6" ht="12.9" customHeight="1" x14ac:dyDescent="0.3">
      <c r="A26" s="454" t="s">
        <v>394</v>
      </c>
      <c r="B26" s="455" t="s">
        <v>894</v>
      </c>
      <c r="C26" s="456" t="s">
        <v>895</v>
      </c>
      <c r="D26" s="456" t="s">
        <v>896</v>
      </c>
      <c r="E26" s="454" t="s">
        <v>895</v>
      </c>
      <c r="F26" s="454" t="s">
        <v>896</v>
      </c>
    </row>
    <row r="27" spans="1:6" ht="12.9" customHeight="1" x14ac:dyDescent="0.3">
      <c r="A27" s="457" t="s">
        <v>395</v>
      </c>
      <c r="B27" s="458" t="s">
        <v>897</v>
      </c>
      <c r="C27" s="459" t="s">
        <v>898</v>
      </c>
      <c r="D27" s="459" t="s">
        <v>899</v>
      </c>
      <c r="E27" s="457" t="s">
        <v>898</v>
      </c>
      <c r="F27" s="457" t="s">
        <v>899</v>
      </c>
    </row>
    <row r="28" spans="1:6" ht="12.9" customHeight="1" x14ac:dyDescent="0.3">
      <c r="A28" s="454" t="s">
        <v>396</v>
      </c>
      <c r="B28" s="455" t="s">
        <v>900</v>
      </c>
      <c r="C28" s="456" t="s">
        <v>901</v>
      </c>
      <c r="D28" s="456" t="s">
        <v>902</v>
      </c>
      <c r="E28" s="454" t="s">
        <v>901</v>
      </c>
      <c r="F28" s="454" t="s">
        <v>902</v>
      </c>
    </row>
    <row r="29" spans="1:6" ht="12.9" customHeight="1" x14ac:dyDescent="0.3">
      <c r="A29" s="457" t="s">
        <v>397</v>
      </c>
      <c r="B29" s="458" t="s">
        <v>903</v>
      </c>
      <c r="C29" s="459" t="s">
        <v>904</v>
      </c>
      <c r="D29" s="459" t="s">
        <v>905</v>
      </c>
      <c r="E29" s="457" t="s">
        <v>904</v>
      </c>
      <c r="F29" s="457" t="s">
        <v>905</v>
      </c>
    </row>
    <row r="30" spans="1:6" ht="12.9" customHeight="1" x14ac:dyDescent="0.3">
      <c r="A30" s="454" t="s">
        <v>398</v>
      </c>
      <c r="B30" s="455" t="s">
        <v>906</v>
      </c>
      <c r="C30" s="456" t="s">
        <v>907</v>
      </c>
      <c r="D30" s="456" t="s">
        <v>892</v>
      </c>
      <c r="E30" s="454" t="s">
        <v>907</v>
      </c>
      <c r="F30" s="454" t="s">
        <v>892</v>
      </c>
    </row>
    <row r="31" spans="1:6" ht="12.9" customHeight="1" x14ac:dyDescent="0.3">
      <c r="A31" s="457" t="s">
        <v>399</v>
      </c>
      <c r="B31" s="458" t="s">
        <v>908</v>
      </c>
      <c r="C31" s="459" t="s">
        <v>909</v>
      </c>
      <c r="D31" s="459" t="s">
        <v>901</v>
      </c>
      <c r="E31" s="457" t="s">
        <v>909</v>
      </c>
      <c r="F31" s="457" t="s">
        <v>901</v>
      </c>
    </row>
    <row r="32" spans="1:6" ht="12.9" customHeight="1" x14ac:dyDescent="0.3">
      <c r="A32" s="454" t="s">
        <v>400</v>
      </c>
      <c r="B32" s="455" t="s">
        <v>910</v>
      </c>
      <c r="C32" s="456" t="s">
        <v>911</v>
      </c>
      <c r="D32" s="456" t="s">
        <v>912</v>
      </c>
      <c r="E32" s="454" t="s">
        <v>911</v>
      </c>
      <c r="F32" s="454" t="s">
        <v>912</v>
      </c>
    </row>
    <row r="33" spans="1:6" ht="12.9" customHeight="1" x14ac:dyDescent="0.3">
      <c r="A33" s="458" t="s">
        <v>401</v>
      </c>
      <c r="B33" s="458" t="s">
        <v>913</v>
      </c>
      <c r="C33" s="459" t="s">
        <v>914</v>
      </c>
      <c r="D33" s="459" t="s">
        <v>914</v>
      </c>
      <c r="E33" s="457" t="s">
        <v>914</v>
      </c>
      <c r="F33" s="457" t="s">
        <v>914</v>
      </c>
    </row>
    <row r="34" spans="1:6" ht="12.9" customHeight="1" x14ac:dyDescent="0.3">
      <c r="A34" s="462" t="s">
        <v>182</v>
      </c>
      <c r="B34" s="462" t="s">
        <v>89</v>
      </c>
      <c r="C34" s="463" t="s">
        <v>915</v>
      </c>
      <c r="D34" s="463" t="s">
        <v>916</v>
      </c>
      <c r="E34" s="462" t="s">
        <v>915</v>
      </c>
      <c r="F34" s="462" t="s">
        <v>916</v>
      </c>
    </row>
    <row r="35" spans="1:6" ht="12.9" customHeight="1" x14ac:dyDescent="0.3">
      <c r="A35" s="678" t="s">
        <v>917</v>
      </c>
      <c r="B35" s="678"/>
      <c r="C35" s="678"/>
      <c r="D35" s="678"/>
      <c r="E35" s="678"/>
      <c r="F35" s="678"/>
    </row>
    <row r="36" spans="1:6" ht="12.9" customHeight="1" x14ac:dyDescent="0.3">
      <c r="A36" s="454" t="s">
        <v>402</v>
      </c>
      <c r="B36" s="455" t="s">
        <v>918</v>
      </c>
      <c r="C36" s="456" t="s">
        <v>919</v>
      </c>
      <c r="D36" s="456" t="s">
        <v>920</v>
      </c>
      <c r="E36" s="456" t="s">
        <v>919</v>
      </c>
      <c r="F36" s="456" t="s">
        <v>920</v>
      </c>
    </row>
    <row r="37" spans="1:6" ht="12.9" customHeight="1" x14ac:dyDescent="0.3">
      <c r="A37" s="457" t="s">
        <v>403</v>
      </c>
      <c r="B37" s="458" t="s">
        <v>921</v>
      </c>
      <c r="C37" s="459" t="s">
        <v>922</v>
      </c>
      <c r="D37" s="459" t="s">
        <v>923</v>
      </c>
      <c r="E37" s="459" t="s">
        <v>922</v>
      </c>
      <c r="F37" s="459" t="s">
        <v>923</v>
      </c>
    </row>
    <row r="38" spans="1:6" ht="12.9" customHeight="1" x14ac:dyDescent="0.3">
      <c r="A38" s="454" t="s">
        <v>404</v>
      </c>
      <c r="B38" s="455" t="s">
        <v>924</v>
      </c>
      <c r="C38" s="456" t="s">
        <v>925</v>
      </c>
      <c r="D38" s="468">
        <v>3.0300000000000001E-2</v>
      </c>
      <c r="E38" s="456" t="s">
        <v>925</v>
      </c>
      <c r="F38" s="456" t="s">
        <v>926</v>
      </c>
    </row>
    <row r="39" spans="1:6" ht="12.9" customHeight="1" x14ac:dyDescent="0.3">
      <c r="A39" s="457" t="s">
        <v>405</v>
      </c>
      <c r="B39" s="458" t="s">
        <v>927</v>
      </c>
      <c r="C39" s="459" t="s">
        <v>928</v>
      </c>
      <c r="D39" s="459" t="s">
        <v>929</v>
      </c>
      <c r="E39" s="459" t="s">
        <v>928</v>
      </c>
      <c r="F39" s="459" t="s">
        <v>929</v>
      </c>
    </row>
    <row r="40" spans="1:6" ht="12.9" customHeight="1" x14ac:dyDescent="0.3">
      <c r="A40" s="454" t="s">
        <v>406</v>
      </c>
      <c r="B40" s="455" t="s">
        <v>930</v>
      </c>
      <c r="C40" s="456" t="s">
        <v>931</v>
      </c>
      <c r="D40" s="456" t="s">
        <v>932</v>
      </c>
      <c r="E40" s="456" t="s">
        <v>931</v>
      </c>
      <c r="F40" s="456" t="s">
        <v>932</v>
      </c>
    </row>
    <row r="41" spans="1:6" ht="12.9" customHeight="1" x14ac:dyDescent="0.3">
      <c r="A41" s="460" t="s">
        <v>183</v>
      </c>
      <c r="B41" s="460" t="s">
        <v>89</v>
      </c>
      <c r="C41" s="461" t="s">
        <v>933</v>
      </c>
      <c r="D41" s="461" t="s">
        <v>934</v>
      </c>
      <c r="E41" s="461" t="s">
        <v>933</v>
      </c>
      <c r="F41" s="461" t="s">
        <v>934</v>
      </c>
    </row>
    <row r="42" spans="1:6" ht="12.9" customHeight="1" x14ac:dyDescent="0.3">
      <c r="A42" s="678" t="s">
        <v>935</v>
      </c>
      <c r="B42" s="678"/>
      <c r="C42" s="678"/>
      <c r="D42" s="678"/>
      <c r="E42" s="678"/>
      <c r="F42" s="678"/>
    </row>
    <row r="43" spans="1:6" ht="38.85" customHeight="1" x14ac:dyDescent="0.3">
      <c r="A43" s="464" t="s">
        <v>407</v>
      </c>
      <c r="B43" s="464" t="s">
        <v>936</v>
      </c>
      <c r="C43" s="465" t="s">
        <v>937</v>
      </c>
      <c r="D43" s="465" t="s">
        <v>938</v>
      </c>
      <c r="E43" s="465" t="s">
        <v>939</v>
      </c>
      <c r="F43" s="465" t="s">
        <v>940</v>
      </c>
    </row>
    <row r="44" spans="1:6" ht="38.85" customHeight="1" x14ac:dyDescent="0.3">
      <c r="A44" s="466" t="s">
        <v>408</v>
      </c>
      <c r="B44" s="458" t="s">
        <v>941</v>
      </c>
      <c r="C44" s="467" t="s">
        <v>942</v>
      </c>
      <c r="D44" s="467" t="s">
        <v>932</v>
      </c>
      <c r="E44" s="467" t="s">
        <v>943</v>
      </c>
      <c r="F44" s="467" t="s">
        <v>944</v>
      </c>
    </row>
    <row r="45" spans="1:6" ht="12.9" customHeight="1" x14ac:dyDescent="0.3">
      <c r="A45" s="462" t="s">
        <v>409</v>
      </c>
      <c r="B45" s="462" t="s">
        <v>89</v>
      </c>
      <c r="C45" s="463" t="s">
        <v>945</v>
      </c>
      <c r="D45" s="463" t="s">
        <v>946</v>
      </c>
      <c r="E45" s="463" t="s">
        <v>947</v>
      </c>
      <c r="F45" s="463" t="s">
        <v>948</v>
      </c>
    </row>
    <row r="46" spans="1:6" ht="12.9" customHeight="1" x14ac:dyDescent="0.3">
      <c r="A46" s="678" t="s">
        <v>949</v>
      </c>
      <c r="B46" s="678"/>
      <c r="C46" s="452" t="s">
        <v>950</v>
      </c>
      <c r="D46" s="452" t="s">
        <v>951</v>
      </c>
      <c r="E46" s="452" t="s">
        <v>952</v>
      </c>
      <c r="F46" s="452" t="s">
        <v>953</v>
      </c>
    </row>
  </sheetData>
  <mergeCells count="16">
    <mergeCell ref="A23:F23"/>
    <mergeCell ref="A35:F35"/>
    <mergeCell ref="A42:F42"/>
    <mergeCell ref="A46:B46"/>
    <mergeCell ref="A1:F1"/>
    <mergeCell ref="A2:F2"/>
    <mergeCell ref="A3:F3"/>
    <mergeCell ref="A9:F9"/>
    <mergeCell ref="A10:A11"/>
    <mergeCell ref="B10:B11"/>
    <mergeCell ref="C10:D10"/>
    <mergeCell ref="E10:F10"/>
    <mergeCell ref="A12:F12"/>
    <mergeCell ref="A5:F5"/>
    <mergeCell ref="A6:F6"/>
    <mergeCell ref="A7:F7"/>
  </mergeCells>
  <printOptions horizontalCentered="1"/>
  <pageMargins left="0.59055118110236227" right="0.59055118110236227" top="1.3385826771653544" bottom="0.74803149606299213" header="0.31496062992125984" footer="0.31496062992125984"/>
  <pageSetup paperSize="9" fitToHeight="0" orientation="portrait" horizontalDpi="360" verticalDpi="360" r:id="rId1"/>
  <headerFooter>
    <oddHeader>&amp;L&amp;G&amp;R&amp;G</oddHead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935A6-052B-4C00-A9CB-EED674AC93B2}">
  <sheetPr>
    <tabColor rgb="FF92D050"/>
    <pageSetUpPr fitToPage="1"/>
  </sheetPr>
  <dimension ref="A1:Q105"/>
  <sheetViews>
    <sheetView view="pageBreakPreview" topLeftCell="A10" zoomScale="90" zoomScaleSheetLayoutView="90" workbookViewId="0">
      <pane ySplit="1008" topLeftCell="A13" activePane="bottomLeft"/>
      <selection activeCell="L10" sqref="L1:L1048576"/>
      <selection pane="bottomLeft" activeCell="O15" sqref="O15"/>
    </sheetView>
  </sheetViews>
  <sheetFormatPr defaultColWidth="9.109375" defaultRowHeight="13.8" x14ac:dyDescent="0.3"/>
  <cols>
    <col min="1" max="1" width="7.44140625" style="155" customWidth="1"/>
    <col min="2" max="2" width="12.33203125" style="155" customWidth="1"/>
    <col min="3" max="3" width="9.33203125" style="155" customWidth="1"/>
    <col min="4" max="4" width="50.6640625" style="155" customWidth="1"/>
    <col min="5" max="5" width="4.5546875" style="155" bestFit="1" customWidth="1"/>
    <col min="6" max="6" width="8.88671875" style="155" bestFit="1" customWidth="1"/>
    <col min="7" max="7" width="9.88671875" style="157" bestFit="1" customWidth="1"/>
    <col min="8" max="8" width="12.6640625" style="155" bestFit="1" customWidth="1"/>
    <col min="9" max="9" width="11.5546875" style="158" bestFit="1" customWidth="1"/>
    <col min="10" max="10" width="11.33203125" style="155" hidden="1" customWidth="1"/>
    <col min="11" max="11" width="11.33203125" style="155" customWidth="1"/>
    <col min="12" max="12" width="0" style="155" hidden="1" customWidth="1"/>
    <col min="13" max="15" width="9.109375" style="155"/>
    <col min="16" max="17" width="0" style="155" hidden="1" customWidth="1"/>
    <col min="18" max="16384" width="9.109375" style="155"/>
  </cols>
  <sheetData>
    <row r="1" spans="1:17" s="25" customFormat="1" ht="15.6" x14ac:dyDescent="0.3">
      <c r="A1" s="524" t="s">
        <v>316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6"/>
    </row>
    <row r="2" spans="1:17" s="25" customFormat="1" x14ac:dyDescent="0.3">
      <c r="A2" s="527"/>
      <c r="B2" s="527"/>
      <c r="C2" s="527"/>
      <c r="D2" s="527"/>
      <c r="E2" s="527"/>
      <c r="G2" s="95"/>
      <c r="I2" s="50"/>
    </row>
    <row r="3" spans="1:17" ht="13.95" customHeight="1" x14ac:dyDescent="0.3">
      <c r="A3" s="52" t="s">
        <v>607</v>
      </c>
      <c r="B3" s="161"/>
      <c r="C3" s="161"/>
      <c r="D3" s="161"/>
      <c r="E3" s="161"/>
      <c r="F3" s="161"/>
      <c r="G3" s="161"/>
      <c r="H3" s="161"/>
      <c r="I3" s="161"/>
    </row>
    <row r="4" spans="1:17" x14ac:dyDescent="0.3">
      <c r="A4" s="39" t="s">
        <v>608</v>
      </c>
      <c r="B4" s="162"/>
      <c r="D4" s="159"/>
      <c r="E4" s="159"/>
      <c r="F4" s="159"/>
      <c r="G4" s="159"/>
      <c r="H4" s="159"/>
      <c r="I4" s="160"/>
    </row>
    <row r="5" spans="1:17" s="25" customFormat="1" x14ac:dyDescent="0.3">
      <c r="A5" s="39" t="s">
        <v>859</v>
      </c>
      <c r="B5" s="39"/>
      <c r="D5" s="170"/>
      <c r="E5" s="170"/>
      <c r="F5" s="170"/>
      <c r="G5" s="170"/>
      <c r="H5" s="170"/>
      <c r="I5" s="51"/>
    </row>
    <row r="6" spans="1:17" s="25" customFormat="1" x14ac:dyDescent="0.3">
      <c r="A6" s="39" t="s">
        <v>609</v>
      </c>
      <c r="B6" s="39"/>
      <c r="D6" s="170"/>
      <c r="E6" s="170"/>
      <c r="F6" s="170"/>
      <c r="G6" s="170"/>
      <c r="H6" s="170"/>
      <c r="I6" s="51"/>
    </row>
    <row r="7" spans="1:17" s="25" customFormat="1" hidden="1" x14ac:dyDescent="0.3">
      <c r="A7" s="170"/>
      <c r="B7" s="39"/>
      <c r="D7" s="170"/>
      <c r="E7" s="170"/>
      <c r="F7" s="170"/>
      <c r="G7" s="537" t="s">
        <v>474</v>
      </c>
      <c r="H7" s="538"/>
      <c r="I7" s="41">
        <v>0.111</v>
      </c>
    </row>
    <row r="8" spans="1:17" s="25" customFormat="1" hidden="1" x14ac:dyDescent="0.3">
      <c r="A8" s="170"/>
      <c r="B8" s="39"/>
      <c r="D8" s="170"/>
      <c r="E8" s="170"/>
      <c r="F8" s="170"/>
      <c r="G8" s="537" t="s">
        <v>107</v>
      </c>
      <c r="H8" s="538"/>
      <c r="I8" s="41">
        <v>0.20499999999999999</v>
      </c>
    </row>
    <row r="9" spans="1:17" s="25" customFormat="1" hidden="1" x14ac:dyDescent="0.3">
      <c r="A9" s="170"/>
      <c r="B9" s="170"/>
      <c r="C9" s="170"/>
      <c r="D9" s="170"/>
      <c r="E9" s="42"/>
      <c r="F9" s="38"/>
      <c r="G9" s="519" t="s">
        <v>105</v>
      </c>
      <c r="H9" s="520"/>
      <c r="I9" s="521"/>
    </row>
    <row r="10" spans="1:17" s="45" customFormat="1" ht="41.4" x14ac:dyDescent="0.3">
      <c r="A10" s="209" t="s">
        <v>1</v>
      </c>
      <c r="B10" s="209" t="s">
        <v>36</v>
      </c>
      <c r="C10" s="209" t="s">
        <v>13</v>
      </c>
      <c r="D10" s="209" t="s">
        <v>2</v>
      </c>
      <c r="E10" s="209" t="s">
        <v>3</v>
      </c>
      <c r="F10" s="26" t="s">
        <v>33</v>
      </c>
      <c r="G10" s="44" t="s">
        <v>72</v>
      </c>
      <c r="H10" s="44" t="s">
        <v>71</v>
      </c>
      <c r="I10" s="44" t="s">
        <v>93</v>
      </c>
      <c r="J10" s="301"/>
      <c r="K10" s="210" t="s">
        <v>176</v>
      </c>
      <c r="L10" s="210" t="s">
        <v>177</v>
      </c>
      <c r="M10" s="210" t="s">
        <v>178</v>
      </c>
      <c r="N10" s="210" t="s">
        <v>603</v>
      </c>
      <c r="O10" s="210" t="s">
        <v>604</v>
      </c>
      <c r="P10" s="210" t="s">
        <v>179</v>
      </c>
      <c r="Q10" s="210" t="s">
        <v>180</v>
      </c>
    </row>
    <row r="11" spans="1:17" s="25" customFormat="1" x14ac:dyDescent="0.3">
      <c r="A11" s="35"/>
      <c r="B11" s="35"/>
      <c r="C11" s="35"/>
      <c r="D11" s="149"/>
      <c r="E11" s="35"/>
      <c r="F11" s="34"/>
      <c r="G11" s="34"/>
      <c r="H11" s="34"/>
      <c r="I11" s="34"/>
      <c r="J11" s="32"/>
      <c r="K11" s="437"/>
      <c r="L11" s="437"/>
      <c r="M11" s="437"/>
      <c r="N11" s="438"/>
      <c r="O11" s="438"/>
      <c r="P11" s="367"/>
      <c r="Q11" s="367"/>
    </row>
    <row r="12" spans="1:17" s="32" customFormat="1" ht="27.6" x14ac:dyDescent="0.3">
      <c r="A12" s="322" t="s">
        <v>139</v>
      </c>
      <c r="B12" s="322" t="s">
        <v>35</v>
      </c>
      <c r="C12" s="323" t="s">
        <v>413</v>
      </c>
      <c r="D12" s="201" t="s">
        <v>412</v>
      </c>
      <c r="E12" s="245" t="s">
        <v>88</v>
      </c>
      <c r="F12" s="30">
        <v>1952.66</v>
      </c>
      <c r="G12" s="30" t="s">
        <v>654</v>
      </c>
      <c r="H12" s="30">
        <f>ROUND(G12*(1+$I$8),2)</f>
        <v>245.24</v>
      </c>
      <c r="I12" s="30">
        <f t="shared" ref="I12:I43" si="0">TRUNC($F12*H12,2)</f>
        <v>478870.33</v>
      </c>
      <c r="J12" s="252"/>
      <c r="K12" s="302">
        <f>I12/$I$93</f>
        <v>0.18487094901334403</v>
      </c>
      <c r="L12" s="302">
        <f>K12</f>
        <v>0.18487094901334403</v>
      </c>
      <c r="M12" s="211" t="str">
        <f>IF(L12&lt;=$Q$12,"A",IF(L12&lt;=$Q$13,"B","C"))</f>
        <v>A</v>
      </c>
      <c r="N12" s="212" t="s">
        <v>605</v>
      </c>
      <c r="O12" s="212" t="s">
        <v>606</v>
      </c>
      <c r="P12" s="211" t="s">
        <v>181</v>
      </c>
      <c r="Q12" s="212">
        <v>0.8</v>
      </c>
    </row>
    <row r="13" spans="1:17" s="32" customFormat="1" ht="55.2" x14ac:dyDescent="0.3">
      <c r="A13" s="322" t="s">
        <v>160</v>
      </c>
      <c r="B13" s="322" t="s">
        <v>35</v>
      </c>
      <c r="C13" s="323" t="s">
        <v>188</v>
      </c>
      <c r="D13" s="201" t="s">
        <v>228</v>
      </c>
      <c r="E13" s="245" t="s">
        <v>88</v>
      </c>
      <c r="F13" s="30">
        <v>4998.08</v>
      </c>
      <c r="G13" s="30" t="s">
        <v>750</v>
      </c>
      <c r="H13" s="30">
        <f>ROUND(G13*(1+$I$8),2)</f>
        <v>52.27</v>
      </c>
      <c r="I13" s="30">
        <f t="shared" si="0"/>
        <v>261249.64</v>
      </c>
      <c r="K13" s="302">
        <f>I13/$I$93</f>
        <v>0.10085709188997882</v>
      </c>
      <c r="L13" s="302">
        <f>K13+L12</f>
        <v>0.28572804090332282</v>
      </c>
      <c r="M13" s="211" t="str">
        <f t="shared" ref="M13:M19" si="1">IF(L13&lt;=$Q$12,"A",IF(L13&lt;=$Q$13,"B","C"))</f>
        <v>A</v>
      </c>
      <c r="N13" s="212" t="s">
        <v>605</v>
      </c>
      <c r="O13" s="212" t="s">
        <v>606</v>
      </c>
      <c r="P13" s="211" t="s">
        <v>182</v>
      </c>
      <c r="Q13" s="212">
        <v>0.95</v>
      </c>
    </row>
    <row r="14" spans="1:17" s="32" customFormat="1" ht="69" x14ac:dyDescent="0.3">
      <c r="A14" s="322" t="s">
        <v>230</v>
      </c>
      <c r="B14" s="322" t="s">
        <v>35</v>
      </c>
      <c r="C14" s="323" t="s">
        <v>821</v>
      </c>
      <c r="D14" s="201" t="s">
        <v>820</v>
      </c>
      <c r="E14" s="245" t="s">
        <v>88</v>
      </c>
      <c r="F14" s="30">
        <v>1798.52</v>
      </c>
      <c r="G14" s="30" t="s">
        <v>835</v>
      </c>
      <c r="H14" s="30">
        <f>ROUND(G14*(1+$I$8),2)</f>
        <v>115.6</v>
      </c>
      <c r="I14" s="30">
        <f t="shared" si="0"/>
        <v>207908.91</v>
      </c>
      <c r="J14" s="252"/>
      <c r="K14" s="302">
        <f t="shared" ref="K14:K77" si="2">I14/$I$93</f>
        <v>8.0264562433905506E-2</v>
      </c>
      <c r="L14" s="302">
        <f t="shared" ref="L14:L77" si="3">K14+L13</f>
        <v>0.36599260333722833</v>
      </c>
      <c r="M14" s="211" t="str">
        <f t="shared" si="1"/>
        <v>A</v>
      </c>
      <c r="N14" s="212" t="s">
        <v>605</v>
      </c>
      <c r="O14" s="212" t="s">
        <v>606</v>
      </c>
      <c r="P14" s="211" t="s">
        <v>183</v>
      </c>
      <c r="Q14" s="212">
        <v>1</v>
      </c>
    </row>
    <row r="15" spans="1:17" s="32" customFormat="1" ht="82.8" x14ac:dyDescent="0.3">
      <c r="A15" s="322" t="s">
        <v>158</v>
      </c>
      <c r="B15" s="322" t="s">
        <v>478</v>
      </c>
      <c r="C15" s="323" t="s">
        <v>660</v>
      </c>
      <c r="D15" s="201" t="s">
        <v>658</v>
      </c>
      <c r="E15" s="245" t="s">
        <v>88</v>
      </c>
      <c r="F15" s="30">
        <v>390</v>
      </c>
      <c r="G15" s="30">
        <v>350</v>
      </c>
      <c r="H15" s="30">
        <f>ROUND(G15*(1+$I$8),2)</f>
        <v>421.75</v>
      </c>
      <c r="I15" s="30">
        <f t="shared" si="0"/>
        <v>164482.5</v>
      </c>
      <c r="J15" s="252"/>
      <c r="K15" s="302">
        <f t="shared" si="2"/>
        <v>6.3499519527733861E-2</v>
      </c>
      <c r="L15" s="302">
        <f t="shared" si="3"/>
        <v>0.42949212286496219</v>
      </c>
      <c r="M15" s="211" t="str">
        <f t="shared" si="1"/>
        <v>A</v>
      </c>
      <c r="N15" s="212" t="s">
        <v>605</v>
      </c>
      <c r="O15" s="212" t="s">
        <v>606</v>
      </c>
      <c r="P15" s="252"/>
    </row>
    <row r="16" spans="1:17" s="32" customFormat="1" x14ac:dyDescent="0.3">
      <c r="A16" s="322" t="s">
        <v>149</v>
      </c>
      <c r="B16" s="322" t="s">
        <v>664</v>
      </c>
      <c r="C16" s="323" t="s">
        <v>663</v>
      </c>
      <c r="D16" s="201" t="s">
        <v>662</v>
      </c>
      <c r="E16" s="245" t="s">
        <v>86</v>
      </c>
      <c r="F16" s="30">
        <v>3</v>
      </c>
      <c r="G16" s="30">
        <v>49161.4</v>
      </c>
      <c r="H16" s="30">
        <f>ROUND(G16*(1+$I$7),2)</f>
        <v>54618.32</v>
      </c>
      <c r="I16" s="30">
        <f t="shared" si="0"/>
        <v>163854.96</v>
      </c>
      <c r="J16" s="252"/>
      <c r="K16" s="302">
        <f t="shared" si="2"/>
        <v>6.3257253703196695E-2</v>
      </c>
      <c r="L16" s="302">
        <f t="shared" si="3"/>
        <v>0.49274937656815887</v>
      </c>
      <c r="M16" s="211" t="str">
        <f t="shared" si="1"/>
        <v>A</v>
      </c>
      <c r="N16" s="212" t="s">
        <v>605</v>
      </c>
      <c r="O16" s="212" t="s">
        <v>964</v>
      </c>
      <c r="P16" s="252"/>
    </row>
    <row r="17" spans="1:16" s="32" customFormat="1" ht="27.6" x14ac:dyDescent="0.3">
      <c r="A17" s="322" t="s">
        <v>248</v>
      </c>
      <c r="B17" s="322" t="s">
        <v>478</v>
      </c>
      <c r="C17" s="323" t="s">
        <v>772</v>
      </c>
      <c r="D17" s="201" t="s">
        <v>771</v>
      </c>
      <c r="E17" s="245" t="s">
        <v>87</v>
      </c>
      <c r="F17" s="30">
        <v>1271.6199999999999</v>
      </c>
      <c r="G17" s="446" t="s">
        <v>774</v>
      </c>
      <c r="H17" s="30">
        <f t="shared" ref="H17:H48" si="4">ROUND(G17*(1+$I$8),2)</f>
        <v>123.24</v>
      </c>
      <c r="I17" s="30">
        <f t="shared" si="0"/>
        <v>156714.44</v>
      </c>
      <c r="J17" s="252"/>
      <c r="K17" s="302">
        <f t="shared" si="2"/>
        <v>6.0500610357076753E-2</v>
      </c>
      <c r="L17" s="302">
        <f t="shared" si="3"/>
        <v>0.55324998692523564</v>
      </c>
      <c r="M17" s="211" t="str">
        <f t="shared" si="1"/>
        <v>A</v>
      </c>
      <c r="N17" s="212" t="s">
        <v>605</v>
      </c>
      <c r="O17" s="212" t="s">
        <v>606</v>
      </c>
      <c r="P17" s="252"/>
    </row>
    <row r="18" spans="1:16" s="32" customFormat="1" ht="55.2" x14ac:dyDescent="0.3">
      <c r="A18" s="322" t="s">
        <v>229</v>
      </c>
      <c r="B18" s="322" t="s">
        <v>35</v>
      </c>
      <c r="C18" s="323" t="s">
        <v>477</v>
      </c>
      <c r="D18" s="201" t="s">
        <v>476</v>
      </c>
      <c r="E18" s="245" t="s">
        <v>88</v>
      </c>
      <c r="F18" s="30">
        <v>1245.83</v>
      </c>
      <c r="G18" s="30" t="s">
        <v>668</v>
      </c>
      <c r="H18" s="30">
        <f t="shared" si="4"/>
        <v>116.46</v>
      </c>
      <c r="I18" s="30">
        <f t="shared" si="0"/>
        <v>145089.35999999999</v>
      </c>
      <c r="J18" s="252"/>
      <c r="K18" s="302">
        <f t="shared" si="2"/>
        <v>5.601267398407981E-2</v>
      </c>
      <c r="L18" s="302">
        <f t="shared" si="3"/>
        <v>0.60926266090931547</v>
      </c>
      <c r="M18" s="211" t="str">
        <f t="shared" si="1"/>
        <v>A</v>
      </c>
      <c r="N18" s="212" t="s">
        <v>605</v>
      </c>
      <c r="O18" s="212" t="s">
        <v>606</v>
      </c>
      <c r="P18" s="252"/>
    </row>
    <row r="19" spans="1:16" s="32" customFormat="1" ht="55.2" x14ac:dyDescent="0.3">
      <c r="A19" s="322" t="s">
        <v>136</v>
      </c>
      <c r="B19" s="322" t="s">
        <v>484</v>
      </c>
      <c r="C19" s="445" t="s">
        <v>676</v>
      </c>
      <c r="D19" s="201" t="s">
        <v>675</v>
      </c>
      <c r="E19" s="245" t="s">
        <v>124</v>
      </c>
      <c r="F19" s="30">
        <v>5593.77</v>
      </c>
      <c r="G19" s="446">
        <v>18.36</v>
      </c>
      <c r="H19" s="30">
        <f t="shared" si="4"/>
        <v>22.12</v>
      </c>
      <c r="I19" s="30">
        <f t="shared" si="0"/>
        <v>123734.19</v>
      </c>
      <c r="J19" s="252"/>
      <c r="K19" s="302">
        <f t="shared" si="2"/>
        <v>4.7768374229193576E-2</v>
      </c>
      <c r="L19" s="302">
        <f t="shared" si="3"/>
        <v>0.65703103513850902</v>
      </c>
      <c r="M19" s="211" t="str">
        <f t="shared" si="1"/>
        <v>A</v>
      </c>
      <c r="N19" s="212" t="s">
        <v>605</v>
      </c>
      <c r="O19" s="212" t="s">
        <v>606</v>
      </c>
      <c r="P19" s="252"/>
    </row>
    <row r="20" spans="1:16" s="32" customFormat="1" ht="69" x14ac:dyDescent="0.3">
      <c r="A20" s="322" t="s">
        <v>161</v>
      </c>
      <c r="B20" s="322" t="s">
        <v>35</v>
      </c>
      <c r="C20" s="323" t="s">
        <v>319</v>
      </c>
      <c r="D20" s="201" t="s">
        <v>320</v>
      </c>
      <c r="E20" s="245" t="s">
        <v>88</v>
      </c>
      <c r="F20" s="30">
        <v>1798.52</v>
      </c>
      <c r="G20" s="30" t="s">
        <v>651</v>
      </c>
      <c r="H20" s="30">
        <f t="shared" si="4"/>
        <v>52.61</v>
      </c>
      <c r="I20" s="30">
        <f t="shared" si="0"/>
        <v>94620.13</v>
      </c>
      <c r="J20" s="252"/>
      <c r="K20" s="302">
        <f t="shared" si="2"/>
        <v>3.6528705440710817E-2</v>
      </c>
      <c r="L20" s="302">
        <f t="shared" si="3"/>
        <v>0.69355974057921987</v>
      </c>
      <c r="M20" s="469"/>
      <c r="N20" s="252"/>
      <c r="O20" s="252"/>
      <c r="P20" s="252"/>
    </row>
    <row r="21" spans="1:16" s="32" customFormat="1" x14ac:dyDescent="0.3">
      <c r="A21" s="322" t="s">
        <v>8</v>
      </c>
      <c r="B21" s="322" t="s">
        <v>143</v>
      </c>
      <c r="C21" s="323" t="s">
        <v>144</v>
      </c>
      <c r="D21" s="201" t="s">
        <v>220</v>
      </c>
      <c r="E21" s="245" t="s">
        <v>86</v>
      </c>
      <c r="F21" s="30">
        <v>1</v>
      </c>
      <c r="G21" s="30">
        <f>COMPOSIÇÕES!J20</f>
        <v>63214.31</v>
      </c>
      <c r="H21" s="30">
        <f t="shared" si="4"/>
        <v>76173.240000000005</v>
      </c>
      <c r="I21" s="30">
        <f t="shared" si="0"/>
        <v>76173.240000000005</v>
      </c>
      <c r="K21" s="302">
        <f t="shared" si="2"/>
        <v>2.9407165752409883E-2</v>
      </c>
      <c r="L21" s="302">
        <f t="shared" si="3"/>
        <v>0.72296690633162974</v>
      </c>
      <c r="M21" s="470"/>
    </row>
    <row r="22" spans="1:16" s="32" customFormat="1" ht="27.6" x14ac:dyDescent="0.3">
      <c r="A22" s="322" t="s">
        <v>138</v>
      </c>
      <c r="B22" s="330" t="s">
        <v>35</v>
      </c>
      <c r="C22" s="323" t="s">
        <v>318</v>
      </c>
      <c r="D22" s="201" t="s">
        <v>455</v>
      </c>
      <c r="E22" s="245" t="s">
        <v>80</v>
      </c>
      <c r="F22" s="30">
        <v>53.96</v>
      </c>
      <c r="G22" s="30" t="s">
        <v>649</v>
      </c>
      <c r="H22" s="30">
        <f t="shared" si="4"/>
        <v>886.77</v>
      </c>
      <c r="I22" s="30">
        <f t="shared" si="0"/>
        <v>47850.1</v>
      </c>
      <c r="J22" s="252"/>
      <c r="K22" s="302">
        <f t="shared" si="2"/>
        <v>1.8472836680826336E-2</v>
      </c>
      <c r="L22" s="302">
        <f t="shared" si="3"/>
        <v>0.74143974301245608</v>
      </c>
      <c r="M22" s="470"/>
      <c r="N22" s="252"/>
      <c r="O22" s="252"/>
      <c r="P22" s="252"/>
    </row>
    <row r="23" spans="1:16" s="32" customFormat="1" ht="41.4" x14ac:dyDescent="0.3">
      <c r="A23" s="322" t="s">
        <v>218</v>
      </c>
      <c r="B23" s="322" t="s">
        <v>35</v>
      </c>
      <c r="C23" s="323" t="s">
        <v>417</v>
      </c>
      <c r="D23" s="201" t="s">
        <v>416</v>
      </c>
      <c r="E23" s="245" t="s">
        <v>87</v>
      </c>
      <c r="F23" s="30">
        <v>252</v>
      </c>
      <c r="G23" s="30" t="s">
        <v>657</v>
      </c>
      <c r="H23" s="30">
        <f t="shared" si="4"/>
        <v>177.26</v>
      </c>
      <c r="I23" s="30">
        <f t="shared" si="0"/>
        <v>44669.52</v>
      </c>
      <c r="J23" s="252"/>
      <c r="K23" s="302">
        <f t="shared" si="2"/>
        <v>1.7244953460304274E-2</v>
      </c>
      <c r="L23" s="302">
        <f t="shared" si="3"/>
        <v>0.75868469647276038</v>
      </c>
      <c r="M23" s="470"/>
      <c r="N23" s="252"/>
      <c r="O23" s="252"/>
      <c r="P23" s="252"/>
    </row>
    <row r="24" spans="1:16" s="32" customFormat="1" ht="69" x14ac:dyDescent="0.3">
      <c r="A24" s="322" t="s">
        <v>135</v>
      </c>
      <c r="B24" s="322" t="s">
        <v>35</v>
      </c>
      <c r="C24" s="323" t="s">
        <v>684</v>
      </c>
      <c r="D24" s="201" t="s">
        <v>683</v>
      </c>
      <c r="E24" s="245" t="s">
        <v>87</v>
      </c>
      <c r="F24" s="30">
        <v>150</v>
      </c>
      <c r="G24" s="30" t="s">
        <v>686</v>
      </c>
      <c r="H24" s="30">
        <f t="shared" si="4"/>
        <v>292.51</v>
      </c>
      <c r="I24" s="30">
        <f t="shared" si="0"/>
        <v>43876.5</v>
      </c>
      <c r="K24" s="302">
        <f t="shared" si="2"/>
        <v>1.6938803024994238E-2</v>
      </c>
      <c r="L24" s="302">
        <f t="shared" si="3"/>
        <v>0.77562349949775466</v>
      </c>
      <c r="M24" s="470"/>
    </row>
    <row r="25" spans="1:16" s="32" customFormat="1" ht="41.4" x14ac:dyDescent="0.3">
      <c r="A25" s="322" t="s">
        <v>157</v>
      </c>
      <c r="B25" s="322" t="s">
        <v>35</v>
      </c>
      <c r="C25" s="323" t="s">
        <v>696</v>
      </c>
      <c r="D25" s="201" t="s">
        <v>695</v>
      </c>
      <c r="E25" s="245" t="s">
        <v>86</v>
      </c>
      <c r="F25" s="30">
        <v>12</v>
      </c>
      <c r="G25" s="30" t="s">
        <v>697</v>
      </c>
      <c r="H25" s="30">
        <f t="shared" si="4"/>
        <v>3235.74</v>
      </c>
      <c r="I25" s="30">
        <f t="shared" si="0"/>
        <v>38828.879999999997</v>
      </c>
      <c r="K25" s="302">
        <f t="shared" si="2"/>
        <v>1.4990137089356221E-2</v>
      </c>
      <c r="L25" s="302">
        <f t="shared" si="3"/>
        <v>0.79061363658711092</v>
      </c>
      <c r="M25" s="470"/>
    </row>
    <row r="26" spans="1:16" s="32" customFormat="1" ht="27.6" x14ac:dyDescent="0.3">
      <c r="A26" s="322" t="s">
        <v>299</v>
      </c>
      <c r="B26" s="322" t="s">
        <v>478</v>
      </c>
      <c r="C26" s="323" t="s">
        <v>712</v>
      </c>
      <c r="D26" s="201" t="s">
        <v>711</v>
      </c>
      <c r="E26" s="245" t="s">
        <v>86</v>
      </c>
      <c r="F26" s="30">
        <v>108</v>
      </c>
      <c r="G26" s="30">
        <v>291.08</v>
      </c>
      <c r="H26" s="30">
        <f t="shared" si="4"/>
        <v>350.75</v>
      </c>
      <c r="I26" s="30">
        <f t="shared" si="0"/>
        <v>37881</v>
      </c>
      <c r="J26" s="252"/>
      <c r="K26" s="302">
        <f t="shared" si="2"/>
        <v>1.4624201962093757E-2</v>
      </c>
      <c r="L26" s="302">
        <f t="shared" si="3"/>
        <v>0.80523783854920472</v>
      </c>
      <c r="M26" s="470"/>
      <c r="N26" s="252"/>
      <c r="O26" s="252"/>
      <c r="P26" s="252"/>
    </row>
    <row r="27" spans="1:16" s="32" customFormat="1" ht="27.6" x14ac:dyDescent="0.3">
      <c r="A27" s="322" t="s">
        <v>454</v>
      </c>
      <c r="B27" s="322" t="s">
        <v>35</v>
      </c>
      <c r="C27" s="323" t="s">
        <v>630</v>
      </c>
      <c r="D27" s="201" t="s">
        <v>629</v>
      </c>
      <c r="E27" s="245" t="s">
        <v>88</v>
      </c>
      <c r="F27" s="30">
        <v>1245.83</v>
      </c>
      <c r="G27" s="30" t="s">
        <v>632</v>
      </c>
      <c r="H27" s="30">
        <f t="shared" si="4"/>
        <v>29.21</v>
      </c>
      <c r="I27" s="30">
        <f t="shared" si="0"/>
        <v>36390.69</v>
      </c>
      <c r="K27" s="302">
        <f t="shared" si="2"/>
        <v>1.4048858269315638E-2</v>
      </c>
      <c r="L27" s="302">
        <f t="shared" si="3"/>
        <v>0.8192866968185204</v>
      </c>
      <c r="M27" s="470"/>
    </row>
    <row r="28" spans="1:16" s="32" customFormat="1" ht="69" x14ac:dyDescent="0.3">
      <c r="A28" s="322" t="s">
        <v>288</v>
      </c>
      <c r="B28" s="322" t="s">
        <v>35</v>
      </c>
      <c r="C28" s="323" t="s">
        <v>442</v>
      </c>
      <c r="D28" s="201" t="s">
        <v>441</v>
      </c>
      <c r="E28" s="245" t="s">
        <v>86</v>
      </c>
      <c r="F28" s="30">
        <v>111</v>
      </c>
      <c r="G28" s="30" t="s">
        <v>812</v>
      </c>
      <c r="H28" s="30">
        <f t="shared" si="4"/>
        <v>323.54000000000002</v>
      </c>
      <c r="I28" s="30">
        <f t="shared" si="0"/>
        <v>35912.94</v>
      </c>
      <c r="K28" s="302">
        <f t="shared" si="2"/>
        <v>1.386441983085334E-2</v>
      </c>
      <c r="L28" s="302">
        <f t="shared" si="3"/>
        <v>0.83315111664937369</v>
      </c>
      <c r="M28" s="470"/>
    </row>
    <row r="29" spans="1:16" s="252" customFormat="1" ht="55.2" x14ac:dyDescent="0.3">
      <c r="A29" s="322" t="s">
        <v>300</v>
      </c>
      <c r="B29" s="322" t="s">
        <v>478</v>
      </c>
      <c r="C29" s="445" t="s">
        <v>838</v>
      </c>
      <c r="D29" s="201" t="s">
        <v>836</v>
      </c>
      <c r="E29" s="245" t="s">
        <v>837</v>
      </c>
      <c r="F29" s="30">
        <v>121</v>
      </c>
      <c r="G29" s="30">
        <v>222.37</v>
      </c>
      <c r="H29" s="30">
        <f t="shared" si="4"/>
        <v>267.95999999999998</v>
      </c>
      <c r="I29" s="30">
        <f t="shared" si="0"/>
        <v>32423.16</v>
      </c>
      <c r="K29" s="302">
        <f t="shared" si="2"/>
        <v>1.2517167975747203E-2</v>
      </c>
      <c r="L29" s="302">
        <f t="shared" si="3"/>
        <v>0.84566828462512089</v>
      </c>
      <c r="M29" s="470"/>
    </row>
    <row r="30" spans="1:16" s="252" customFormat="1" ht="27.6" x14ac:dyDescent="0.3">
      <c r="A30" s="322" t="s">
        <v>163</v>
      </c>
      <c r="B30" s="322" t="s">
        <v>478</v>
      </c>
      <c r="C30" s="323" t="s">
        <v>760</v>
      </c>
      <c r="D30" s="201" t="s">
        <v>759</v>
      </c>
      <c r="E30" s="245" t="s">
        <v>86</v>
      </c>
      <c r="F30" s="30">
        <v>63.97</v>
      </c>
      <c r="G30" s="30">
        <v>356.32</v>
      </c>
      <c r="H30" s="30">
        <f t="shared" si="4"/>
        <v>429.37</v>
      </c>
      <c r="I30" s="30">
        <f t="shared" si="0"/>
        <v>27466.79</v>
      </c>
      <c r="K30" s="302">
        <f t="shared" si="2"/>
        <v>1.0603729685341391E-2</v>
      </c>
      <c r="L30" s="302">
        <f t="shared" si="3"/>
        <v>0.85627201431046229</v>
      </c>
      <c r="M30" s="470"/>
    </row>
    <row r="31" spans="1:16" s="32" customFormat="1" ht="55.2" x14ac:dyDescent="0.3">
      <c r="A31" s="322" t="s">
        <v>159</v>
      </c>
      <c r="B31" s="322" t="s">
        <v>35</v>
      </c>
      <c r="C31" s="323" t="s">
        <v>187</v>
      </c>
      <c r="D31" s="201" t="s">
        <v>263</v>
      </c>
      <c r="E31" s="245" t="s">
        <v>88</v>
      </c>
      <c r="F31" s="30">
        <v>4998.08</v>
      </c>
      <c r="G31" s="30" t="s">
        <v>748</v>
      </c>
      <c r="H31" s="30">
        <f t="shared" si="4"/>
        <v>5.33</v>
      </c>
      <c r="I31" s="30">
        <f t="shared" si="0"/>
        <v>26639.759999999998</v>
      </c>
      <c r="K31" s="302">
        <f t="shared" si="2"/>
        <v>1.0284449472339873E-2</v>
      </c>
      <c r="L31" s="302">
        <f t="shared" si="3"/>
        <v>0.86655646378280216</v>
      </c>
      <c r="M31" s="470"/>
    </row>
    <row r="32" spans="1:16" s="32" customFormat="1" ht="27.6" x14ac:dyDescent="0.3">
      <c r="A32" s="322" t="s">
        <v>166</v>
      </c>
      <c r="B32" s="322" t="s">
        <v>35</v>
      </c>
      <c r="C32" s="323" t="s">
        <v>349</v>
      </c>
      <c r="D32" s="201" t="s">
        <v>422</v>
      </c>
      <c r="E32" s="245" t="s">
        <v>88</v>
      </c>
      <c r="F32" s="30">
        <v>1226.75</v>
      </c>
      <c r="G32" s="30" t="s">
        <v>704</v>
      </c>
      <c r="H32" s="30">
        <f t="shared" si="4"/>
        <v>20.420000000000002</v>
      </c>
      <c r="I32" s="30">
        <f t="shared" si="0"/>
        <v>25050.23</v>
      </c>
      <c r="K32" s="302">
        <f t="shared" si="2"/>
        <v>9.6708012649322859E-3</v>
      </c>
      <c r="L32" s="302">
        <f t="shared" si="3"/>
        <v>0.8762272650477344</v>
      </c>
      <c r="M32" s="470"/>
    </row>
    <row r="33" spans="1:16" s="32" customFormat="1" ht="55.2" x14ac:dyDescent="0.3">
      <c r="A33" s="322" t="s">
        <v>147</v>
      </c>
      <c r="B33" s="322" t="s">
        <v>143</v>
      </c>
      <c r="C33" s="323" t="s">
        <v>155</v>
      </c>
      <c r="D33" s="201" t="s">
        <v>151</v>
      </c>
      <c r="E33" s="245" t="s">
        <v>86</v>
      </c>
      <c r="F33" s="30">
        <v>121</v>
      </c>
      <c r="G33" s="30">
        <f>COMPOSIÇÕES!J74</f>
        <v>138.53</v>
      </c>
      <c r="H33" s="30">
        <f t="shared" si="4"/>
        <v>166.93</v>
      </c>
      <c r="I33" s="30">
        <f t="shared" si="0"/>
        <v>20198.53</v>
      </c>
      <c r="K33" s="302">
        <f t="shared" si="2"/>
        <v>7.7977714964602204E-3</v>
      </c>
      <c r="L33" s="302">
        <f t="shared" si="3"/>
        <v>0.88402503654419462</v>
      </c>
      <c r="M33" s="470"/>
    </row>
    <row r="34" spans="1:16" s="252" customFormat="1" ht="27.6" x14ac:dyDescent="0.3">
      <c r="A34" s="322" t="s">
        <v>167</v>
      </c>
      <c r="B34" s="322" t="s">
        <v>35</v>
      </c>
      <c r="C34" s="323" t="s">
        <v>91</v>
      </c>
      <c r="D34" s="201" t="s">
        <v>424</v>
      </c>
      <c r="E34" s="245" t="s">
        <v>88</v>
      </c>
      <c r="F34" s="30">
        <v>1226.75</v>
      </c>
      <c r="G34" s="30" t="s">
        <v>706</v>
      </c>
      <c r="H34" s="30">
        <f t="shared" si="4"/>
        <v>16.32</v>
      </c>
      <c r="I34" s="30">
        <f t="shared" si="0"/>
        <v>20020.560000000001</v>
      </c>
      <c r="J34" s="32"/>
      <c r="K34" s="302">
        <f t="shared" si="2"/>
        <v>7.7290650414248785E-3</v>
      </c>
      <c r="L34" s="302">
        <f t="shared" si="3"/>
        <v>0.89175410158561952</v>
      </c>
      <c r="M34" s="470"/>
      <c r="N34" s="32"/>
      <c r="O34" s="32"/>
      <c r="P34" s="32"/>
    </row>
    <row r="35" spans="1:16" s="252" customFormat="1" x14ac:dyDescent="0.3">
      <c r="A35" s="322" t="s">
        <v>162</v>
      </c>
      <c r="B35" s="322" t="s">
        <v>484</v>
      </c>
      <c r="C35" s="323" t="s">
        <v>415</v>
      </c>
      <c r="D35" s="201" t="s">
        <v>414</v>
      </c>
      <c r="E35" s="245" t="s">
        <v>87</v>
      </c>
      <c r="F35" s="30">
        <v>187</v>
      </c>
      <c r="G35" s="30">
        <v>78.3</v>
      </c>
      <c r="H35" s="30">
        <f t="shared" si="4"/>
        <v>94.35</v>
      </c>
      <c r="I35" s="30">
        <f t="shared" si="0"/>
        <v>17643.45</v>
      </c>
      <c r="K35" s="302">
        <f t="shared" si="2"/>
        <v>6.8113665454476681E-3</v>
      </c>
      <c r="L35" s="302">
        <f t="shared" si="3"/>
        <v>0.89856546813106719</v>
      </c>
      <c r="M35" s="470"/>
    </row>
    <row r="36" spans="1:16" s="252" customFormat="1" ht="60.6" customHeight="1" x14ac:dyDescent="0.3">
      <c r="A36" s="322" t="s">
        <v>303</v>
      </c>
      <c r="B36" s="322" t="s">
        <v>478</v>
      </c>
      <c r="C36" s="323" t="s">
        <v>845</v>
      </c>
      <c r="D36" s="201" t="s">
        <v>844</v>
      </c>
      <c r="E36" s="245" t="s">
        <v>86</v>
      </c>
      <c r="F36" s="30">
        <v>101</v>
      </c>
      <c r="G36" s="30">
        <v>134.66</v>
      </c>
      <c r="H36" s="30">
        <f t="shared" si="4"/>
        <v>162.27000000000001</v>
      </c>
      <c r="I36" s="30">
        <f t="shared" si="0"/>
        <v>16389.27</v>
      </c>
      <c r="K36" s="302">
        <f t="shared" si="2"/>
        <v>6.3271823471208353E-3</v>
      </c>
      <c r="L36" s="302">
        <f t="shared" si="3"/>
        <v>0.90489265047818801</v>
      </c>
      <c r="M36" s="470"/>
    </row>
    <row r="37" spans="1:16" s="252" customFormat="1" ht="27.6" x14ac:dyDescent="0.3">
      <c r="A37" s="322" t="s">
        <v>862</v>
      </c>
      <c r="B37" s="322" t="s">
        <v>35</v>
      </c>
      <c r="C37" s="323" t="s">
        <v>693</v>
      </c>
      <c r="D37" s="201" t="s">
        <v>692</v>
      </c>
      <c r="E37" s="245" t="s">
        <v>88</v>
      </c>
      <c r="F37" s="30">
        <v>1226.75</v>
      </c>
      <c r="G37" s="30">
        <v>10.35</v>
      </c>
      <c r="H37" s="30">
        <f t="shared" si="4"/>
        <v>12.47</v>
      </c>
      <c r="I37" s="30">
        <f t="shared" si="0"/>
        <v>15297.57</v>
      </c>
      <c r="J37" s="32"/>
      <c r="K37" s="302">
        <f t="shared" si="2"/>
        <v>5.9057245904085582E-3</v>
      </c>
      <c r="L37" s="302">
        <f t="shared" si="3"/>
        <v>0.91079837506859662</v>
      </c>
      <c r="M37" s="470"/>
      <c r="N37" s="32"/>
      <c r="O37" s="32"/>
      <c r="P37" s="32"/>
    </row>
    <row r="38" spans="1:16" s="32" customFormat="1" ht="41.4" x14ac:dyDescent="0.3">
      <c r="A38" s="322" t="s">
        <v>114</v>
      </c>
      <c r="B38" s="322" t="s">
        <v>35</v>
      </c>
      <c r="C38" s="323" t="s">
        <v>450</v>
      </c>
      <c r="D38" s="201" t="s">
        <v>449</v>
      </c>
      <c r="E38" s="245" t="s">
        <v>88</v>
      </c>
      <c r="F38" s="30">
        <v>27</v>
      </c>
      <c r="G38" s="30" t="s">
        <v>611</v>
      </c>
      <c r="H38" s="30">
        <f t="shared" si="4"/>
        <v>561.23</v>
      </c>
      <c r="I38" s="30">
        <f t="shared" si="0"/>
        <v>15153.21</v>
      </c>
      <c r="K38" s="302">
        <f t="shared" si="2"/>
        <v>5.8499934905102483E-3</v>
      </c>
      <c r="L38" s="302">
        <f t="shared" si="3"/>
        <v>0.91664836855910692</v>
      </c>
      <c r="M38" s="470"/>
    </row>
    <row r="39" spans="1:16" s="252" customFormat="1" x14ac:dyDescent="0.3">
      <c r="A39" s="322" t="s">
        <v>260</v>
      </c>
      <c r="B39" s="322" t="s">
        <v>484</v>
      </c>
      <c r="C39" s="323" t="s">
        <v>736</v>
      </c>
      <c r="D39" s="201" t="s">
        <v>735</v>
      </c>
      <c r="E39" s="245" t="s">
        <v>88</v>
      </c>
      <c r="F39" s="30">
        <v>45</v>
      </c>
      <c r="G39" s="30">
        <v>256.32</v>
      </c>
      <c r="H39" s="30">
        <f t="shared" si="4"/>
        <v>308.87</v>
      </c>
      <c r="I39" s="30">
        <f t="shared" si="0"/>
        <v>13899.15</v>
      </c>
      <c r="J39" s="32"/>
      <c r="K39" s="302">
        <f t="shared" si="2"/>
        <v>5.3658556189497492E-3</v>
      </c>
      <c r="L39" s="302">
        <f t="shared" si="3"/>
        <v>0.92201422417805667</v>
      </c>
      <c r="M39" s="470"/>
      <c r="N39" s="32"/>
      <c r="O39" s="32"/>
      <c r="P39" s="32"/>
    </row>
    <row r="40" spans="1:16" s="252" customFormat="1" ht="41.4" x14ac:dyDescent="0.3">
      <c r="A40" s="322" t="s">
        <v>291</v>
      </c>
      <c r="B40" s="322" t="s">
        <v>35</v>
      </c>
      <c r="C40" s="323" t="s">
        <v>252</v>
      </c>
      <c r="D40" s="201" t="s">
        <v>251</v>
      </c>
      <c r="E40" s="245" t="s">
        <v>86</v>
      </c>
      <c r="F40" s="30">
        <v>114</v>
      </c>
      <c r="G40" s="30" t="s">
        <v>819</v>
      </c>
      <c r="H40" s="30">
        <f t="shared" si="4"/>
        <v>120.34</v>
      </c>
      <c r="I40" s="30">
        <f t="shared" si="0"/>
        <v>13718.76</v>
      </c>
      <c r="J40" s="32"/>
      <c r="K40" s="302">
        <f t="shared" si="2"/>
        <v>5.2962149074600286E-3</v>
      </c>
      <c r="L40" s="302">
        <f t="shared" si="3"/>
        <v>0.92731043908551669</v>
      </c>
      <c r="M40" s="470"/>
      <c r="N40" s="32"/>
      <c r="O40" s="32"/>
      <c r="P40" s="32"/>
    </row>
    <row r="41" spans="1:16" s="252" customFormat="1" ht="27.6" x14ac:dyDescent="0.3">
      <c r="A41" s="322" t="s">
        <v>745</v>
      </c>
      <c r="B41" s="322" t="s">
        <v>35</v>
      </c>
      <c r="C41" s="323" t="s">
        <v>634</v>
      </c>
      <c r="D41" s="201" t="s">
        <v>633</v>
      </c>
      <c r="E41" s="245" t="s">
        <v>88</v>
      </c>
      <c r="F41" s="30">
        <v>87.42</v>
      </c>
      <c r="G41" s="30" t="s">
        <v>636</v>
      </c>
      <c r="H41" s="30">
        <f t="shared" si="4"/>
        <v>149.38</v>
      </c>
      <c r="I41" s="30">
        <f t="shared" si="0"/>
        <v>13058.79</v>
      </c>
      <c r="J41" s="32"/>
      <c r="K41" s="302">
        <f t="shared" si="2"/>
        <v>5.0414292743214371E-3</v>
      </c>
      <c r="L41" s="302">
        <f t="shared" si="3"/>
        <v>0.93235186835983808</v>
      </c>
      <c r="M41" s="470"/>
      <c r="N41" s="32"/>
      <c r="O41" s="32"/>
      <c r="P41" s="32"/>
    </row>
    <row r="42" spans="1:16" s="252" customFormat="1" ht="39.6" customHeight="1" x14ac:dyDescent="0.3">
      <c r="A42" s="322" t="s">
        <v>140</v>
      </c>
      <c r="B42" s="322" t="s">
        <v>35</v>
      </c>
      <c r="C42" s="323" t="s">
        <v>274</v>
      </c>
      <c r="D42" s="201" t="s">
        <v>273</v>
      </c>
      <c r="E42" s="245" t="s">
        <v>88</v>
      </c>
      <c r="F42" s="30">
        <v>15.36</v>
      </c>
      <c r="G42" s="30" t="s">
        <v>755</v>
      </c>
      <c r="H42" s="30">
        <f t="shared" si="4"/>
        <v>832.87</v>
      </c>
      <c r="I42" s="30">
        <f t="shared" si="0"/>
        <v>12792.88</v>
      </c>
      <c r="K42" s="302">
        <f t="shared" si="2"/>
        <v>4.9387730206919027E-3</v>
      </c>
      <c r="L42" s="302">
        <f t="shared" si="3"/>
        <v>0.93729064138052998</v>
      </c>
      <c r="M42" s="470"/>
    </row>
    <row r="43" spans="1:16" s="252" customFormat="1" ht="33.6" customHeight="1" x14ac:dyDescent="0.3">
      <c r="A43" s="322" t="s">
        <v>170</v>
      </c>
      <c r="B43" s="322" t="s">
        <v>143</v>
      </c>
      <c r="C43" s="323" t="s">
        <v>175</v>
      </c>
      <c r="D43" s="201" t="s">
        <v>153</v>
      </c>
      <c r="E43" s="245" t="s">
        <v>86</v>
      </c>
      <c r="F43" s="30">
        <v>129</v>
      </c>
      <c r="G43" s="30">
        <f>COMPOSIÇÕES!J112</f>
        <v>76.81</v>
      </c>
      <c r="H43" s="30">
        <f t="shared" si="4"/>
        <v>92.56</v>
      </c>
      <c r="I43" s="30">
        <f t="shared" si="0"/>
        <v>11940.24</v>
      </c>
      <c r="J43" s="32"/>
      <c r="K43" s="302">
        <f t="shared" si="2"/>
        <v>4.6096059036422046E-3</v>
      </c>
      <c r="L43" s="302">
        <f t="shared" si="3"/>
        <v>0.94190024728417221</v>
      </c>
      <c r="M43" s="470"/>
      <c r="N43" s="32"/>
      <c r="O43" s="32"/>
      <c r="P43" s="32"/>
    </row>
    <row r="44" spans="1:16" s="252" customFormat="1" ht="41.4" x14ac:dyDescent="0.3">
      <c r="A44" s="322" t="s">
        <v>189</v>
      </c>
      <c r="B44" s="322" t="s">
        <v>35</v>
      </c>
      <c r="C44" s="323" t="s">
        <v>624</v>
      </c>
      <c r="D44" s="201" t="s">
        <v>623</v>
      </c>
      <c r="E44" s="245" t="s">
        <v>80</v>
      </c>
      <c r="F44" s="30">
        <v>89.93</v>
      </c>
      <c r="G44" s="30" t="s">
        <v>626</v>
      </c>
      <c r="H44" s="30">
        <f t="shared" si="4"/>
        <v>129.30000000000001</v>
      </c>
      <c r="I44" s="30">
        <f t="shared" ref="I44:I75" si="5">TRUNC($F44*H44,2)</f>
        <v>11627.94</v>
      </c>
      <c r="J44" s="32"/>
      <c r="K44" s="302">
        <f t="shared" si="2"/>
        <v>4.4890404942611994E-3</v>
      </c>
      <c r="L44" s="302">
        <f t="shared" si="3"/>
        <v>0.94638928777843345</v>
      </c>
      <c r="M44" s="470"/>
      <c r="N44" s="32"/>
      <c r="O44" s="32"/>
      <c r="P44" s="32"/>
    </row>
    <row r="45" spans="1:16" s="252" customFormat="1" ht="55.2" x14ac:dyDescent="0.3">
      <c r="A45" s="322" t="s">
        <v>186</v>
      </c>
      <c r="B45" s="322" t="s">
        <v>35</v>
      </c>
      <c r="C45" s="323" t="s">
        <v>699</v>
      </c>
      <c r="D45" s="201" t="s">
        <v>698</v>
      </c>
      <c r="E45" s="245" t="s">
        <v>86</v>
      </c>
      <c r="F45" s="30">
        <v>2</v>
      </c>
      <c r="G45" s="30" t="s">
        <v>701</v>
      </c>
      <c r="H45" s="30">
        <f t="shared" si="4"/>
        <v>5606.29</v>
      </c>
      <c r="I45" s="30">
        <f t="shared" si="5"/>
        <v>11212.58</v>
      </c>
      <c r="J45" s="32"/>
      <c r="K45" s="302">
        <f t="shared" si="2"/>
        <v>4.3286881137280754E-3</v>
      </c>
      <c r="L45" s="302">
        <f t="shared" si="3"/>
        <v>0.95071797589216156</v>
      </c>
      <c r="M45" s="470"/>
      <c r="N45" s="32"/>
      <c r="O45" s="32"/>
      <c r="P45" s="32"/>
    </row>
    <row r="46" spans="1:16" s="252" customFormat="1" ht="69" x14ac:dyDescent="0.3">
      <c r="A46" s="322" t="s">
        <v>296</v>
      </c>
      <c r="B46" s="322" t="s">
        <v>143</v>
      </c>
      <c r="C46" s="323" t="s">
        <v>195</v>
      </c>
      <c r="D46" s="201" t="s">
        <v>550</v>
      </c>
      <c r="E46" s="245" t="s">
        <v>86</v>
      </c>
      <c r="F46" s="30">
        <v>1</v>
      </c>
      <c r="G46" s="30">
        <f>COMPOSIÇÕES!J145</f>
        <v>9162.51</v>
      </c>
      <c r="H46" s="30">
        <f t="shared" si="4"/>
        <v>11040.82</v>
      </c>
      <c r="I46" s="30">
        <f t="shared" si="5"/>
        <v>11040.82</v>
      </c>
      <c r="J46" s="32"/>
      <c r="K46" s="302">
        <f t="shared" si="2"/>
        <v>4.2623790688504524E-3</v>
      </c>
      <c r="L46" s="302">
        <f t="shared" si="3"/>
        <v>0.95498035496101197</v>
      </c>
      <c r="M46" s="470"/>
      <c r="N46" s="32"/>
      <c r="O46" s="32"/>
      <c r="P46" s="32"/>
    </row>
    <row r="47" spans="1:16" s="252" customFormat="1" ht="33.6" customHeight="1" x14ac:dyDescent="0.3">
      <c r="A47" s="322" t="s">
        <v>268</v>
      </c>
      <c r="B47" s="322" t="s">
        <v>35</v>
      </c>
      <c r="C47" s="323" t="s">
        <v>485</v>
      </c>
      <c r="D47" s="201" t="s">
        <v>486</v>
      </c>
      <c r="E47" s="245" t="s">
        <v>87</v>
      </c>
      <c r="F47" s="30">
        <v>186.4</v>
      </c>
      <c r="G47" s="30" t="s">
        <v>726</v>
      </c>
      <c r="H47" s="30">
        <f t="shared" si="4"/>
        <v>55.9</v>
      </c>
      <c r="I47" s="30">
        <f t="shared" si="5"/>
        <v>10419.76</v>
      </c>
      <c r="K47" s="302">
        <f t="shared" si="2"/>
        <v>4.0226148896952574E-3</v>
      </c>
      <c r="L47" s="302">
        <f t="shared" si="3"/>
        <v>0.95900296985070721</v>
      </c>
      <c r="M47" s="470"/>
    </row>
    <row r="48" spans="1:16" s="252" customFormat="1" x14ac:dyDescent="0.3">
      <c r="A48" s="322" t="s">
        <v>863</v>
      </c>
      <c r="B48" s="322" t="s">
        <v>35</v>
      </c>
      <c r="C48" s="323" t="s">
        <v>410</v>
      </c>
      <c r="D48" s="201" t="s">
        <v>452</v>
      </c>
      <c r="E48" s="245" t="s">
        <v>88</v>
      </c>
      <c r="F48" s="30">
        <v>88</v>
      </c>
      <c r="G48" s="30" t="s">
        <v>645</v>
      </c>
      <c r="H48" s="30">
        <f t="shared" si="4"/>
        <v>114.31</v>
      </c>
      <c r="I48" s="30">
        <f t="shared" si="5"/>
        <v>10059.280000000001</v>
      </c>
      <c r="J48" s="32"/>
      <c r="K48" s="302">
        <f t="shared" si="2"/>
        <v>3.8834492836316492E-3</v>
      </c>
      <c r="L48" s="302">
        <f t="shared" si="3"/>
        <v>0.96288641913433881</v>
      </c>
      <c r="M48" s="470"/>
      <c r="N48" s="32"/>
      <c r="O48" s="32"/>
      <c r="P48" s="32"/>
    </row>
    <row r="49" spans="1:16" s="252" customFormat="1" ht="69" x14ac:dyDescent="0.3">
      <c r="A49" s="322" t="s">
        <v>268</v>
      </c>
      <c r="B49" s="322" t="s">
        <v>35</v>
      </c>
      <c r="C49" s="323" t="s">
        <v>732</v>
      </c>
      <c r="D49" s="201" t="s">
        <v>731</v>
      </c>
      <c r="E49" s="245" t="s">
        <v>87</v>
      </c>
      <c r="F49" s="30">
        <v>50</v>
      </c>
      <c r="G49" s="30" t="s">
        <v>734</v>
      </c>
      <c r="H49" s="30">
        <f t="shared" ref="H49:H80" si="6">ROUND(G49*(1+$I$8),2)</f>
        <v>158.19999999999999</v>
      </c>
      <c r="I49" s="30">
        <f t="shared" si="5"/>
        <v>7910</v>
      </c>
      <c r="K49" s="302">
        <f t="shared" si="2"/>
        <v>3.053706014101043E-3</v>
      </c>
      <c r="L49" s="302">
        <f t="shared" si="3"/>
        <v>0.96594012514843985</v>
      </c>
      <c r="M49" s="470"/>
    </row>
    <row r="50" spans="1:16" s="252" customFormat="1" ht="42" customHeight="1" x14ac:dyDescent="0.3">
      <c r="A50" s="322" t="s">
        <v>345</v>
      </c>
      <c r="B50" s="322" t="s">
        <v>35</v>
      </c>
      <c r="C50" s="323" t="s">
        <v>728</v>
      </c>
      <c r="D50" s="201" t="s">
        <v>727</v>
      </c>
      <c r="E50" s="245" t="s">
        <v>86</v>
      </c>
      <c r="F50" s="30">
        <v>12</v>
      </c>
      <c r="G50" s="30" t="s">
        <v>730</v>
      </c>
      <c r="H50" s="30">
        <f t="shared" si="6"/>
        <v>641.75</v>
      </c>
      <c r="I50" s="30">
        <f t="shared" si="5"/>
        <v>7701</v>
      </c>
      <c r="K50" s="302">
        <f t="shared" si="2"/>
        <v>2.9730202294048209E-3</v>
      </c>
      <c r="L50" s="302">
        <f t="shared" si="3"/>
        <v>0.96891314537784468</v>
      </c>
      <c r="M50" s="470"/>
    </row>
    <row r="51" spans="1:16" s="252" customFormat="1" ht="41.4" x14ac:dyDescent="0.3">
      <c r="A51" s="322" t="s">
        <v>297</v>
      </c>
      <c r="B51" s="322" t="s">
        <v>35</v>
      </c>
      <c r="C51" s="323" t="s">
        <v>599</v>
      </c>
      <c r="D51" s="201" t="s">
        <v>600</v>
      </c>
      <c r="E51" s="245" t="s">
        <v>87</v>
      </c>
      <c r="F51" s="30">
        <v>200</v>
      </c>
      <c r="G51" s="30" t="s">
        <v>833</v>
      </c>
      <c r="H51" s="30">
        <f t="shared" si="6"/>
        <v>38.32</v>
      </c>
      <c r="I51" s="30">
        <f t="shared" si="5"/>
        <v>7664</v>
      </c>
      <c r="K51" s="302">
        <f t="shared" si="2"/>
        <v>2.958736143118887E-3</v>
      </c>
      <c r="L51" s="302">
        <f t="shared" si="3"/>
        <v>0.9718718815209636</v>
      </c>
      <c r="M51" s="470"/>
    </row>
    <row r="52" spans="1:16" s="252" customFormat="1" ht="41.4" x14ac:dyDescent="0.3">
      <c r="A52" s="322" t="s">
        <v>185</v>
      </c>
      <c r="B52" s="322" t="s">
        <v>35</v>
      </c>
      <c r="C52" s="323" t="s">
        <v>618</v>
      </c>
      <c r="D52" s="201" t="s">
        <v>617</v>
      </c>
      <c r="E52" s="245" t="s">
        <v>88</v>
      </c>
      <c r="F52" s="30">
        <v>1562.66</v>
      </c>
      <c r="G52" s="30" t="s">
        <v>621</v>
      </c>
      <c r="H52" s="30">
        <f t="shared" si="6"/>
        <v>4.53</v>
      </c>
      <c r="I52" s="30">
        <f t="shared" si="5"/>
        <v>7078.84</v>
      </c>
      <c r="J52" s="32"/>
      <c r="K52" s="302">
        <f t="shared" si="2"/>
        <v>2.7328313882249091E-3</v>
      </c>
      <c r="L52" s="302">
        <f t="shared" si="3"/>
        <v>0.97460471290918849</v>
      </c>
      <c r="M52" s="470"/>
      <c r="N52" s="32"/>
      <c r="O52" s="32"/>
      <c r="P52" s="32"/>
    </row>
    <row r="53" spans="1:16" s="280" customFormat="1" ht="27.6" x14ac:dyDescent="0.3">
      <c r="A53" s="330" t="s">
        <v>184</v>
      </c>
      <c r="B53" s="330" t="s">
        <v>35</v>
      </c>
      <c r="C53" s="323" t="s">
        <v>193</v>
      </c>
      <c r="D53" s="201" t="s">
        <v>421</v>
      </c>
      <c r="E53" s="277" t="s">
        <v>88</v>
      </c>
      <c r="F53" s="279">
        <v>1226.75</v>
      </c>
      <c r="G53" s="30" t="s">
        <v>555</v>
      </c>
      <c r="H53" s="279">
        <f t="shared" si="6"/>
        <v>5.1100000000000003</v>
      </c>
      <c r="I53" s="279">
        <f t="shared" si="5"/>
        <v>6268.69</v>
      </c>
      <c r="K53" s="302">
        <f t="shared" si="2"/>
        <v>2.4200678070208682E-3</v>
      </c>
      <c r="L53" s="302">
        <f t="shared" si="3"/>
        <v>0.97702478071620935</v>
      </c>
      <c r="M53" s="470"/>
    </row>
    <row r="54" spans="1:16" s="32" customFormat="1" ht="27.6" x14ac:dyDescent="0.3">
      <c r="A54" s="322" t="s">
        <v>459</v>
      </c>
      <c r="B54" s="322" t="s">
        <v>478</v>
      </c>
      <c r="C54" s="323" t="s">
        <v>739</v>
      </c>
      <c r="D54" s="201" t="s">
        <v>738</v>
      </c>
      <c r="E54" s="29" t="s">
        <v>87</v>
      </c>
      <c r="F54" s="30">
        <v>22.2</v>
      </c>
      <c r="G54" s="446">
        <v>201.89</v>
      </c>
      <c r="H54" s="30">
        <f t="shared" si="6"/>
        <v>243.28</v>
      </c>
      <c r="I54" s="30">
        <f t="shared" si="5"/>
        <v>5400.81</v>
      </c>
      <c r="K54" s="302">
        <f t="shared" si="2"/>
        <v>2.0850171906469099E-3</v>
      </c>
      <c r="L54" s="302">
        <f t="shared" si="3"/>
        <v>0.97910979790685626</v>
      </c>
      <c r="M54" s="470"/>
    </row>
    <row r="55" spans="1:16" s="32" customFormat="1" ht="55.2" x14ac:dyDescent="0.3">
      <c r="A55" s="322" t="s">
        <v>231</v>
      </c>
      <c r="B55" s="322" t="s">
        <v>35</v>
      </c>
      <c r="C55" s="323" t="s">
        <v>411</v>
      </c>
      <c r="D55" s="201" t="s">
        <v>483</v>
      </c>
      <c r="E55" s="245" t="s">
        <v>87</v>
      </c>
      <c r="F55" s="30">
        <v>80</v>
      </c>
      <c r="G55" s="30" t="s">
        <v>670</v>
      </c>
      <c r="H55" s="30">
        <f t="shared" si="6"/>
        <v>65.25</v>
      </c>
      <c r="I55" s="30">
        <f t="shared" si="5"/>
        <v>5220</v>
      </c>
      <c r="K55" s="302">
        <f t="shared" si="2"/>
        <v>2.0152143354750249E-3</v>
      </c>
      <c r="L55" s="302">
        <f t="shared" si="3"/>
        <v>0.98112501224233128</v>
      </c>
      <c r="M55" s="470"/>
    </row>
    <row r="56" spans="1:16" s="32" customFormat="1" ht="27.6" x14ac:dyDescent="0.3">
      <c r="A56" s="322" t="s">
        <v>174</v>
      </c>
      <c r="B56" s="322" t="s">
        <v>35</v>
      </c>
      <c r="C56" s="323" t="s">
        <v>440</v>
      </c>
      <c r="D56" s="201" t="s">
        <v>439</v>
      </c>
      <c r="E56" s="245" t="s">
        <v>88</v>
      </c>
      <c r="F56" s="30">
        <v>1798.52</v>
      </c>
      <c r="G56" s="30">
        <v>2.1</v>
      </c>
      <c r="H56" s="30">
        <f t="shared" si="6"/>
        <v>2.5299999999999998</v>
      </c>
      <c r="I56" s="30">
        <f t="shared" si="5"/>
        <v>4550.25</v>
      </c>
      <c r="J56" s="252"/>
      <c r="K56" s="302">
        <f t="shared" si="2"/>
        <v>1.7566530708803124E-3</v>
      </c>
      <c r="L56" s="302">
        <f t="shared" si="3"/>
        <v>0.98288166531321164</v>
      </c>
      <c r="M56" s="470"/>
      <c r="N56" s="252"/>
      <c r="O56" s="252"/>
      <c r="P56" s="252"/>
    </row>
    <row r="57" spans="1:16" s="32" customFormat="1" ht="55.2" x14ac:dyDescent="0.3">
      <c r="A57" s="322" t="s">
        <v>192</v>
      </c>
      <c r="B57" s="322" t="s">
        <v>35</v>
      </c>
      <c r="C57" s="323" t="s">
        <v>134</v>
      </c>
      <c r="D57" s="201" t="s">
        <v>133</v>
      </c>
      <c r="E57" s="245" t="s">
        <v>88</v>
      </c>
      <c r="F57" s="30">
        <v>70.099999999999994</v>
      </c>
      <c r="G57" s="30" t="s">
        <v>778</v>
      </c>
      <c r="H57" s="30">
        <f t="shared" si="6"/>
        <v>62.88</v>
      </c>
      <c r="I57" s="30">
        <f t="shared" si="5"/>
        <v>4407.88</v>
      </c>
      <c r="K57" s="302">
        <f t="shared" si="2"/>
        <v>1.7016902231903549E-3</v>
      </c>
      <c r="L57" s="302">
        <f t="shared" si="3"/>
        <v>0.98458335553640197</v>
      </c>
      <c r="M57" s="470"/>
    </row>
    <row r="58" spans="1:16" s="32" customFormat="1" ht="27.6" x14ac:dyDescent="0.3">
      <c r="A58" s="322" t="s">
        <v>287</v>
      </c>
      <c r="B58" s="322" t="s">
        <v>35</v>
      </c>
      <c r="C58" s="323" t="s">
        <v>146</v>
      </c>
      <c r="D58" s="201" t="s">
        <v>145</v>
      </c>
      <c r="E58" s="245" t="s">
        <v>86</v>
      </c>
      <c r="F58" s="30">
        <v>8</v>
      </c>
      <c r="G58" s="30" t="s">
        <v>808</v>
      </c>
      <c r="H58" s="30">
        <f t="shared" si="6"/>
        <v>546.16999999999996</v>
      </c>
      <c r="I58" s="30">
        <f t="shared" si="5"/>
        <v>4369.3599999999997</v>
      </c>
      <c r="K58" s="302">
        <f t="shared" si="2"/>
        <v>1.686819331197539E-3</v>
      </c>
      <c r="L58" s="302">
        <f t="shared" si="3"/>
        <v>0.98627017486759949</v>
      </c>
      <c r="M58" s="470"/>
    </row>
    <row r="59" spans="1:16" s="32" customFormat="1" ht="41.4" x14ac:dyDescent="0.3">
      <c r="A59" s="322" t="s">
        <v>462</v>
      </c>
      <c r="B59" s="322" t="s">
        <v>35</v>
      </c>
      <c r="C59" s="323" t="s">
        <v>742</v>
      </c>
      <c r="D59" s="201" t="s">
        <v>741</v>
      </c>
      <c r="E59" s="29" t="s">
        <v>87</v>
      </c>
      <c r="F59" s="30">
        <v>50</v>
      </c>
      <c r="G59" s="446" t="s">
        <v>743</v>
      </c>
      <c r="H59" s="30">
        <f t="shared" si="6"/>
        <v>81.37</v>
      </c>
      <c r="I59" s="30">
        <f t="shared" si="5"/>
        <v>4068.5</v>
      </c>
      <c r="K59" s="302">
        <f t="shared" si="2"/>
        <v>1.5706704068735896E-3</v>
      </c>
      <c r="L59" s="302">
        <f t="shared" si="3"/>
        <v>0.98784084527447313</v>
      </c>
      <c r="M59" s="470"/>
    </row>
    <row r="60" spans="1:16" s="32" customFormat="1" ht="27.6" x14ac:dyDescent="0.3">
      <c r="A60" s="322" t="s">
        <v>164</v>
      </c>
      <c r="B60" s="322" t="s">
        <v>35</v>
      </c>
      <c r="C60" s="323" t="s">
        <v>270</v>
      </c>
      <c r="D60" s="201" t="s">
        <v>271</v>
      </c>
      <c r="E60" s="245" t="s">
        <v>88</v>
      </c>
      <c r="F60" s="30">
        <v>3.96</v>
      </c>
      <c r="G60" s="446" t="s">
        <v>766</v>
      </c>
      <c r="H60" s="30">
        <f t="shared" si="6"/>
        <v>840.64</v>
      </c>
      <c r="I60" s="30">
        <f t="shared" si="5"/>
        <v>3328.93</v>
      </c>
      <c r="J60" s="252"/>
      <c r="K60" s="302">
        <f t="shared" si="2"/>
        <v>1.2851546854009336E-3</v>
      </c>
      <c r="L60" s="302">
        <f t="shared" si="3"/>
        <v>0.98912599995987405</v>
      </c>
      <c r="M60" s="470"/>
      <c r="N60" s="252"/>
      <c r="O60" s="252"/>
      <c r="P60" s="252"/>
    </row>
    <row r="61" spans="1:16" s="32" customFormat="1" ht="41.4" x14ac:dyDescent="0.3">
      <c r="A61" s="322" t="s">
        <v>267</v>
      </c>
      <c r="B61" s="322" t="s">
        <v>35</v>
      </c>
      <c r="C61" s="323" t="s">
        <v>714</v>
      </c>
      <c r="D61" s="201" t="s">
        <v>713</v>
      </c>
      <c r="E61" s="245" t="s">
        <v>87</v>
      </c>
      <c r="F61" s="30">
        <v>38.07</v>
      </c>
      <c r="G61" s="30" t="s">
        <v>716</v>
      </c>
      <c r="H61" s="30">
        <f t="shared" si="6"/>
        <v>85.71</v>
      </c>
      <c r="I61" s="30">
        <f t="shared" si="5"/>
        <v>3262.97</v>
      </c>
      <c r="J61" s="252"/>
      <c r="K61" s="302">
        <f t="shared" si="2"/>
        <v>1.2596904061733603E-3</v>
      </c>
      <c r="L61" s="302">
        <f t="shared" si="3"/>
        <v>0.9903856903660474</v>
      </c>
      <c r="M61" s="470"/>
      <c r="N61" s="252"/>
      <c r="O61" s="252"/>
      <c r="P61" s="252"/>
    </row>
    <row r="62" spans="1:16" s="32" customFormat="1" ht="55.2" x14ac:dyDescent="0.3">
      <c r="A62" s="322" t="s">
        <v>137</v>
      </c>
      <c r="B62" s="322" t="s">
        <v>35</v>
      </c>
      <c r="C62" s="323" t="s">
        <v>678</v>
      </c>
      <c r="D62" s="201" t="s">
        <v>677</v>
      </c>
      <c r="E62" s="245" t="s">
        <v>88</v>
      </c>
      <c r="F62" s="30">
        <v>26.46</v>
      </c>
      <c r="G62" s="30" t="s">
        <v>680</v>
      </c>
      <c r="H62" s="30">
        <f t="shared" si="6"/>
        <v>109.93</v>
      </c>
      <c r="I62" s="30">
        <f t="shared" si="5"/>
        <v>2908.74</v>
      </c>
      <c r="K62" s="302">
        <f t="shared" si="2"/>
        <v>1.1229376525229162E-3</v>
      </c>
      <c r="L62" s="302">
        <f t="shared" si="3"/>
        <v>0.99150862801857031</v>
      </c>
      <c r="M62" s="470"/>
    </row>
    <row r="63" spans="1:16" s="32" customFormat="1" ht="41.4" x14ac:dyDescent="0.3">
      <c r="A63" s="322" t="s">
        <v>168</v>
      </c>
      <c r="B63" s="322" t="s">
        <v>35</v>
      </c>
      <c r="C63" s="323" t="s">
        <v>217</v>
      </c>
      <c r="D63" s="201" t="s">
        <v>216</v>
      </c>
      <c r="E63" s="245" t="s">
        <v>88</v>
      </c>
      <c r="F63" s="30">
        <v>70.099999999999994</v>
      </c>
      <c r="G63" s="30" t="s">
        <v>776</v>
      </c>
      <c r="H63" s="30">
        <f t="shared" si="6"/>
        <v>32.14</v>
      </c>
      <c r="I63" s="30">
        <f t="shared" si="5"/>
        <v>2253.0100000000002</v>
      </c>
      <c r="K63" s="302">
        <f t="shared" si="2"/>
        <v>8.6978889846141489E-4</v>
      </c>
      <c r="L63" s="302">
        <f t="shared" si="3"/>
        <v>0.99237841691703177</v>
      </c>
      <c r="M63" s="470"/>
    </row>
    <row r="64" spans="1:16" s="32" customFormat="1" ht="30.75" customHeight="1" x14ac:dyDescent="0.3">
      <c r="A64" s="322" t="s">
        <v>298</v>
      </c>
      <c r="B64" s="322" t="s">
        <v>35</v>
      </c>
      <c r="C64" s="323" t="s">
        <v>597</v>
      </c>
      <c r="D64" s="201" t="s">
        <v>598</v>
      </c>
      <c r="E64" s="245" t="s">
        <v>86</v>
      </c>
      <c r="F64" s="30">
        <v>6</v>
      </c>
      <c r="G64" s="30" t="s">
        <v>710</v>
      </c>
      <c r="H64" s="30">
        <f t="shared" si="6"/>
        <v>343.47</v>
      </c>
      <c r="I64" s="30">
        <f t="shared" si="5"/>
        <v>2060.8200000000002</v>
      </c>
      <c r="J64" s="252"/>
      <c r="K64" s="302">
        <f t="shared" si="2"/>
        <v>7.9559272161563999E-4</v>
      </c>
      <c r="L64" s="302">
        <f t="shared" si="3"/>
        <v>0.99317400963864744</v>
      </c>
      <c r="M64" s="470"/>
      <c r="N64" s="252"/>
      <c r="O64" s="252"/>
      <c r="P64" s="252"/>
    </row>
    <row r="65" spans="1:16" s="32" customFormat="1" ht="41.4" x14ac:dyDescent="0.3">
      <c r="A65" s="322" t="s">
        <v>489</v>
      </c>
      <c r="B65" s="322" t="s">
        <v>35</v>
      </c>
      <c r="C65" s="323" t="s">
        <v>259</v>
      </c>
      <c r="D65" s="201" t="s">
        <v>258</v>
      </c>
      <c r="E65" s="245" t="s">
        <v>86</v>
      </c>
      <c r="F65" s="30">
        <v>4</v>
      </c>
      <c r="G65" s="30" t="s">
        <v>708</v>
      </c>
      <c r="H65" s="30">
        <f t="shared" si="6"/>
        <v>437.82</v>
      </c>
      <c r="I65" s="30">
        <f t="shared" si="5"/>
        <v>1751.28</v>
      </c>
      <c r="J65" s="252"/>
      <c r="K65" s="302">
        <f t="shared" si="2"/>
        <v>6.7609282786028758E-4</v>
      </c>
      <c r="L65" s="302">
        <f t="shared" si="3"/>
        <v>0.99385010246650773</v>
      </c>
      <c r="M65" s="470"/>
      <c r="N65" s="252"/>
      <c r="O65" s="252"/>
      <c r="P65" s="252"/>
    </row>
    <row r="66" spans="1:16" s="32" customFormat="1" ht="27.6" x14ac:dyDescent="0.3">
      <c r="A66" s="322" t="s">
        <v>301</v>
      </c>
      <c r="B66" s="322" t="s">
        <v>478</v>
      </c>
      <c r="C66" s="323" t="s">
        <v>841</v>
      </c>
      <c r="D66" s="201" t="s">
        <v>840</v>
      </c>
      <c r="E66" s="245" t="s">
        <v>837</v>
      </c>
      <c r="F66" s="30">
        <v>6</v>
      </c>
      <c r="G66" s="30">
        <v>218.97</v>
      </c>
      <c r="H66" s="30">
        <f t="shared" si="6"/>
        <v>263.86</v>
      </c>
      <c r="I66" s="30">
        <f t="shared" si="5"/>
        <v>1583.16</v>
      </c>
      <c r="J66" s="252"/>
      <c r="K66" s="302">
        <f t="shared" si="2"/>
        <v>6.11189028228092E-4</v>
      </c>
      <c r="L66" s="302">
        <f t="shared" si="3"/>
        <v>0.99446129149473583</v>
      </c>
      <c r="M66" s="470"/>
      <c r="N66" s="252"/>
      <c r="O66" s="252"/>
      <c r="P66" s="252"/>
    </row>
    <row r="67" spans="1:16" s="32" customFormat="1" ht="55.2" x14ac:dyDescent="0.3">
      <c r="A67" s="322" t="s">
        <v>247</v>
      </c>
      <c r="B67" s="322" t="s">
        <v>35</v>
      </c>
      <c r="C67" s="323" t="s">
        <v>420</v>
      </c>
      <c r="D67" s="201" t="s">
        <v>419</v>
      </c>
      <c r="E67" s="245" t="s">
        <v>86</v>
      </c>
      <c r="F67" s="30">
        <v>12</v>
      </c>
      <c r="G67" s="446" t="s">
        <v>770</v>
      </c>
      <c r="H67" s="30">
        <f t="shared" si="6"/>
        <v>130.94999999999999</v>
      </c>
      <c r="I67" s="30">
        <f t="shared" si="5"/>
        <v>1571.4</v>
      </c>
      <c r="J67" s="252"/>
      <c r="K67" s="302">
        <f t="shared" si="2"/>
        <v>6.0664900512748157E-4</v>
      </c>
      <c r="L67" s="302">
        <f t="shared" si="3"/>
        <v>0.99506794049986336</v>
      </c>
      <c r="M67" s="470"/>
      <c r="N67" s="252"/>
      <c r="O67" s="252"/>
      <c r="P67" s="252"/>
    </row>
    <row r="68" spans="1:16" s="32" customFormat="1" ht="96.6" x14ac:dyDescent="0.3">
      <c r="A68" s="322" t="s">
        <v>165</v>
      </c>
      <c r="B68" s="322" t="s">
        <v>35</v>
      </c>
      <c r="C68" s="323" t="s">
        <v>596</v>
      </c>
      <c r="D68" s="201" t="s">
        <v>767</v>
      </c>
      <c r="E68" s="245" t="s">
        <v>88</v>
      </c>
      <c r="F68" s="30">
        <v>4.95</v>
      </c>
      <c r="G68" s="446">
        <v>234.73</v>
      </c>
      <c r="H68" s="30">
        <f t="shared" si="6"/>
        <v>282.85000000000002</v>
      </c>
      <c r="I68" s="30">
        <f t="shared" si="5"/>
        <v>1400.1</v>
      </c>
      <c r="J68" s="252"/>
      <c r="K68" s="302">
        <f t="shared" si="2"/>
        <v>5.4051754618746777E-4</v>
      </c>
      <c r="L68" s="302">
        <f t="shared" si="3"/>
        <v>0.9956084580460508</v>
      </c>
      <c r="M68" s="470"/>
      <c r="N68" s="252"/>
      <c r="O68" s="252"/>
      <c r="P68" s="252"/>
    </row>
    <row r="69" spans="1:16" s="32" customFormat="1" ht="41.4" x14ac:dyDescent="0.3">
      <c r="A69" s="322" t="s">
        <v>148</v>
      </c>
      <c r="B69" s="322" t="s">
        <v>143</v>
      </c>
      <c r="C69" s="323" t="s">
        <v>215</v>
      </c>
      <c r="D69" s="201" t="s">
        <v>431</v>
      </c>
      <c r="E69" s="245" t="s">
        <v>86</v>
      </c>
      <c r="F69" s="30">
        <v>1</v>
      </c>
      <c r="G69" s="30">
        <f>COMPOSIÇÕES!J159</f>
        <v>1008.86</v>
      </c>
      <c r="H69" s="30">
        <f t="shared" si="6"/>
        <v>1215.68</v>
      </c>
      <c r="I69" s="30">
        <f t="shared" si="5"/>
        <v>1215.68</v>
      </c>
      <c r="J69" s="252"/>
      <c r="K69" s="302">
        <f t="shared" si="2"/>
        <v>4.6932102746173913E-4</v>
      </c>
      <c r="L69" s="302">
        <f t="shared" si="3"/>
        <v>0.99607777907351258</v>
      </c>
      <c r="M69" s="470"/>
      <c r="N69" s="252"/>
      <c r="O69" s="252"/>
      <c r="P69" s="252"/>
    </row>
    <row r="70" spans="1:16" s="32" customFormat="1" ht="27.6" x14ac:dyDescent="0.3">
      <c r="A70" s="322" t="s">
        <v>169</v>
      </c>
      <c r="B70" s="322" t="s">
        <v>143</v>
      </c>
      <c r="C70" s="323" t="s">
        <v>156</v>
      </c>
      <c r="D70" s="201" t="s">
        <v>236</v>
      </c>
      <c r="E70" s="245" t="s">
        <v>86</v>
      </c>
      <c r="F70" s="30">
        <v>8</v>
      </c>
      <c r="G70" s="30">
        <f>COMPOSIÇÕES!J92</f>
        <v>106.92</v>
      </c>
      <c r="H70" s="30">
        <f t="shared" si="6"/>
        <v>128.84</v>
      </c>
      <c r="I70" s="30">
        <f t="shared" si="5"/>
        <v>1030.72</v>
      </c>
      <c r="K70" s="302">
        <f t="shared" si="2"/>
        <v>3.9791603828751292E-4</v>
      </c>
      <c r="L70" s="302">
        <f t="shared" si="3"/>
        <v>0.99647569511180012</v>
      </c>
      <c r="M70" s="470"/>
    </row>
    <row r="71" spans="1:16" s="252" customFormat="1" x14ac:dyDescent="0.3">
      <c r="A71" s="322" t="s">
        <v>747</v>
      </c>
      <c r="B71" s="322" t="s">
        <v>478</v>
      </c>
      <c r="C71" s="323" t="s">
        <v>672</v>
      </c>
      <c r="D71" s="201" t="s">
        <v>671</v>
      </c>
      <c r="E71" s="245" t="s">
        <v>87</v>
      </c>
      <c r="F71" s="30">
        <v>80</v>
      </c>
      <c r="G71" s="30">
        <v>10.35</v>
      </c>
      <c r="H71" s="30">
        <f t="shared" si="6"/>
        <v>12.47</v>
      </c>
      <c r="I71" s="30">
        <f t="shared" si="5"/>
        <v>997.6</v>
      </c>
      <c r="J71" s="32"/>
      <c r="K71" s="302">
        <f t="shared" si="2"/>
        <v>3.8512985077967138E-4</v>
      </c>
      <c r="L71" s="302">
        <f t="shared" si="3"/>
        <v>0.99686082496257977</v>
      </c>
      <c r="M71" s="470"/>
      <c r="N71" s="32"/>
      <c r="O71" s="32"/>
      <c r="P71" s="32"/>
    </row>
    <row r="72" spans="1:16" s="252" customFormat="1" ht="41.4" x14ac:dyDescent="0.3">
      <c r="A72" s="322" t="s">
        <v>174</v>
      </c>
      <c r="B72" s="322" t="s">
        <v>35</v>
      </c>
      <c r="C72" s="323" t="s">
        <v>313</v>
      </c>
      <c r="D72" s="201" t="s">
        <v>314</v>
      </c>
      <c r="E72" s="245" t="s">
        <v>86</v>
      </c>
      <c r="F72" s="30">
        <v>2</v>
      </c>
      <c r="G72" s="30" t="s">
        <v>724</v>
      </c>
      <c r="H72" s="30">
        <f t="shared" si="6"/>
        <v>367.59</v>
      </c>
      <c r="I72" s="30">
        <f t="shared" si="5"/>
        <v>735.18</v>
      </c>
      <c r="K72" s="302">
        <f t="shared" si="2"/>
        <v>2.8382093393764917E-4</v>
      </c>
      <c r="L72" s="302">
        <f t="shared" si="3"/>
        <v>0.99714464589651741</v>
      </c>
      <c r="M72" s="470"/>
    </row>
    <row r="73" spans="1:16" s="252" customFormat="1" ht="27.6" x14ac:dyDescent="0.3">
      <c r="A73" s="322" t="s">
        <v>307</v>
      </c>
      <c r="B73" s="322" t="s">
        <v>35</v>
      </c>
      <c r="C73" s="323" t="s">
        <v>560</v>
      </c>
      <c r="D73" s="201" t="s">
        <v>559</v>
      </c>
      <c r="E73" s="245" t="s">
        <v>86</v>
      </c>
      <c r="F73" s="30">
        <v>4</v>
      </c>
      <c r="G73" s="30" t="s">
        <v>852</v>
      </c>
      <c r="H73" s="30">
        <f t="shared" si="6"/>
        <v>170.83</v>
      </c>
      <c r="I73" s="30">
        <f t="shared" si="5"/>
        <v>683.32</v>
      </c>
      <c r="J73" s="32"/>
      <c r="K73" s="302">
        <f t="shared" si="2"/>
        <v>2.6380004975417508E-4</v>
      </c>
      <c r="L73" s="302">
        <f t="shared" si="3"/>
        <v>0.99740844594627154</v>
      </c>
      <c r="M73" s="470"/>
      <c r="N73" s="32"/>
      <c r="O73" s="32"/>
      <c r="P73" s="32"/>
    </row>
    <row r="74" spans="1:16" s="32" customFormat="1" ht="41.4" x14ac:dyDescent="0.3">
      <c r="A74" s="322" t="s">
        <v>173</v>
      </c>
      <c r="B74" s="322" t="s">
        <v>35</v>
      </c>
      <c r="C74" s="323" t="s">
        <v>311</v>
      </c>
      <c r="D74" s="201" t="s">
        <v>312</v>
      </c>
      <c r="E74" s="245" t="s">
        <v>86</v>
      </c>
      <c r="F74" s="30">
        <v>2</v>
      </c>
      <c r="G74" s="30" t="s">
        <v>722</v>
      </c>
      <c r="H74" s="30">
        <f t="shared" si="6"/>
        <v>325.41000000000003</v>
      </c>
      <c r="I74" s="30">
        <f t="shared" si="5"/>
        <v>650.82000000000005</v>
      </c>
      <c r="J74" s="252"/>
      <c r="K74" s="302">
        <f t="shared" si="2"/>
        <v>2.512532172057195E-4</v>
      </c>
      <c r="L74" s="302">
        <f t="shared" si="3"/>
        <v>0.9976596991634773</v>
      </c>
      <c r="M74" s="470"/>
      <c r="N74" s="252"/>
      <c r="O74" s="252"/>
      <c r="P74" s="252"/>
    </row>
    <row r="75" spans="1:16" s="252" customFormat="1" ht="41.4" x14ac:dyDescent="0.3">
      <c r="A75" s="322" t="s">
        <v>864</v>
      </c>
      <c r="B75" s="322" t="s">
        <v>35</v>
      </c>
      <c r="C75" s="323" t="s">
        <v>317</v>
      </c>
      <c r="D75" s="201" t="s">
        <v>453</v>
      </c>
      <c r="E75" s="245" t="s">
        <v>87</v>
      </c>
      <c r="F75" s="30">
        <v>8</v>
      </c>
      <c r="G75" s="30" t="s">
        <v>647</v>
      </c>
      <c r="H75" s="30">
        <f t="shared" si="6"/>
        <v>80.67</v>
      </c>
      <c r="I75" s="30">
        <f t="shared" si="5"/>
        <v>645.36</v>
      </c>
      <c r="J75" s="32"/>
      <c r="K75" s="302">
        <f t="shared" si="2"/>
        <v>2.4914534933757893E-4</v>
      </c>
      <c r="L75" s="302">
        <f t="shared" si="3"/>
        <v>0.99790884451281492</v>
      </c>
      <c r="M75" s="470"/>
      <c r="N75" s="32"/>
      <c r="O75" s="32"/>
      <c r="P75" s="32"/>
    </row>
    <row r="76" spans="1:16" s="252" customFormat="1" ht="55.2" x14ac:dyDescent="0.3">
      <c r="A76" s="322" t="s">
        <v>172</v>
      </c>
      <c r="B76" s="322" t="s">
        <v>35</v>
      </c>
      <c r="C76" s="200" t="s">
        <v>861</v>
      </c>
      <c r="D76" s="201" t="s">
        <v>860</v>
      </c>
      <c r="E76" s="245" t="s">
        <v>86</v>
      </c>
      <c r="F76" s="30">
        <v>1</v>
      </c>
      <c r="G76" s="30">
        <v>490.5</v>
      </c>
      <c r="H76" s="30">
        <f t="shared" si="6"/>
        <v>591.04999999999995</v>
      </c>
      <c r="I76" s="30">
        <f t="shared" ref="I76:I91" si="7">TRUNC($F76*H76,2)</f>
        <v>591.04999999999995</v>
      </c>
      <c r="K76" s="302">
        <f t="shared" si="2"/>
        <v>2.2817862700814429E-4</v>
      </c>
      <c r="L76" s="302">
        <f t="shared" si="3"/>
        <v>0.99813702313982311</v>
      </c>
      <c r="M76" s="470"/>
    </row>
    <row r="77" spans="1:16" s="252" customFormat="1" ht="27.6" x14ac:dyDescent="0.3">
      <c r="A77" s="322" t="s">
        <v>295</v>
      </c>
      <c r="B77" s="322" t="s">
        <v>35</v>
      </c>
      <c r="C77" s="323" t="s">
        <v>257</v>
      </c>
      <c r="D77" s="201" t="s">
        <v>256</v>
      </c>
      <c r="E77" s="245" t="s">
        <v>86</v>
      </c>
      <c r="F77" s="30">
        <v>4</v>
      </c>
      <c r="G77" s="30" t="s">
        <v>831</v>
      </c>
      <c r="H77" s="30">
        <f t="shared" si="6"/>
        <v>131.25</v>
      </c>
      <c r="I77" s="30">
        <f t="shared" si="7"/>
        <v>525</v>
      </c>
      <c r="J77" s="32"/>
      <c r="K77" s="302">
        <f t="shared" si="2"/>
        <v>2.0267960270582146E-4</v>
      </c>
      <c r="L77" s="302">
        <f t="shared" si="3"/>
        <v>0.99833970274252892</v>
      </c>
      <c r="M77" s="470"/>
      <c r="N77" s="32"/>
      <c r="O77" s="32"/>
      <c r="P77" s="32"/>
    </row>
    <row r="78" spans="1:16" s="252" customFormat="1" ht="27.6" x14ac:dyDescent="0.3">
      <c r="A78" s="322" t="s">
        <v>428</v>
      </c>
      <c r="B78" s="322" t="s">
        <v>35</v>
      </c>
      <c r="C78" s="323" t="s">
        <v>558</v>
      </c>
      <c r="D78" s="201" t="s">
        <v>557</v>
      </c>
      <c r="E78" s="245" t="s">
        <v>86</v>
      </c>
      <c r="F78" s="30">
        <v>4</v>
      </c>
      <c r="G78" s="30" t="s">
        <v>857</v>
      </c>
      <c r="H78" s="30">
        <f t="shared" si="6"/>
        <v>130.47</v>
      </c>
      <c r="I78" s="30">
        <f t="shared" si="7"/>
        <v>521.88</v>
      </c>
      <c r="J78" s="32"/>
      <c r="K78" s="302">
        <f t="shared" ref="K78:K91" si="8">I78/$I$93</f>
        <v>2.0147510678116971E-4</v>
      </c>
      <c r="L78" s="302">
        <f t="shared" ref="L78:L91" si="9">K78+L77</f>
        <v>0.99854117784931007</v>
      </c>
      <c r="M78" s="470"/>
      <c r="N78" s="32"/>
      <c r="O78" s="32"/>
      <c r="P78" s="32"/>
    </row>
    <row r="79" spans="1:16" s="252" customFormat="1" ht="27.6" x14ac:dyDescent="0.3">
      <c r="A79" s="322" t="s">
        <v>289</v>
      </c>
      <c r="B79" s="322" t="s">
        <v>143</v>
      </c>
      <c r="C79" s="323" t="s">
        <v>194</v>
      </c>
      <c r="D79" s="201" t="s">
        <v>359</v>
      </c>
      <c r="E79" s="245" t="s">
        <v>86</v>
      </c>
      <c r="F79" s="30">
        <v>2</v>
      </c>
      <c r="G79" s="30">
        <f>COMPOSIÇÕES!J128</f>
        <v>200.94</v>
      </c>
      <c r="H79" s="30">
        <f t="shared" si="6"/>
        <v>242.13</v>
      </c>
      <c r="I79" s="30">
        <f t="shared" si="7"/>
        <v>484.26</v>
      </c>
      <c r="J79" s="32"/>
      <c r="K79" s="302">
        <f t="shared" si="8"/>
        <v>1.8695166553584972E-4</v>
      </c>
      <c r="L79" s="302">
        <f t="shared" si="9"/>
        <v>0.99872812951484591</v>
      </c>
      <c r="M79" s="470"/>
      <c r="N79" s="32"/>
      <c r="O79" s="32"/>
      <c r="P79" s="32"/>
    </row>
    <row r="80" spans="1:16" s="252" customFormat="1" ht="27.6" x14ac:dyDescent="0.3">
      <c r="A80" s="322" t="s">
        <v>294</v>
      </c>
      <c r="B80" s="322" t="s">
        <v>35</v>
      </c>
      <c r="C80" s="323" t="s">
        <v>255</v>
      </c>
      <c r="D80" s="201" t="s">
        <v>254</v>
      </c>
      <c r="E80" s="245" t="s">
        <v>86</v>
      </c>
      <c r="F80" s="30">
        <v>4</v>
      </c>
      <c r="G80" s="30" t="s">
        <v>829</v>
      </c>
      <c r="H80" s="30">
        <f t="shared" si="6"/>
        <v>101.28</v>
      </c>
      <c r="I80" s="30">
        <f t="shared" si="7"/>
        <v>405.12</v>
      </c>
      <c r="J80" s="32"/>
      <c r="K80" s="302">
        <f t="shared" si="8"/>
        <v>1.5639916313939502E-4</v>
      </c>
      <c r="L80" s="302">
        <f t="shared" si="9"/>
        <v>0.99888452867798527</v>
      </c>
      <c r="M80" s="470"/>
      <c r="N80" s="32"/>
      <c r="O80" s="32"/>
      <c r="P80" s="32"/>
    </row>
    <row r="81" spans="1:17" s="32" customFormat="1" ht="27.6" x14ac:dyDescent="0.3">
      <c r="A81" s="322" t="s">
        <v>293</v>
      </c>
      <c r="B81" s="322" t="s">
        <v>35</v>
      </c>
      <c r="C81" s="323">
        <v>95545</v>
      </c>
      <c r="D81" s="201" t="s">
        <v>253</v>
      </c>
      <c r="E81" s="245" t="s">
        <v>86</v>
      </c>
      <c r="F81" s="30">
        <v>4</v>
      </c>
      <c r="G81" s="30" t="s">
        <v>827</v>
      </c>
      <c r="H81" s="30">
        <f t="shared" ref="H81:H91" si="10">ROUND(G81*(1+$I$8),2)</f>
        <v>99.06</v>
      </c>
      <c r="I81" s="30">
        <f t="shared" si="7"/>
        <v>396.24</v>
      </c>
      <c r="K81" s="302">
        <f t="shared" si="8"/>
        <v>1.5297098243077084E-4</v>
      </c>
      <c r="L81" s="302">
        <f t="shared" si="9"/>
        <v>0.999037499660416</v>
      </c>
      <c r="M81" s="470"/>
    </row>
    <row r="82" spans="1:17" s="32" customFormat="1" ht="41.4" x14ac:dyDescent="0.3">
      <c r="A82" s="322" t="s">
        <v>290</v>
      </c>
      <c r="B82" s="322" t="s">
        <v>35</v>
      </c>
      <c r="C82" s="323" t="s">
        <v>361</v>
      </c>
      <c r="D82" s="201" t="s">
        <v>532</v>
      </c>
      <c r="E82" s="245" t="s">
        <v>86</v>
      </c>
      <c r="F82" s="30">
        <v>2</v>
      </c>
      <c r="G82" s="30" t="s">
        <v>817</v>
      </c>
      <c r="H82" s="30">
        <f t="shared" si="10"/>
        <v>193</v>
      </c>
      <c r="I82" s="30">
        <f t="shared" si="7"/>
        <v>386</v>
      </c>
      <c r="K82" s="302">
        <f t="shared" si="8"/>
        <v>1.4901776503704206E-4</v>
      </c>
      <c r="L82" s="302">
        <f t="shared" si="9"/>
        <v>0.99918651742545306</v>
      </c>
      <c r="M82" s="470"/>
    </row>
    <row r="83" spans="1:17" s="32" customFormat="1" ht="27.6" x14ac:dyDescent="0.3">
      <c r="A83" s="322" t="s">
        <v>746</v>
      </c>
      <c r="B83" s="322" t="s">
        <v>35</v>
      </c>
      <c r="C83" s="323" t="s">
        <v>639</v>
      </c>
      <c r="D83" s="201" t="s">
        <v>638</v>
      </c>
      <c r="E83" s="245" t="s">
        <v>88</v>
      </c>
      <c r="F83" s="30">
        <v>63</v>
      </c>
      <c r="G83" s="30" t="s">
        <v>641</v>
      </c>
      <c r="H83" s="30">
        <f t="shared" si="10"/>
        <v>5.82</v>
      </c>
      <c r="I83" s="30">
        <f t="shared" si="7"/>
        <v>366.66</v>
      </c>
      <c r="K83" s="302">
        <f t="shared" si="8"/>
        <v>1.4155143452974572E-4</v>
      </c>
      <c r="L83" s="302">
        <f t="shared" si="9"/>
        <v>0.99932806885998282</v>
      </c>
      <c r="M83" s="470"/>
    </row>
    <row r="84" spans="1:17" s="32" customFormat="1" ht="27.6" x14ac:dyDescent="0.3">
      <c r="A84" s="322" t="s">
        <v>292</v>
      </c>
      <c r="B84" s="322" t="s">
        <v>35</v>
      </c>
      <c r="C84" s="323" t="s">
        <v>142</v>
      </c>
      <c r="D84" s="201" t="s">
        <v>141</v>
      </c>
      <c r="E84" s="245" t="s">
        <v>86</v>
      </c>
      <c r="F84" s="30">
        <v>8</v>
      </c>
      <c r="G84" s="30" t="s">
        <v>823</v>
      </c>
      <c r="H84" s="30">
        <f t="shared" si="10"/>
        <v>39.58</v>
      </c>
      <c r="I84" s="30">
        <f t="shared" si="7"/>
        <v>316.64</v>
      </c>
      <c r="K84" s="302">
        <f t="shared" si="8"/>
        <v>1.2224089409670723E-4</v>
      </c>
      <c r="L84" s="302">
        <f t="shared" si="9"/>
        <v>0.99945030975407956</v>
      </c>
      <c r="M84" s="470"/>
    </row>
    <row r="85" spans="1:17" s="32" customFormat="1" ht="27.6" x14ac:dyDescent="0.3">
      <c r="A85" s="322" t="s">
        <v>306</v>
      </c>
      <c r="B85" s="322" t="s">
        <v>35</v>
      </c>
      <c r="C85" s="323" t="s">
        <v>367</v>
      </c>
      <c r="D85" s="201" t="s">
        <v>366</v>
      </c>
      <c r="E85" s="245" t="s">
        <v>86</v>
      </c>
      <c r="F85" s="30">
        <v>2</v>
      </c>
      <c r="G85" s="30" t="s">
        <v>851</v>
      </c>
      <c r="H85" s="30">
        <f t="shared" si="10"/>
        <v>147.06</v>
      </c>
      <c r="I85" s="30">
        <f t="shared" si="7"/>
        <v>294.12</v>
      </c>
      <c r="K85" s="302">
        <f t="shared" si="8"/>
        <v>1.1354690428159278E-4</v>
      </c>
      <c r="L85" s="302">
        <f t="shared" si="9"/>
        <v>0.99956385665836112</v>
      </c>
      <c r="M85" s="470"/>
    </row>
    <row r="86" spans="1:17" s="32" customFormat="1" ht="41.4" x14ac:dyDescent="0.3">
      <c r="A86" s="322" t="s">
        <v>302</v>
      </c>
      <c r="B86" s="322" t="s">
        <v>35</v>
      </c>
      <c r="C86" s="323" t="s">
        <v>426</v>
      </c>
      <c r="D86" s="201" t="s">
        <v>556</v>
      </c>
      <c r="E86" s="245" t="s">
        <v>86</v>
      </c>
      <c r="F86" s="30">
        <v>7</v>
      </c>
      <c r="G86" s="30" t="s">
        <v>843</v>
      </c>
      <c r="H86" s="30">
        <f t="shared" si="10"/>
        <v>41.75</v>
      </c>
      <c r="I86" s="30">
        <f t="shared" si="7"/>
        <v>292.25</v>
      </c>
      <c r="J86" s="252"/>
      <c r="K86" s="302">
        <f t="shared" si="8"/>
        <v>1.1282497883957395E-4</v>
      </c>
      <c r="L86" s="302">
        <f t="shared" si="9"/>
        <v>0.99967668163720069</v>
      </c>
      <c r="M86" s="470"/>
      <c r="N86" s="252"/>
      <c r="O86" s="252"/>
      <c r="P86" s="252"/>
    </row>
    <row r="87" spans="1:17" s="32" customFormat="1" ht="27.6" x14ac:dyDescent="0.3">
      <c r="A87" s="322" t="s">
        <v>308</v>
      </c>
      <c r="B87" s="322" t="s">
        <v>35</v>
      </c>
      <c r="C87" s="323" t="s">
        <v>562</v>
      </c>
      <c r="D87" s="201" t="s">
        <v>561</v>
      </c>
      <c r="E87" s="245" t="s">
        <v>86</v>
      </c>
      <c r="F87" s="30">
        <v>1</v>
      </c>
      <c r="G87" s="30" t="s">
        <v>853</v>
      </c>
      <c r="H87" s="30">
        <f t="shared" si="10"/>
        <v>260.52999999999997</v>
      </c>
      <c r="I87" s="30">
        <f t="shared" si="7"/>
        <v>260.52999999999997</v>
      </c>
      <c r="K87" s="302">
        <f t="shared" si="8"/>
        <v>1.0057927027228125E-4</v>
      </c>
      <c r="L87" s="302">
        <f t="shared" si="9"/>
        <v>0.99977726090747299</v>
      </c>
      <c r="M87" s="470"/>
    </row>
    <row r="88" spans="1:17" s="252" customFormat="1" ht="27.6" x14ac:dyDescent="0.3">
      <c r="A88" s="322" t="s">
        <v>305</v>
      </c>
      <c r="B88" s="322" t="s">
        <v>35</v>
      </c>
      <c r="C88" s="323" t="s">
        <v>363</v>
      </c>
      <c r="D88" s="201" t="s">
        <v>362</v>
      </c>
      <c r="E88" s="245" t="s">
        <v>86</v>
      </c>
      <c r="F88" s="30">
        <v>11</v>
      </c>
      <c r="G88" s="30" t="s">
        <v>849</v>
      </c>
      <c r="H88" s="30">
        <f t="shared" si="10"/>
        <v>19.23</v>
      </c>
      <c r="I88" s="30">
        <f t="shared" si="7"/>
        <v>211.53</v>
      </c>
      <c r="J88" s="32"/>
      <c r="K88" s="302">
        <f t="shared" si="8"/>
        <v>8.1662507353071263E-5</v>
      </c>
      <c r="L88" s="302">
        <f t="shared" si="9"/>
        <v>0.99985892341482607</v>
      </c>
      <c r="M88" s="470"/>
      <c r="N88" s="32"/>
      <c r="O88" s="32"/>
      <c r="P88" s="32"/>
    </row>
    <row r="89" spans="1:17" s="252" customFormat="1" ht="27.6" x14ac:dyDescent="0.3">
      <c r="A89" s="322" t="s">
        <v>309</v>
      </c>
      <c r="B89" s="322" t="s">
        <v>35</v>
      </c>
      <c r="C89" s="323" t="s">
        <v>371</v>
      </c>
      <c r="D89" s="201" t="s">
        <v>370</v>
      </c>
      <c r="E89" s="245" t="s">
        <v>86</v>
      </c>
      <c r="F89" s="30">
        <v>4</v>
      </c>
      <c r="G89" s="30" t="s">
        <v>855</v>
      </c>
      <c r="H89" s="30">
        <f t="shared" si="10"/>
        <v>52.09</v>
      </c>
      <c r="I89" s="30">
        <f t="shared" si="7"/>
        <v>208.36</v>
      </c>
      <c r="J89" s="32"/>
      <c r="K89" s="302">
        <f t="shared" si="8"/>
        <v>8.0438708609114208E-5</v>
      </c>
      <c r="L89" s="302">
        <f t="shared" si="9"/>
        <v>0.99993936212343515</v>
      </c>
      <c r="M89" s="470"/>
      <c r="N89" s="32"/>
      <c r="O89" s="32"/>
      <c r="P89" s="32"/>
    </row>
    <row r="90" spans="1:17" s="252" customFormat="1" ht="41.4" x14ac:dyDescent="0.3">
      <c r="A90" s="29" t="s">
        <v>171</v>
      </c>
      <c r="B90" s="29" t="s">
        <v>35</v>
      </c>
      <c r="C90" s="200" t="s">
        <v>436</v>
      </c>
      <c r="D90" s="201" t="s">
        <v>437</v>
      </c>
      <c r="E90" s="29" t="s">
        <v>92</v>
      </c>
      <c r="F90" s="30">
        <v>1</v>
      </c>
      <c r="G90" s="30" t="s">
        <v>554</v>
      </c>
      <c r="H90" s="30">
        <f t="shared" si="10"/>
        <v>138.62</v>
      </c>
      <c r="I90" s="30">
        <f t="shared" si="7"/>
        <v>138.62</v>
      </c>
      <c r="J90" s="32"/>
      <c r="K90" s="302">
        <f t="shared" si="8"/>
        <v>5.3515136242058994E-5</v>
      </c>
      <c r="L90" s="302">
        <f t="shared" si="9"/>
        <v>0.99999287725967723</v>
      </c>
      <c r="M90" s="470"/>
      <c r="N90" s="32"/>
      <c r="O90" s="32"/>
      <c r="P90" s="32"/>
    </row>
    <row r="91" spans="1:17" s="252" customFormat="1" ht="22.8" customHeight="1" x14ac:dyDescent="0.3">
      <c r="A91" s="322" t="s">
        <v>304</v>
      </c>
      <c r="B91" s="322" t="s">
        <v>35</v>
      </c>
      <c r="C91" s="323" t="s">
        <v>430</v>
      </c>
      <c r="D91" s="201" t="s">
        <v>429</v>
      </c>
      <c r="E91" s="245" t="s">
        <v>86</v>
      </c>
      <c r="F91" s="30">
        <v>1</v>
      </c>
      <c r="G91" s="30" t="s">
        <v>847</v>
      </c>
      <c r="H91" s="30">
        <f t="shared" si="10"/>
        <v>18.45</v>
      </c>
      <c r="I91" s="30">
        <f t="shared" si="7"/>
        <v>18.45</v>
      </c>
      <c r="J91" s="32"/>
      <c r="K91" s="302">
        <f t="shared" si="8"/>
        <v>7.1227403236617253E-6</v>
      </c>
      <c r="L91" s="302">
        <f t="shared" si="9"/>
        <v>1.0000000000000009</v>
      </c>
      <c r="M91" s="470"/>
      <c r="N91" s="32"/>
      <c r="O91" s="32"/>
      <c r="P91" s="32"/>
    </row>
    <row r="92" spans="1:17" s="220" customFormat="1" x14ac:dyDescent="0.3">
      <c r="A92" s="214"/>
      <c r="B92" s="215"/>
      <c r="C92" s="215"/>
      <c r="D92" s="216"/>
      <c r="E92" s="217"/>
      <c r="F92" s="218"/>
      <c r="G92" s="218"/>
      <c r="H92" s="218"/>
      <c r="I92" s="218"/>
    </row>
    <row r="93" spans="1:17" s="48" customFormat="1" x14ac:dyDescent="0.3">
      <c r="A93" s="539" t="str">
        <f>UPPER([11]!VExtensoFree(I93))</f>
        <v>DOIS MILHÕES, QUINHENTOS E NOVENTA MIL, DUZENTOS E NOVENTA E CINCO REAIS E DEZENOVE CENTAVOS</v>
      </c>
      <c r="B93" s="539"/>
      <c r="C93" s="539"/>
      <c r="D93" s="539"/>
      <c r="E93" s="539"/>
      <c r="F93" s="539"/>
      <c r="G93" s="540" t="s">
        <v>127</v>
      </c>
      <c r="H93" s="541"/>
      <c r="I93" s="207">
        <f>SUM(I11:I92)</f>
        <v>2590295.1899999985</v>
      </c>
      <c r="J93" s="439"/>
      <c r="K93" s="439"/>
      <c r="L93" s="439"/>
      <c r="M93" s="439"/>
      <c r="N93" s="439"/>
      <c r="O93" s="439"/>
      <c r="P93" s="439"/>
      <c r="Q93" s="439"/>
    </row>
    <row r="94" spans="1:17" s="25" customFormat="1" x14ac:dyDescent="0.3">
      <c r="G94" s="96"/>
      <c r="H94" s="24"/>
      <c r="I94" s="150"/>
    </row>
    <row r="95" spans="1:17" s="25" customFormat="1" x14ac:dyDescent="0.3">
      <c r="G95" s="96"/>
      <c r="H95" s="24"/>
      <c r="I95" s="341">
        <f>SUMIF(F11:F92,"&gt;0",I11:I92)</f>
        <v>2590295.1899999985</v>
      </c>
    </row>
    <row r="96" spans="1:17" x14ac:dyDescent="0.3">
      <c r="I96" s="163"/>
    </row>
    <row r="98" spans="7:9" x14ac:dyDescent="0.3">
      <c r="I98" s="203"/>
    </row>
    <row r="99" spans="7:9" x14ac:dyDescent="0.3">
      <c r="I99" s="203"/>
    </row>
    <row r="100" spans="7:9" x14ac:dyDescent="0.3">
      <c r="I100" s="203"/>
    </row>
    <row r="101" spans="7:9" x14ac:dyDescent="0.3">
      <c r="G101" s="231"/>
      <c r="H101" s="158"/>
      <c r="I101" s="50"/>
    </row>
    <row r="102" spans="7:9" x14ac:dyDescent="0.3">
      <c r="G102" s="230"/>
      <c r="H102" s="95"/>
      <c r="I102" s="31"/>
    </row>
    <row r="103" spans="7:9" x14ac:dyDescent="0.3">
      <c r="I103" s="203"/>
    </row>
    <row r="105" spans="7:9" x14ac:dyDescent="0.3">
      <c r="H105" s="95"/>
      <c r="I105" s="203"/>
    </row>
  </sheetData>
  <sortState xmlns:xlrd2="http://schemas.microsoft.com/office/spreadsheetml/2017/richdata2" ref="A12:P91">
    <sortCondition descending="1" ref="I12:I91"/>
  </sortState>
  <mergeCells count="7">
    <mergeCell ref="A93:F93"/>
    <mergeCell ref="G93:H93"/>
    <mergeCell ref="A1:O1"/>
    <mergeCell ref="A2:E2"/>
    <mergeCell ref="G7:H7"/>
    <mergeCell ref="G8:H8"/>
    <mergeCell ref="G9:I9"/>
  </mergeCells>
  <conditionalFormatting sqref="M12:M91">
    <cfRule type="cellIs" dxfId="5" priority="1" operator="equal">
      <formula>"C"</formula>
    </cfRule>
    <cfRule type="cellIs" dxfId="4" priority="2" operator="equal">
      <formula>"B"</formula>
    </cfRule>
    <cfRule type="cellIs" dxfId="3" priority="3" operator="equal">
      <formula>"A"</formula>
    </cfRule>
  </conditionalFormatting>
  <conditionalFormatting sqref="P12:P14">
    <cfRule type="cellIs" dxfId="2" priority="4" operator="equal">
      <formula>"C"</formula>
    </cfRule>
    <cfRule type="cellIs" dxfId="1" priority="5" operator="equal">
      <formula>"B"</formula>
    </cfRule>
    <cfRule type="cellIs" dxfId="0" priority="6" operator="equal">
      <formula>"A"</formula>
    </cfRule>
  </conditionalFormatting>
  <printOptions horizontalCentered="1"/>
  <pageMargins left="0.59055118110236227" right="0.59055118110236227" top="1.3779527559055118" bottom="0.59055118110236227" header="0.39370078740157483" footer="0.39370078740157483"/>
  <pageSetup paperSize="9" scale="54" fitToHeight="0" orientation="portrait" r:id="rId1"/>
  <headerFooter>
    <oddHeader>&amp;L&amp;G&amp;R&amp;G</oddHeader>
    <oddFooter>Página &amp;P de &amp;N</oddFoot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97D2D-B6E9-4DD0-89BE-7E9A88F6265F}">
  <sheetPr>
    <tabColor rgb="FF92D050"/>
    <pageSetUpPr fitToPage="1"/>
  </sheetPr>
  <dimension ref="A1:J33"/>
  <sheetViews>
    <sheetView view="pageBreakPreview" zoomScale="80" zoomScaleSheetLayoutView="80" workbookViewId="0">
      <selection activeCell="F20" sqref="F20"/>
    </sheetView>
  </sheetViews>
  <sheetFormatPr defaultColWidth="9.109375" defaultRowHeight="13.8" x14ac:dyDescent="0.3"/>
  <cols>
    <col min="1" max="1" width="7" style="25" customWidth="1"/>
    <col min="2" max="2" width="65.88671875" style="25" customWidth="1"/>
    <col min="3" max="3" width="15.6640625" style="25" customWidth="1"/>
    <col min="4" max="4" width="16.6640625" style="25" customWidth="1"/>
    <col min="5" max="5" width="16" style="25" customWidth="1"/>
    <col min="6" max="6" width="11.33203125" style="25" bestFit="1" customWidth="1"/>
    <col min="7" max="7" width="10.88671875" style="25" bestFit="1" customWidth="1"/>
    <col min="8" max="8" width="10.44140625" style="25" bestFit="1" customWidth="1"/>
    <col min="9" max="9" width="10.6640625" style="25" bestFit="1" customWidth="1"/>
    <col min="10" max="10" width="9.109375" style="25" customWidth="1"/>
    <col min="11" max="16384" width="9.109375" style="25"/>
  </cols>
  <sheetData>
    <row r="1" spans="1:10" ht="18" x14ac:dyDescent="0.3">
      <c r="A1" s="546" t="s">
        <v>954</v>
      </c>
      <c r="B1" s="559"/>
      <c r="C1" s="559"/>
      <c r="D1" s="559"/>
      <c r="E1" s="560"/>
    </row>
    <row r="2" spans="1:10" x14ac:dyDescent="0.3">
      <c r="A2" s="170"/>
      <c r="B2" s="170"/>
      <c r="C2" s="170"/>
      <c r="D2" s="170"/>
      <c r="E2" s="170"/>
    </row>
    <row r="3" spans="1:10" x14ac:dyDescent="0.3">
      <c r="A3" s="52" t="str">
        <f>CRONOGRAMA!A3</f>
        <v>OBRA: REFORMA DO AÇOUGUE MUNICIPAL E CONSTRUÇÃO DE 01 GALPÃO PRÉ-FABRICADO DE CONCRETO ARMADO</v>
      </c>
      <c r="B3" s="473"/>
      <c r="C3" s="473"/>
      <c r="D3" s="473"/>
      <c r="E3" s="473"/>
    </row>
    <row r="4" spans="1:10" x14ac:dyDescent="0.3">
      <c r="A4" s="39" t="str">
        <f>CRONOGRAMA!A4</f>
        <v>LOCALIZAÇÃO: RUA SÉRGIO AMARO DO NASCIMENTO - JOÃO ALFREDO/PE</v>
      </c>
      <c r="B4" s="39"/>
      <c r="C4" s="170"/>
      <c r="D4" s="170"/>
      <c r="E4" s="170"/>
    </row>
    <row r="5" spans="1:10" x14ac:dyDescent="0.3">
      <c r="A5" s="39" t="str">
        <f>CRONOGRAMA!A5</f>
        <v>DATA: ABRIL/2025</v>
      </c>
      <c r="B5" s="473"/>
      <c r="C5" s="473"/>
      <c r="D5" s="473"/>
      <c r="E5" s="473"/>
    </row>
    <row r="6" spans="1:10" x14ac:dyDescent="0.3">
      <c r="A6" s="170"/>
      <c r="B6" s="170"/>
      <c r="C6" s="42"/>
      <c r="D6" s="42"/>
      <c r="E6" s="42"/>
    </row>
    <row r="7" spans="1:10" s="474" customFormat="1" x14ac:dyDescent="0.3">
      <c r="A7" s="561" t="s">
        <v>17</v>
      </c>
      <c r="B7" s="562" t="s">
        <v>955</v>
      </c>
      <c r="C7" s="563" t="s">
        <v>960</v>
      </c>
      <c r="D7" s="563" t="s">
        <v>956</v>
      </c>
      <c r="E7" s="564" t="s">
        <v>957</v>
      </c>
    </row>
    <row r="8" spans="1:10" s="474" customFormat="1" x14ac:dyDescent="0.3">
      <c r="A8" s="561"/>
      <c r="B8" s="562"/>
      <c r="C8" s="563"/>
      <c r="D8" s="563"/>
      <c r="E8" s="564"/>
    </row>
    <row r="9" spans="1:10" s="96" customFormat="1" x14ac:dyDescent="0.3">
      <c r="A9" s="475"/>
      <c r="B9" s="476"/>
      <c r="C9" s="477"/>
      <c r="D9" s="478"/>
      <c r="E9" s="478"/>
    </row>
    <row r="10" spans="1:10" s="484" customFormat="1" x14ac:dyDescent="0.3">
      <c r="A10" s="479" t="s">
        <v>54</v>
      </c>
      <c r="B10" s="480" t="str">
        <f>'[12](ORÇAMENTO GERAL)'!D14</f>
        <v>REMANESCENTE DA QUADRA FNDE</v>
      </c>
      <c r="C10" s="481">
        <f>ORÇAMENTO!M121</f>
        <v>2538489.2900000019</v>
      </c>
      <c r="D10" s="482">
        <f>E10-C10</f>
        <v>51805.899999999907</v>
      </c>
      <c r="E10" s="482">
        <f>ORÇAMENTO!I118</f>
        <v>2590295.1900000018</v>
      </c>
      <c r="F10" s="483">
        <f>C10-SUM(C11:C22)</f>
        <v>0</v>
      </c>
      <c r="G10" s="483">
        <f>D10-SUM(D11:D22)</f>
        <v>-2.0372681319713593E-10</v>
      </c>
      <c r="H10" s="483">
        <f>C10+D10-E10</f>
        <v>0</v>
      </c>
      <c r="J10" s="483">
        <f>E11-D11</f>
        <v>74649.78</v>
      </c>
    </row>
    <row r="11" spans="1:10" s="32" customFormat="1" x14ac:dyDescent="0.3">
      <c r="A11" s="485" t="s">
        <v>7</v>
      </c>
      <c r="B11" s="486" t="s">
        <v>219</v>
      </c>
      <c r="C11" s="487">
        <f>ROUND(($C$10/$E$10)*$E11,2)</f>
        <v>74649.78</v>
      </c>
      <c r="D11" s="487">
        <f>E11-C11</f>
        <v>1523.4600000000064</v>
      </c>
      <c r="E11" s="488">
        <f>CRONOGRAMA!C10</f>
        <v>76173.240000000005</v>
      </c>
      <c r="H11" s="692">
        <f>C11+D11-E11</f>
        <v>0</v>
      </c>
    </row>
    <row r="12" spans="1:10" s="32" customFormat="1" x14ac:dyDescent="0.3">
      <c r="A12" s="485" t="s">
        <v>9</v>
      </c>
      <c r="B12" s="486" t="s">
        <v>131</v>
      </c>
      <c r="C12" s="487">
        <f>ROUND(($C$10/$E$10)*$E12,2)</f>
        <v>108462.42</v>
      </c>
      <c r="D12" s="487">
        <f>E12-C12</f>
        <v>2213.5200000000186</v>
      </c>
      <c r="E12" s="488">
        <f>CRONOGRAMA!C13</f>
        <v>110675.94000000002</v>
      </c>
      <c r="H12" s="692">
        <f>C12+D12-E12</f>
        <v>0</v>
      </c>
    </row>
    <row r="13" spans="1:10" s="32" customFormat="1" x14ac:dyDescent="0.3">
      <c r="A13" s="485" t="s">
        <v>10</v>
      </c>
      <c r="B13" s="486" t="s">
        <v>682</v>
      </c>
      <c r="C13" s="487">
        <f t="shared" ref="C13:C22" si="0">ROUND(($C$10/$E$10)*$E13,2)</f>
        <v>114940.69</v>
      </c>
      <c r="D13" s="487">
        <f t="shared" ref="D13:D22" si="1">E13-C13</f>
        <v>2345.7299999999959</v>
      </c>
      <c r="E13" s="488">
        <f>CRONOGRAMA!C16</f>
        <v>117286.42</v>
      </c>
      <c r="H13" s="692">
        <f t="shared" ref="H13:H22" si="2">C13+D13-E13</f>
        <v>0</v>
      </c>
    </row>
    <row r="14" spans="1:10" x14ac:dyDescent="0.3">
      <c r="A14" s="485" t="s">
        <v>11</v>
      </c>
      <c r="B14" s="486" t="s">
        <v>261</v>
      </c>
      <c r="C14" s="487">
        <f t="shared" si="0"/>
        <v>282452.36</v>
      </c>
      <c r="D14" s="487">
        <f t="shared" si="1"/>
        <v>5764.3300000000163</v>
      </c>
      <c r="E14" s="488">
        <f>CRONOGRAMA!C19</f>
        <v>288216.69</v>
      </c>
      <c r="H14" s="50">
        <f t="shared" si="2"/>
        <v>0</v>
      </c>
    </row>
    <row r="15" spans="1:10" x14ac:dyDescent="0.3">
      <c r="A15" s="485" t="s">
        <v>12</v>
      </c>
      <c r="B15" s="486" t="s">
        <v>227</v>
      </c>
      <c r="C15" s="487">
        <f t="shared" si="0"/>
        <v>427169.75</v>
      </c>
      <c r="D15" s="487">
        <f t="shared" si="1"/>
        <v>8717.75</v>
      </c>
      <c r="E15" s="488">
        <f>CRONOGRAMA!C22</f>
        <v>435887.5</v>
      </c>
      <c r="H15" s="50">
        <f t="shared" si="2"/>
        <v>0</v>
      </c>
    </row>
    <row r="16" spans="1:10" x14ac:dyDescent="0.3">
      <c r="A16" s="485" t="s">
        <v>15</v>
      </c>
      <c r="B16" s="486" t="s">
        <v>264</v>
      </c>
      <c r="C16" s="487">
        <f t="shared" si="0"/>
        <v>348487.16</v>
      </c>
      <c r="D16" s="487">
        <f t="shared" si="1"/>
        <v>7111.9800000000396</v>
      </c>
      <c r="E16" s="488">
        <f>CRONOGRAMA!C25</f>
        <v>355599.14</v>
      </c>
      <c r="H16" s="50">
        <f t="shared" si="2"/>
        <v>0</v>
      </c>
    </row>
    <row r="17" spans="1:9" x14ac:dyDescent="0.3">
      <c r="A17" s="485" t="s">
        <v>21</v>
      </c>
      <c r="B17" s="486" t="s">
        <v>265</v>
      </c>
      <c r="C17" s="487">
        <f>ROUND(($C$10/$E$10)*$E17,2)</f>
        <v>559067.49</v>
      </c>
      <c r="D17" s="487">
        <f t="shared" si="1"/>
        <v>11409.540000000037</v>
      </c>
      <c r="E17" s="488">
        <f>CRONOGRAMA!C28</f>
        <v>570477.03</v>
      </c>
      <c r="H17" s="50">
        <f t="shared" si="2"/>
        <v>0</v>
      </c>
    </row>
    <row r="18" spans="1:9" x14ac:dyDescent="0.3">
      <c r="A18" s="485" t="s">
        <v>22</v>
      </c>
      <c r="B18" s="486" t="s">
        <v>269</v>
      </c>
      <c r="C18" s="487">
        <f>ROUND(($C$10/$E$10)*$E18,2)</f>
        <v>200925.3</v>
      </c>
      <c r="D18" s="487">
        <f t="shared" si="1"/>
        <v>4100.5200000000186</v>
      </c>
      <c r="E18" s="488">
        <f>CRONOGRAMA!C31</f>
        <v>205025.82</v>
      </c>
      <c r="H18" s="50">
        <f t="shared" si="2"/>
        <v>0</v>
      </c>
    </row>
    <row r="19" spans="1:9" x14ac:dyDescent="0.3">
      <c r="A19" s="485" t="s">
        <v>23</v>
      </c>
      <c r="B19" s="486" t="s">
        <v>126</v>
      </c>
      <c r="C19" s="487">
        <f t="shared" si="0"/>
        <v>56840.36</v>
      </c>
      <c r="D19" s="487">
        <f t="shared" si="1"/>
        <v>1160.0099999999948</v>
      </c>
      <c r="E19" s="488">
        <f>CRONOGRAMA!C34</f>
        <v>58000.369999999995</v>
      </c>
      <c r="H19" s="50">
        <f t="shared" si="2"/>
        <v>0</v>
      </c>
    </row>
    <row r="20" spans="1:9" x14ac:dyDescent="0.3">
      <c r="A20" s="485" t="s">
        <v>24</v>
      </c>
      <c r="B20" s="486" t="s">
        <v>232</v>
      </c>
      <c r="C20" s="487">
        <f t="shared" si="0"/>
        <v>108240.46</v>
      </c>
      <c r="D20" s="487">
        <f t="shared" si="1"/>
        <v>2208.9900000000052</v>
      </c>
      <c r="E20" s="488">
        <f>CRONOGRAMA!C37</f>
        <v>110449.45000000001</v>
      </c>
      <c r="H20" s="50">
        <f t="shared" si="2"/>
        <v>0</v>
      </c>
    </row>
    <row r="21" spans="1:9" x14ac:dyDescent="0.3">
      <c r="A21" s="485" t="s">
        <v>25</v>
      </c>
      <c r="B21" s="486" t="s">
        <v>152</v>
      </c>
      <c r="C21" s="487">
        <f t="shared" si="0"/>
        <v>90858.13</v>
      </c>
      <c r="D21" s="487">
        <f t="shared" si="1"/>
        <v>1854.25</v>
      </c>
      <c r="E21" s="488">
        <f>CRONOGRAMA!C40</f>
        <v>92712.38</v>
      </c>
      <c r="H21" s="50">
        <f t="shared" si="2"/>
        <v>0</v>
      </c>
    </row>
    <row r="22" spans="1:9" x14ac:dyDescent="0.3">
      <c r="A22" s="485" t="s">
        <v>26</v>
      </c>
      <c r="B22" s="486" t="s">
        <v>190</v>
      </c>
      <c r="C22" s="487">
        <f t="shared" si="0"/>
        <v>166395.39000000001</v>
      </c>
      <c r="D22" s="487">
        <f t="shared" si="1"/>
        <v>3395.8199999999779</v>
      </c>
      <c r="E22" s="488">
        <f>CRONOGRAMA!C43</f>
        <v>169791.21</v>
      </c>
      <c r="H22" s="50">
        <f t="shared" si="2"/>
        <v>0</v>
      </c>
    </row>
    <row r="23" spans="1:9" x14ac:dyDescent="0.3">
      <c r="A23" s="489"/>
      <c r="B23" s="490"/>
      <c r="C23" s="491"/>
      <c r="D23" s="492"/>
      <c r="E23" s="492"/>
      <c r="H23" s="50"/>
    </row>
    <row r="24" spans="1:9" s="171" customFormat="1" ht="15.6" x14ac:dyDescent="0.3">
      <c r="A24" s="558" t="s">
        <v>958</v>
      </c>
      <c r="B24" s="558"/>
      <c r="C24" s="493">
        <f>SUM(C9:C23)/2</f>
        <v>2538489.2900000005</v>
      </c>
      <c r="D24" s="493">
        <f>SUM(D9:D23)/2</f>
        <v>51805.900000000009</v>
      </c>
      <c r="E24" s="494">
        <f>SUM(E9:E23)/2</f>
        <v>2590295.1900000013</v>
      </c>
      <c r="H24" s="495"/>
    </row>
    <row r="28" spans="1:9" x14ac:dyDescent="0.3">
      <c r="C28" s="496"/>
      <c r="D28" s="496"/>
      <c r="E28" s="497" t="s">
        <v>959</v>
      </c>
    </row>
    <row r="29" spans="1:9" x14ac:dyDescent="0.3">
      <c r="C29" s="498"/>
      <c r="D29" s="496"/>
      <c r="E29" s="499">
        <f>ORÇAMENTO!M121</f>
        <v>2538489.2900000019</v>
      </c>
    </row>
    <row r="30" spans="1:9" x14ac:dyDescent="0.3">
      <c r="C30" s="500"/>
      <c r="D30" s="496"/>
      <c r="E30" s="496"/>
      <c r="I30" s="501"/>
    </row>
    <row r="31" spans="1:9" x14ac:dyDescent="0.3">
      <c r="C31" s="500"/>
      <c r="D31" s="496"/>
      <c r="E31" s="497"/>
    </row>
    <row r="32" spans="1:9" x14ac:dyDescent="0.3">
      <c r="C32" s="496"/>
      <c r="D32" s="496"/>
      <c r="E32" s="499"/>
    </row>
    <row r="33" spans="3:3" x14ac:dyDescent="0.3">
      <c r="C33" s="496">
        <f>C31-C30</f>
        <v>0</v>
      </c>
    </row>
  </sheetData>
  <mergeCells count="7">
    <mergeCell ref="A24:B24"/>
    <mergeCell ref="A1:E1"/>
    <mergeCell ref="A7:A8"/>
    <mergeCell ref="B7:B8"/>
    <mergeCell ref="C7:C8"/>
    <mergeCell ref="D7:D8"/>
    <mergeCell ref="E7:E8"/>
  </mergeCells>
  <printOptions horizontalCentered="1"/>
  <pageMargins left="0.59055118110236227" right="0.39370078740157483" top="1.1811023622047245" bottom="0.59055118110236227" header="0.39370078740157483" footer="0.39370078740157483"/>
  <pageSetup paperSize="9" scale="77" fitToHeight="0" orientation="portrait" horizontalDpi="300" verticalDpi="300" r:id="rId1"/>
  <headerFooter>
    <oddHeader>&amp;L&amp;G&amp;R&amp;G</oddHeader>
    <oddFooter>&amp;R&amp;"Arial,Normal"&amp;8Pág. &amp;P de &amp;N</oddFooter>
  </headerFooter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442BD-0026-4D6A-98CF-0BE8B7D1167E}">
  <sheetPr>
    <tabColor rgb="FF92D050"/>
    <pageSetUpPr fitToPage="1"/>
  </sheetPr>
  <dimension ref="A1:C114"/>
  <sheetViews>
    <sheetView view="pageBreakPreview" topLeftCell="A10" zoomScaleSheetLayoutView="100" workbookViewId="0">
      <pane ySplit="1104" topLeftCell="A99" activePane="bottomLeft"/>
      <selection activeCell="C10" sqref="C1:C1048576"/>
      <selection pane="bottomLeft" activeCell="C124" sqref="C124"/>
    </sheetView>
  </sheetViews>
  <sheetFormatPr defaultColWidth="9.109375" defaultRowHeight="13.8" x14ac:dyDescent="0.3"/>
  <cols>
    <col min="1" max="1" width="7.44140625" style="155" customWidth="1"/>
    <col min="2" max="2" width="54.5546875" style="155" customWidth="1"/>
    <col min="3" max="3" width="8.88671875" style="155" bestFit="1" customWidth="1"/>
    <col min="4" max="6" width="11.33203125" style="155" customWidth="1"/>
    <col min="7" max="16384" width="9.109375" style="155"/>
  </cols>
  <sheetData>
    <row r="1" spans="1:3" s="25" customFormat="1" hidden="1" x14ac:dyDescent="0.3">
      <c r="A1" s="170"/>
      <c r="B1" s="170"/>
      <c r="C1" s="170"/>
    </row>
    <row r="2" spans="1:3" s="25" customFormat="1" hidden="1" x14ac:dyDescent="0.3">
      <c r="A2" s="170"/>
      <c r="B2" s="170"/>
      <c r="C2" s="170"/>
    </row>
    <row r="3" spans="1:3" s="25" customFormat="1" hidden="1" x14ac:dyDescent="0.3">
      <c r="A3" s="170"/>
      <c r="B3" s="170"/>
      <c r="C3" s="38"/>
    </row>
    <row r="4" spans="1:3" s="45" customFormat="1" x14ac:dyDescent="0.3">
      <c r="A4" s="209" t="s">
        <v>1</v>
      </c>
      <c r="B4" s="209" t="s">
        <v>2</v>
      </c>
      <c r="C4" s="26" t="s">
        <v>33</v>
      </c>
    </row>
    <row r="5" spans="1:3" s="25" customFormat="1" x14ac:dyDescent="0.3">
      <c r="A5" s="35"/>
      <c r="B5" s="149"/>
      <c r="C5" s="34"/>
    </row>
    <row r="6" spans="1:3" s="171" customFormat="1" x14ac:dyDescent="0.3">
      <c r="A6" s="328" t="s">
        <v>7</v>
      </c>
      <c r="B6" s="199" t="s">
        <v>219</v>
      </c>
      <c r="C6" s="28"/>
    </row>
    <row r="7" spans="1:3" s="32" customFormat="1" x14ac:dyDescent="0.3">
      <c r="A7" s="322" t="s">
        <v>8</v>
      </c>
      <c r="B7" s="201" t="s">
        <v>220</v>
      </c>
      <c r="C7" s="30">
        <v>1</v>
      </c>
    </row>
    <row r="8" spans="1:3" s="25" customFormat="1" x14ac:dyDescent="0.3">
      <c r="A8" s="320"/>
      <c r="B8" s="149"/>
      <c r="C8" s="34"/>
    </row>
    <row r="9" spans="1:3" s="171" customFormat="1" x14ac:dyDescent="0.3">
      <c r="A9" s="328" t="s">
        <v>9</v>
      </c>
      <c r="B9" s="199" t="s">
        <v>131</v>
      </c>
      <c r="C9" s="28"/>
    </row>
    <row r="10" spans="1:3" s="32" customFormat="1" ht="41.4" x14ac:dyDescent="0.3">
      <c r="A10" s="322" t="s">
        <v>114</v>
      </c>
      <c r="B10" s="201" t="s">
        <v>449</v>
      </c>
      <c r="C10" s="30">
        <v>27</v>
      </c>
    </row>
    <row r="11" spans="1:3" s="32" customFormat="1" ht="41.4" x14ac:dyDescent="0.3">
      <c r="A11" s="322" t="s">
        <v>185</v>
      </c>
      <c r="B11" s="201" t="s">
        <v>617</v>
      </c>
      <c r="C11" s="30">
        <v>1562.66</v>
      </c>
    </row>
    <row r="12" spans="1:3" s="32" customFormat="1" ht="41.4" x14ac:dyDescent="0.3">
      <c r="A12" s="322" t="s">
        <v>189</v>
      </c>
      <c r="B12" s="201" t="s">
        <v>623</v>
      </c>
      <c r="C12" s="30">
        <v>89.93</v>
      </c>
    </row>
    <row r="13" spans="1:3" s="32" customFormat="1" ht="27.6" x14ac:dyDescent="0.3">
      <c r="A13" s="322" t="s">
        <v>454</v>
      </c>
      <c r="B13" s="201" t="s">
        <v>629</v>
      </c>
      <c r="C13" s="30">
        <v>1245.83</v>
      </c>
    </row>
    <row r="14" spans="1:3" s="32" customFormat="1" ht="27.6" x14ac:dyDescent="0.3">
      <c r="A14" s="322" t="s">
        <v>745</v>
      </c>
      <c r="B14" s="201" t="s">
        <v>633</v>
      </c>
      <c r="C14" s="30">
        <v>87.42</v>
      </c>
    </row>
    <row r="15" spans="1:3" s="32" customFormat="1" ht="27.6" x14ac:dyDescent="0.3">
      <c r="A15" s="322" t="s">
        <v>746</v>
      </c>
      <c r="B15" s="201" t="s">
        <v>638</v>
      </c>
      <c r="C15" s="30">
        <v>63</v>
      </c>
    </row>
    <row r="16" spans="1:3" s="32" customFormat="1" x14ac:dyDescent="0.3">
      <c r="A16" s="322" t="s">
        <v>747</v>
      </c>
      <c r="B16" s="201" t="s">
        <v>671</v>
      </c>
      <c r="C16" s="30">
        <v>80</v>
      </c>
    </row>
    <row r="17" spans="1:3" s="32" customFormat="1" ht="27.6" x14ac:dyDescent="0.3">
      <c r="A17" s="322" t="s">
        <v>862</v>
      </c>
      <c r="B17" s="201" t="s">
        <v>692</v>
      </c>
      <c r="C17" s="30">
        <v>1226.75</v>
      </c>
    </row>
    <row r="18" spans="1:3" s="32" customFormat="1" x14ac:dyDescent="0.3">
      <c r="A18" s="322" t="s">
        <v>863</v>
      </c>
      <c r="B18" s="201" t="s">
        <v>452</v>
      </c>
      <c r="C18" s="30">
        <v>88</v>
      </c>
    </row>
    <row r="19" spans="1:3" s="32" customFormat="1" ht="41.4" x14ac:dyDescent="0.3">
      <c r="A19" s="322" t="s">
        <v>864</v>
      </c>
      <c r="B19" s="201" t="s">
        <v>453</v>
      </c>
      <c r="C19" s="30">
        <v>8</v>
      </c>
    </row>
    <row r="20" spans="1:3" s="25" customFormat="1" x14ac:dyDescent="0.3">
      <c r="A20" s="320"/>
      <c r="B20" s="149"/>
      <c r="C20" s="34"/>
    </row>
    <row r="21" spans="1:3" s="171" customFormat="1" x14ac:dyDescent="0.3">
      <c r="A21" s="328" t="s">
        <v>10</v>
      </c>
      <c r="B21" s="199" t="s">
        <v>682</v>
      </c>
      <c r="C21" s="28"/>
    </row>
    <row r="22" spans="1:3" s="32" customFormat="1" ht="69" x14ac:dyDescent="0.3">
      <c r="A22" s="322" t="s">
        <v>135</v>
      </c>
      <c r="B22" s="201" t="s">
        <v>683</v>
      </c>
      <c r="C22" s="30">
        <v>150</v>
      </c>
    </row>
    <row r="23" spans="1:3" s="32" customFormat="1" ht="41.4" x14ac:dyDescent="0.3">
      <c r="A23" s="322" t="s">
        <v>157</v>
      </c>
      <c r="B23" s="201" t="s">
        <v>695</v>
      </c>
      <c r="C23" s="30">
        <v>12</v>
      </c>
    </row>
    <row r="24" spans="1:3" s="32" customFormat="1" ht="55.2" x14ac:dyDescent="0.3">
      <c r="A24" s="322" t="s">
        <v>186</v>
      </c>
      <c r="B24" s="201" t="s">
        <v>698</v>
      </c>
      <c r="C24" s="30">
        <v>2</v>
      </c>
    </row>
    <row r="25" spans="1:3" s="32" customFormat="1" x14ac:dyDescent="0.3">
      <c r="A25" s="322" t="s">
        <v>260</v>
      </c>
      <c r="B25" s="201" t="s">
        <v>735</v>
      </c>
      <c r="C25" s="30">
        <v>45</v>
      </c>
    </row>
    <row r="26" spans="1:3" s="32" customFormat="1" ht="27.6" x14ac:dyDescent="0.3">
      <c r="A26" s="322" t="s">
        <v>459</v>
      </c>
      <c r="B26" s="201" t="s">
        <v>738</v>
      </c>
      <c r="C26" s="30">
        <v>22.2</v>
      </c>
    </row>
    <row r="27" spans="1:3" s="32" customFormat="1" ht="41.4" x14ac:dyDescent="0.3">
      <c r="A27" s="322" t="s">
        <v>462</v>
      </c>
      <c r="B27" s="201" t="s">
        <v>741</v>
      </c>
      <c r="C27" s="30">
        <v>50</v>
      </c>
    </row>
    <row r="28" spans="1:3" s="25" customFormat="1" x14ac:dyDescent="0.3">
      <c r="A28" s="320"/>
      <c r="B28" s="36"/>
      <c r="C28" s="34"/>
    </row>
    <row r="29" spans="1:3" s="275" customFormat="1" x14ac:dyDescent="0.3">
      <c r="A29" s="328" t="s">
        <v>11</v>
      </c>
      <c r="B29" s="199" t="s">
        <v>261</v>
      </c>
      <c r="C29" s="28"/>
    </row>
    <row r="30" spans="1:3" s="275" customFormat="1" x14ac:dyDescent="0.3">
      <c r="A30" s="328"/>
      <c r="B30" s="199" t="s">
        <v>461</v>
      </c>
      <c r="C30" s="28"/>
    </row>
    <row r="31" spans="1:3" s="252" customFormat="1" ht="55.2" x14ac:dyDescent="0.3">
      <c r="A31" s="322" t="s">
        <v>136</v>
      </c>
      <c r="B31" s="201" t="s">
        <v>675</v>
      </c>
      <c r="C31" s="30">
        <v>5593.77</v>
      </c>
    </row>
    <row r="32" spans="1:3" s="275" customFormat="1" ht="11.25" customHeight="1" x14ac:dyDescent="0.3">
      <c r="A32" s="328"/>
      <c r="B32" s="199" t="s">
        <v>262</v>
      </c>
      <c r="C32" s="28"/>
    </row>
    <row r="33" spans="1:3" s="252" customFormat="1" ht="82.8" x14ac:dyDescent="0.3">
      <c r="A33" s="322" t="s">
        <v>158</v>
      </c>
      <c r="B33" s="201" t="s">
        <v>658</v>
      </c>
      <c r="C33" s="30">
        <v>390</v>
      </c>
    </row>
    <row r="34" spans="1:3" s="276" customFormat="1" x14ac:dyDescent="0.3">
      <c r="A34" s="320"/>
      <c r="B34" s="36"/>
      <c r="C34" s="34"/>
    </row>
    <row r="35" spans="1:3" s="171" customFormat="1" x14ac:dyDescent="0.3">
      <c r="A35" s="328" t="s">
        <v>12</v>
      </c>
      <c r="B35" s="199" t="s">
        <v>227</v>
      </c>
      <c r="C35" s="28"/>
    </row>
    <row r="36" spans="1:3" s="32" customFormat="1" ht="55.2" x14ac:dyDescent="0.3">
      <c r="A36" s="322" t="s">
        <v>137</v>
      </c>
      <c r="B36" s="201" t="s">
        <v>677</v>
      </c>
      <c r="C36" s="30">
        <v>26.46</v>
      </c>
    </row>
    <row r="37" spans="1:3" s="32" customFormat="1" ht="55.2" x14ac:dyDescent="0.3">
      <c r="A37" s="322" t="s">
        <v>159</v>
      </c>
      <c r="B37" s="201" t="s">
        <v>263</v>
      </c>
      <c r="C37" s="30">
        <v>4998.08</v>
      </c>
    </row>
    <row r="38" spans="1:3" s="32" customFormat="1" ht="55.2" x14ac:dyDescent="0.3">
      <c r="A38" s="322" t="s">
        <v>160</v>
      </c>
      <c r="B38" s="201" t="s">
        <v>228</v>
      </c>
      <c r="C38" s="30">
        <v>4998.08</v>
      </c>
    </row>
    <row r="39" spans="1:3" s="252" customFormat="1" ht="55.2" x14ac:dyDescent="0.3">
      <c r="A39" s="322" t="s">
        <v>229</v>
      </c>
      <c r="B39" s="201" t="s">
        <v>476</v>
      </c>
      <c r="C39" s="30">
        <v>1245.83</v>
      </c>
    </row>
    <row r="40" spans="1:3" s="220" customFormat="1" x14ac:dyDescent="0.3">
      <c r="A40" s="329"/>
      <c r="B40" s="216"/>
      <c r="C40" s="218"/>
    </row>
    <row r="41" spans="1:3" s="171" customFormat="1" x14ac:dyDescent="0.3">
      <c r="A41" s="328" t="s">
        <v>15</v>
      </c>
      <c r="B41" s="199" t="s">
        <v>264</v>
      </c>
      <c r="C41" s="28"/>
    </row>
    <row r="42" spans="1:3" s="252" customFormat="1" ht="27.6" x14ac:dyDescent="0.3">
      <c r="A42" s="322" t="s">
        <v>138</v>
      </c>
      <c r="B42" s="201" t="s">
        <v>455</v>
      </c>
      <c r="C42" s="30">
        <v>53.96</v>
      </c>
    </row>
    <row r="43" spans="1:3" s="252" customFormat="1" ht="60.6" customHeight="1" x14ac:dyDescent="0.3">
      <c r="A43" s="322" t="s">
        <v>161</v>
      </c>
      <c r="B43" s="201" t="s">
        <v>320</v>
      </c>
      <c r="C43" s="30">
        <v>1798.52</v>
      </c>
    </row>
    <row r="44" spans="1:3" s="252" customFormat="1" ht="69" x14ac:dyDescent="0.3">
      <c r="A44" s="322" t="s">
        <v>230</v>
      </c>
      <c r="B44" s="201" t="s">
        <v>820</v>
      </c>
      <c r="C44" s="30">
        <v>1798.52</v>
      </c>
    </row>
    <row r="45" spans="1:3" s="32" customFormat="1" ht="55.2" x14ac:dyDescent="0.3">
      <c r="A45" s="322" t="s">
        <v>231</v>
      </c>
      <c r="B45" s="201" t="s">
        <v>483</v>
      </c>
      <c r="C45" s="30">
        <v>80</v>
      </c>
    </row>
    <row r="46" spans="1:3" s="25" customFormat="1" x14ac:dyDescent="0.3">
      <c r="A46" s="320"/>
      <c r="B46" s="36"/>
      <c r="C46" s="34"/>
    </row>
    <row r="47" spans="1:3" s="275" customFormat="1" x14ac:dyDescent="0.3">
      <c r="A47" s="328" t="s">
        <v>21</v>
      </c>
      <c r="B47" s="199" t="s">
        <v>265</v>
      </c>
      <c r="C47" s="28"/>
    </row>
    <row r="48" spans="1:3" s="252" customFormat="1" ht="27.6" x14ac:dyDescent="0.3">
      <c r="A48" s="322" t="s">
        <v>139</v>
      </c>
      <c r="B48" s="201" t="s">
        <v>412</v>
      </c>
      <c r="C48" s="30">
        <v>1952.66</v>
      </c>
    </row>
    <row r="49" spans="1:3" s="252" customFormat="1" x14ac:dyDescent="0.3">
      <c r="A49" s="322" t="s">
        <v>162</v>
      </c>
      <c r="B49" s="201" t="s">
        <v>414</v>
      </c>
      <c r="C49" s="30">
        <v>187</v>
      </c>
    </row>
    <row r="50" spans="1:3" s="252" customFormat="1" ht="41.4" x14ac:dyDescent="0.3">
      <c r="A50" s="322" t="s">
        <v>218</v>
      </c>
      <c r="B50" s="201" t="s">
        <v>416</v>
      </c>
      <c r="C50" s="30">
        <v>252</v>
      </c>
    </row>
    <row r="51" spans="1:3" s="252" customFormat="1" ht="39.6" customHeight="1" x14ac:dyDescent="0.3">
      <c r="A51" s="322" t="s">
        <v>267</v>
      </c>
      <c r="B51" s="201" t="s">
        <v>713</v>
      </c>
      <c r="C51" s="30">
        <v>38.07</v>
      </c>
    </row>
    <row r="52" spans="1:3" s="252" customFormat="1" ht="33.6" customHeight="1" x14ac:dyDescent="0.3">
      <c r="A52" s="322" t="s">
        <v>268</v>
      </c>
      <c r="B52" s="201" t="s">
        <v>486</v>
      </c>
      <c r="C52" s="30">
        <v>186.4</v>
      </c>
    </row>
    <row r="53" spans="1:3" s="252" customFormat="1" ht="69" x14ac:dyDescent="0.3">
      <c r="A53" s="322" t="s">
        <v>268</v>
      </c>
      <c r="B53" s="201" t="s">
        <v>731</v>
      </c>
      <c r="C53" s="30">
        <v>50</v>
      </c>
    </row>
    <row r="54" spans="1:3" s="252" customFormat="1" ht="55.2" x14ac:dyDescent="0.3">
      <c r="A54" s="322" t="s">
        <v>345</v>
      </c>
      <c r="B54" s="201" t="s">
        <v>727</v>
      </c>
      <c r="C54" s="30">
        <v>12</v>
      </c>
    </row>
    <row r="55" spans="1:3" s="251" customFormat="1" x14ac:dyDescent="0.3">
      <c r="A55" s="329"/>
      <c r="B55" s="216"/>
      <c r="C55" s="218"/>
    </row>
    <row r="56" spans="1:3" s="275" customFormat="1" x14ac:dyDescent="0.3">
      <c r="A56" s="328" t="s">
        <v>22</v>
      </c>
      <c r="B56" s="199" t="s">
        <v>269</v>
      </c>
      <c r="C56" s="28"/>
    </row>
    <row r="57" spans="1:3" s="252" customFormat="1" ht="41.4" x14ac:dyDescent="0.3">
      <c r="A57" s="322" t="s">
        <v>140</v>
      </c>
      <c r="B57" s="201" t="s">
        <v>273</v>
      </c>
      <c r="C57" s="30">
        <v>15.36</v>
      </c>
    </row>
    <row r="58" spans="1:3" s="252" customFormat="1" ht="33.6" customHeight="1" x14ac:dyDescent="0.3">
      <c r="A58" s="322" t="s">
        <v>163</v>
      </c>
      <c r="B58" s="201" t="s">
        <v>759</v>
      </c>
      <c r="C58" s="30">
        <v>63.97</v>
      </c>
    </row>
    <row r="59" spans="1:3" s="252" customFormat="1" ht="27.6" x14ac:dyDescent="0.3">
      <c r="A59" s="322" t="s">
        <v>164</v>
      </c>
      <c r="B59" s="201" t="s">
        <v>271</v>
      </c>
      <c r="C59" s="30">
        <v>3.96</v>
      </c>
    </row>
    <row r="60" spans="1:3" s="252" customFormat="1" ht="96.6" x14ac:dyDescent="0.3">
      <c r="A60" s="322" t="s">
        <v>165</v>
      </c>
      <c r="B60" s="201" t="s">
        <v>767</v>
      </c>
      <c r="C60" s="30">
        <v>4.95</v>
      </c>
    </row>
    <row r="61" spans="1:3" s="252" customFormat="1" ht="42" customHeight="1" x14ac:dyDescent="0.3">
      <c r="A61" s="322" t="s">
        <v>247</v>
      </c>
      <c r="B61" s="201" t="s">
        <v>419</v>
      </c>
      <c r="C61" s="30">
        <v>12</v>
      </c>
    </row>
    <row r="62" spans="1:3" s="252" customFormat="1" ht="27.6" x14ac:dyDescent="0.3">
      <c r="A62" s="322" t="s">
        <v>248</v>
      </c>
      <c r="B62" s="201" t="s">
        <v>771</v>
      </c>
      <c r="C62" s="30">
        <v>1271.6199999999999</v>
      </c>
    </row>
    <row r="63" spans="1:3" s="252" customFormat="1" ht="41.4" x14ac:dyDescent="0.3">
      <c r="A63" s="322" t="s">
        <v>489</v>
      </c>
      <c r="B63" s="201" t="s">
        <v>258</v>
      </c>
      <c r="C63" s="30">
        <v>4</v>
      </c>
    </row>
    <row r="64" spans="1:3" s="251" customFormat="1" x14ac:dyDescent="0.3">
      <c r="A64" s="329"/>
      <c r="B64" s="216"/>
      <c r="C64" s="218"/>
    </row>
    <row r="65" spans="1:3" s="171" customFormat="1" x14ac:dyDescent="0.3">
      <c r="A65" s="328" t="s">
        <v>23</v>
      </c>
      <c r="B65" s="199" t="s">
        <v>126</v>
      </c>
      <c r="C65" s="28"/>
    </row>
    <row r="66" spans="1:3" s="280" customFormat="1" ht="27.6" x14ac:dyDescent="0.3">
      <c r="A66" s="330" t="s">
        <v>184</v>
      </c>
      <c r="B66" s="201" t="s">
        <v>421</v>
      </c>
      <c r="C66" s="279">
        <v>1226.75</v>
      </c>
    </row>
    <row r="67" spans="1:3" s="32" customFormat="1" ht="27.6" x14ac:dyDescent="0.3">
      <c r="A67" s="322" t="s">
        <v>166</v>
      </c>
      <c r="B67" s="201" t="s">
        <v>422</v>
      </c>
      <c r="C67" s="30">
        <v>1226.75</v>
      </c>
    </row>
    <row r="68" spans="1:3" s="32" customFormat="1" ht="27.6" x14ac:dyDescent="0.3">
      <c r="A68" s="322" t="s">
        <v>167</v>
      </c>
      <c r="B68" s="201" t="s">
        <v>424</v>
      </c>
      <c r="C68" s="30">
        <v>1226.75</v>
      </c>
    </row>
    <row r="69" spans="1:3" s="32" customFormat="1" ht="41.4" x14ac:dyDescent="0.3">
      <c r="A69" s="322" t="s">
        <v>168</v>
      </c>
      <c r="B69" s="201" t="s">
        <v>216</v>
      </c>
      <c r="C69" s="30">
        <v>70.099999999999994</v>
      </c>
    </row>
    <row r="70" spans="1:3" s="32" customFormat="1" ht="55.2" x14ac:dyDescent="0.3">
      <c r="A70" s="322" t="s">
        <v>192</v>
      </c>
      <c r="B70" s="201" t="s">
        <v>133</v>
      </c>
      <c r="C70" s="30">
        <v>70.099999999999994</v>
      </c>
    </row>
    <row r="71" spans="1:3" s="220" customFormat="1" x14ac:dyDescent="0.3">
      <c r="A71" s="329"/>
      <c r="B71" s="216"/>
      <c r="C71" s="218"/>
    </row>
    <row r="72" spans="1:3" s="171" customFormat="1" x14ac:dyDescent="0.3">
      <c r="A72" s="328" t="s">
        <v>24</v>
      </c>
      <c r="B72" s="199" t="s">
        <v>232</v>
      </c>
      <c r="C72" s="28"/>
    </row>
    <row r="73" spans="1:3" s="32" customFormat="1" ht="55.2" x14ac:dyDescent="0.3">
      <c r="A73" s="322" t="s">
        <v>147</v>
      </c>
      <c r="B73" s="201" t="s">
        <v>151</v>
      </c>
      <c r="C73" s="30">
        <v>121</v>
      </c>
    </row>
    <row r="74" spans="1:3" s="32" customFormat="1" ht="27.6" x14ac:dyDescent="0.3">
      <c r="A74" s="322" t="s">
        <v>169</v>
      </c>
      <c r="B74" s="201" t="s">
        <v>236</v>
      </c>
      <c r="C74" s="30">
        <v>8</v>
      </c>
    </row>
    <row r="75" spans="1:3" s="32" customFormat="1" ht="41.4" x14ac:dyDescent="0.3">
      <c r="A75" s="322" t="s">
        <v>170</v>
      </c>
      <c r="B75" s="201" t="s">
        <v>153</v>
      </c>
      <c r="C75" s="30">
        <v>129</v>
      </c>
    </row>
    <row r="76" spans="1:3" s="32" customFormat="1" ht="27.6" x14ac:dyDescent="0.3">
      <c r="A76" s="322" t="s">
        <v>287</v>
      </c>
      <c r="B76" s="201" t="s">
        <v>145</v>
      </c>
      <c r="C76" s="30">
        <v>8</v>
      </c>
    </row>
    <row r="77" spans="1:3" s="32" customFormat="1" ht="69" x14ac:dyDescent="0.3">
      <c r="A77" s="322" t="s">
        <v>288</v>
      </c>
      <c r="B77" s="201" t="s">
        <v>441</v>
      </c>
      <c r="C77" s="30">
        <v>111</v>
      </c>
    </row>
    <row r="78" spans="1:3" s="32" customFormat="1" ht="27.6" x14ac:dyDescent="0.3">
      <c r="A78" s="322" t="s">
        <v>289</v>
      </c>
      <c r="B78" s="201" t="s">
        <v>359</v>
      </c>
      <c r="C78" s="30">
        <v>2</v>
      </c>
    </row>
    <row r="79" spans="1:3" s="32" customFormat="1" ht="30.75" customHeight="1" x14ac:dyDescent="0.3">
      <c r="A79" s="322" t="s">
        <v>290</v>
      </c>
      <c r="B79" s="201" t="s">
        <v>532</v>
      </c>
      <c r="C79" s="30">
        <v>2</v>
      </c>
    </row>
    <row r="80" spans="1:3" s="32" customFormat="1" ht="41.4" x14ac:dyDescent="0.3">
      <c r="A80" s="322" t="s">
        <v>291</v>
      </c>
      <c r="B80" s="201" t="s">
        <v>251</v>
      </c>
      <c r="C80" s="30">
        <v>114</v>
      </c>
    </row>
    <row r="81" spans="1:3" s="32" customFormat="1" ht="27.6" x14ac:dyDescent="0.3">
      <c r="A81" s="322" t="s">
        <v>292</v>
      </c>
      <c r="B81" s="201" t="s">
        <v>141</v>
      </c>
      <c r="C81" s="30">
        <v>8</v>
      </c>
    </row>
    <row r="82" spans="1:3" s="32" customFormat="1" ht="27.6" x14ac:dyDescent="0.3">
      <c r="A82" s="322" t="s">
        <v>293</v>
      </c>
      <c r="B82" s="201" t="s">
        <v>253</v>
      </c>
      <c r="C82" s="30">
        <v>4</v>
      </c>
    </row>
    <row r="83" spans="1:3" s="32" customFormat="1" ht="27.6" x14ac:dyDescent="0.3">
      <c r="A83" s="322" t="s">
        <v>294</v>
      </c>
      <c r="B83" s="201" t="s">
        <v>254</v>
      </c>
      <c r="C83" s="30">
        <v>4</v>
      </c>
    </row>
    <row r="84" spans="1:3" s="32" customFormat="1" ht="27.6" x14ac:dyDescent="0.3">
      <c r="A84" s="322" t="s">
        <v>295</v>
      </c>
      <c r="B84" s="201" t="s">
        <v>256</v>
      </c>
      <c r="C84" s="30">
        <v>4</v>
      </c>
    </row>
    <row r="85" spans="1:3" s="32" customFormat="1" ht="69" x14ac:dyDescent="0.3">
      <c r="A85" s="322" t="s">
        <v>296</v>
      </c>
      <c r="B85" s="201" t="s">
        <v>550</v>
      </c>
      <c r="C85" s="30">
        <v>1</v>
      </c>
    </row>
    <row r="86" spans="1:3" s="252" customFormat="1" ht="41.4" x14ac:dyDescent="0.3">
      <c r="A86" s="322" t="s">
        <v>297</v>
      </c>
      <c r="B86" s="201" t="s">
        <v>600</v>
      </c>
      <c r="C86" s="30">
        <v>200</v>
      </c>
    </row>
    <row r="87" spans="1:3" s="252" customFormat="1" ht="55.2" x14ac:dyDescent="0.3">
      <c r="A87" s="322" t="s">
        <v>298</v>
      </c>
      <c r="B87" s="201" t="s">
        <v>598</v>
      </c>
      <c r="C87" s="30">
        <v>6</v>
      </c>
    </row>
    <row r="88" spans="1:3" s="276" customFormat="1" x14ac:dyDescent="0.3">
      <c r="A88" s="322"/>
      <c r="B88" s="36"/>
      <c r="C88" s="34"/>
    </row>
    <row r="89" spans="1:3" s="171" customFormat="1" x14ac:dyDescent="0.3">
      <c r="A89" s="328" t="s">
        <v>25</v>
      </c>
      <c r="B89" s="199" t="s">
        <v>152</v>
      </c>
      <c r="C89" s="28"/>
    </row>
    <row r="90" spans="1:3" s="252" customFormat="1" ht="41.4" x14ac:dyDescent="0.3">
      <c r="A90" s="322" t="s">
        <v>148</v>
      </c>
      <c r="B90" s="201" t="s">
        <v>431</v>
      </c>
      <c r="C90" s="30">
        <v>1</v>
      </c>
    </row>
    <row r="91" spans="1:3" s="32" customFormat="1" ht="41.4" x14ac:dyDescent="0.3">
      <c r="A91" s="29" t="s">
        <v>171</v>
      </c>
      <c r="B91" s="201" t="s">
        <v>437</v>
      </c>
      <c r="C91" s="30">
        <v>1</v>
      </c>
    </row>
    <row r="92" spans="1:3" s="252" customFormat="1" ht="55.2" x14ac:dyDescent="0.3">
      <c r="A92" s="322" t="s">
        <v>172</v>
      </c>
      <c r="B92" s="201" t="s">
        <v>860</v>
      </c>
      <c r="C92" s="30">
        <v>1</v>
      </c>
    </row>
    <row r="93" spans="1:3" s="252" customFormat="1" ht="27.6" x14ac:dyDescent="0.3">
      <c r="A93" s="322" t="s">
        <v>299</v>
      </c>
      <c r="B93" s="201" t="s">
        <v>711</v>
      </c>
      <c r="C93" s="30">
        <v>108</v>
      </c>
    </row>
    <row r="94" spans="1:3" s="252" customFormat="1" ht="55.2" x14ac:dyDescent="0.3">
      <c r="A94" s="322" t="s">
        <v>300</v>
      </c>
      <c r="B94" s="201" t="s">
        <v>836</v>
      </c>
      <c r="C94" s="30">
        <v>121</v>
      </c>
    </row>
    <row r="95" spans="1:3" s="252" customFormat="1" ht="27.6" x14ac:dyDescent="0.3">
      <c r="A95" s="322" t="s">
        <v>301</v>
      </c>
      <c r="B95" s="201" t="s">
        <v>840</v>
      </c>
      <c r="C95" s="30">
        <v>6</v>
      </c>
    </row>
    <row r="96" spans="1:3" s="252" customFormat="1" ht="41.4" x14ac:dyDescent="0.3">
      <c r="A96" s="322" t="s">
        <v>302</v>
      </c>
      <c r="B96" s="201" t="s">
        <v>556</v>
      </c>
      <c r="C96" s="30">
        <v>7</v>
      </c>
    </row>
    <row r="97" spans="1:3" s="252" customFormat="1" ht="27.6" x14ac:dyDescent="0.3">
      <c r="A97" s="322" t="s">
        <v>303</v>
      </c>
      <c r="B97" s="201" t="s">
        <v>844</v>
      </c>
      <c r="C97" s="30">
        <v>101</v>
      </c>
    </row>
    <row r="98" spans="1:3" s="32" customFormat="1" ht="27.6" x14ac:dyDescent="0.3">
      <c r="A98" s="322" t="s">
        <v>304</v>
      </c>
      <c r="B98" s="201" t="s">
        <v>429</v>
      </c>
      <c r="C98" s="30">
        <v>1</v>
      </c>
    </row>
    <row r="99" spans="1:3" s="32" customFormat="1" ht="27.6" x14ac:dyDescent="0.3">
      <c r="A99" s="322" t="s">
        <v>305</v>
      </c>
      <c r="B99" s="201" t="s">
        <v>362</v>
      </c>
      <c r="C99" s="30">
        <v>11</v>
      </c>
    </row>
    <row r="100" spans="1:3" s="32" customFormat="1" ht="27.6" x14ac:dyDescent="0.3">
      <c r="A100" s="322" t="s">
        <v>306</v>
      </c>
      <c r="B100" s="201" t="s">
        <v>366</v>
      </c>
      <c r="C100" s="30">
        <v>2</v>
      </c>
    </row>
    <row r="101" spans="1:3" s="32" customFormat="1" ht="27.6" x14ac:dyDescent="0.3">
      <c r="A101" s="322" t="s">
        <v>307</v>
      </c>
      <c r="B101" s="201" t="s">
        <v>559</v>
      </c>
      <c r="C101" s="30">
        <v>4</v>
      </c>
    </row>
    <row r="102" spans="1:3" s="32" customFormat="1" ht="27.6" x14ac:dyDescent="0.3">
      <c r="A102" s="322" t="s">
        <v>308</v>
      </c>
      <c r="B102" s="201" t="s">
        <v>561</v>
      </c>
      <c r="C102" s="30">
        <v>1</v>
      </c>
    </row>
    <row r="103" spans="1:3" s="32" customFormat="1" ht="27.6" x14ac:dyDescent="0.3">
      <c r="A103" s="322" t="s">
        <v>309</v>
      </c>
      <c r="B103" s="201" t="s">
        <v>370</v>
      </c>
      <c r="C103" s="30">
        <v>4</v>
      </c>
    </row>
    <row r="104" spans="1:3" s="32" customFormat="1" ht="27.6" x14ac:dyDescent="0.3">
      <c r="A104" s="322" t="s">
        <v>428</v>
      </c>
      <c r="B104" s="201" t="s">
        <v>557</v>
      </c>
      <c r="C104" s="30">
        <v>4</v>
      </c>
    </row>
    <row r="105" spans="1:3" s="220" customFormat="1" x14ac:dyDescent="0.3">
      <c r="A105" s="329"/>
      <c r="B105" s="216"/>
      <c r="C105" s="218"/>
    </row>
    <row r="106" spans="1:3" s="171" customFormat="1" x14ac:dyDescent="0.3">
      <c r="A106" s="328" t="s">
        <v>26</v>
      </c>
      <c r="B106" s="199" t="s">
        <v>190</v>
      </c>
      <c r="C106" s="28"/>
    </row>
    <row r="107" spans="1:3" s="252" customFormat="1" x14ac:dyDescent="0.3">
      <c r="A107" s="322" t="s">
        <v>149</v>
      </c>
      <c r="B107" s="201" t="s">
        <v>662</v>
      </c>
      <c r="C107" s="30">
        <v>3</v>
      </c>
    </row>
    <row r="108" spans="1:3" s="252" customFormat="1" ht="41.4" x14ac:dyDescent="0.3">
      <c r="A108" s="322" t="s">
        <v>173</v>
      </c>
      <c r="B108" s="201" t="s">
        <v>312</v>
      </c>
      <c r="C108" s="30">
        <v>2</v>
      </c>
    </row>
    <row r="109" spans="1:3" s="252" customFormat="1" ht="41.4" x14ac:dyDescent="0.3">
      <c r="A109" s="322" t="s">
        <v>174</v>
      </c>
      <c r="B109" s="201" t="s">
        <v>314</v>
      </c>
      <c r="C109" s="30">
        <v>2</v>
      </c>
    </row>
    <row r="110" spans="1:3" s="252" customFormat="1" ht="22.8" customHeight="1" x14ac:dyDescent="0.3">
      <c r="A110" s="322" t="s">
        <v>174</v>
      </c>
      <c r="B110" s="201" t="s">
        <v>439</v>
      </c>
      <c r="C110" s="30">
        <v>1798.52</v>
      </c>
    </row>
    <row r="111" spans="1:3" s="220" customFormat="1" x14ac:dyDescent="0.3">
      <c r="A111" s="214"/>
      <c r="B111" s="216"/>
      <c r="C111" s="218"/>
    </row>
    <row r="112" spans="1:3" s="48" customFormat="1" x14ac:dyDescent="0.3">
      <c r="A112" s="539"/>
      <c r="B112" s="539"/>
      <c r="C112" s="539"/>
    </row>
    <row r="113" s="25" customFormat="1" x14ac:dyDescent="0.3"/>
    <row r="114" s="25" customFormat="1" x14ac:dyDescent="0.3"/>
  </sheetData>
  <mergeCells count="1">
    <mergeCell ref="A112:C112"/>
  </mergeCells>
  <printOptions horizontalCentered="1"/>
  <pageMargins left="0.59055118110236227" right="0.59055118110236227" top="1.3779527559055118" bottom="0.59055118110236227" header="0.39370078740157483" footer="0.39370078740157483"/>
  <pageSetup paperSize="9" fitToHeight="0" orientation="portrait" r:id="rId1"/>
  <headerFooter>
    <oddHeader>&amp;L&amp;G&amp;R&amp;G</oddHeader>
    <oddFooter>Página &amp;P de &amp;N</oddFooter>
  </headerFooter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36456-90A5-40A1-887B-538AAFB2F8D2}">
  <sheetPr>
    <tabColor rgb="FF92D050"/>
    <pageSetUpPr fitToPage="1"/>
  </sheetPr>
  <dimension ref="B1:F61"/>
  <sheetViews>
    <sheetView view="pageBreakPreview" zoomScaleSheetLayoutView="100" workbookViewId="0">
      <selection activeCell="B17" sqref="B17"/>
    </sheetView>
  </sheetViews>
  <sheetFormatPr defaultColWidth="9.109375" defaultRowHeight="14.4" x14ac:dyDescent="0.3"/>
  <cols>
    <col min="1" max="1" width="1.109375" customWidth="1"/>
    <col min="2" max="2" width="75.6640625" customWidth="1"/>
    <col min="3" max="3" width="13.33203125" style="82" customWidth="1"/>
    <col min="4" max="4" width="14.33203125" style="82" customWidth="1"/>
    <col min="5" max="5" width="11.44140625" customWidth="1"/>
    <col min="6" max="6" width="62.5546875" customWidth="1"/>
  </cols>
  <sheetData>
    <row r="1" spans="2:6" s="58" customFormat="1" ht="6.75" customHeight="1" x14ac:dyDescent="0.3">
      <c r="C1" s="59"/>
      <c r="D1" s="59"/>
    </row>
    <row r="2" spans="2:6" s="58" customFormat="1" ht="18" x14ac:dyDescent="0.35">
      <c r="B2" s="511" t="s">
        <v>466</v>
      </c>
      <c r="C2" s="511"/>
      <c r="D2" s="511"/>
    </row>
    <row r="3" spans="2:6" s="60" customFormat="1" ht="10.199999999999999" x14ac:dyDescent="0.2">
      <c r="B3" s="61"/>
      <c r="C3" s="61"/>
      <c r="D3" s="61"/>
    </row>
    <row r="4" spans="2:6" s="58" customFormat="1" ht="15.6" x14ac:dyDescent="0.3">
      <c r="B4" s="512" t="s">
        <v>323</v>
      </c>
      <c r="C4" s="512"/>
      <c r="D4" s="512"/>
    </row>
    <row r="5" spans="2:6" s="58" customFormat="1" ht="13.8" x14ac:dyDescent="0.3">
      <c r="B5" s="62"/>
      <c r="C5" s="62"/>
      <c r="D5" s="62"/>
    </row>
    <row r="6" spans="2:6" s="54" customFormat="1" ht="15" customHeight="1" x14ac:dyDescent="0.3">
      <c r="B6" s="52" t="str">
        <f>'(ORÇAMENTO GERAL)'!A6</f>
        <v>OBRA: REFORMA DO AÇOUGUE MUNICIPAL E CONSTRUÇÃO DE 01 GALPÃO PRÉ-FABRICADO DE CONCRETO ARMADO</v>
      </c>
      <c r="C6" s="303"/>
      <c r="D6" s="303"/>
    </row>
    <row r="7" spans="2:6" s="54" customFormat="1" ht="15" customHeight="1" x14ac:dyDescent="0.3">
      <c r="B7" s="39" t="str">
        <f>'(ORÇAMENTO GERAL)'!A7</f>
        <v>LOCALIZAÇÃO: RUA SÉRGIO AMARO DO NASCIMENTO - JOÃO ALFREDO/PE</v>
      </c>
      <c r="C7" s="303"/>
      <c r="D7" s="303"/>
    </row>
    <row r="8" spans="2:6" s="54" customFormat="1" ht="15" customHeight="1" x14ac:dyDescent="0.3">
      <c r="B8" s="39" t="str">
        <f>'(ORÇAMENTO GERAL)'!A9</f>
        <v>DATA: ABRIL/2025</v>
      </c>
      <c r="C8" s="304"/>
      <c r="D8" s="304"/>
    </row>
    <row r="9" spans="2:6" s="58" customFormat="1" ht="13.8" x14ac:dyDescent="0.3">
      <c r="B9" s="39"/>
      <c r="C9" s="64"/>
      <c r="D9" s="64"/>
    </row>
    <row r="10" spans="2:6" s="58" customFormat="1" x14ac:dyDescent="0.3">
      <c r="B10" s="65" t="s">
        <v>37</v>
      </c>
      <c r="C10" s="66" t="s">
        <v>38</v>
      </c>
      <c r="D10" s="66" t="s">
        <v>39</v>
      </c>
      <c r="F10" s="67" t="s">
        <v>40</v>
      </c>
    </row>
    <row r="11" spans="2:6" s="58" customFormat="1" x14ac:dyDescent="0.3">
      <c r="B11" s="68"/>
      <c r="C11" s="69"/>
      <c r="D11" s="69"/>
    </row>
    <row r="12" spans="2:6" s="58" customFormat="1" x14ac:dyDescent="0.3">
      <c r="B12" s="70" t="s">
        <v>41</v>
      </c>
      <c r="C12" s="71" t="s">
        <v>42</v>
      </c>
      <c r="D12" s="305">
        <v>1.4999999999999999E-2</v>
      </c>
      <c r="F12" s="368" t="s">
        <v>467</v>
      </c>
    </row>
    <row r="13" spans="2:6" s="58" customFormat="1" x14ac:dyDescent="0.3">
      <c r="B13" s="70"/>
      <c r="C13" s="71"/>
      <c r="D13" s="306"/>
      <c r="F13" s="63"/>
    </row>
    <row r="14" spans="2:6" s="58" customFormat="1" x14ac:dyDescent="0.3">
      <c r="B14" s="70" t="s">
        <v>43</v>
      </c>
      <c r="C14" s="71" t="s">
        <v>44</v>
      </c>
      <c r="D14" s="305">
        <v>8.5000000000000006E-3</v>
      </c>
      <c r="F14" s="368" t="s">
        <v>468</v>
      </c>
    </row>
    <row r="15" spans="2:6" s="58" customFormat="1" x14ac:dyDescent="0.3">
      <c r="B15" s="70"/>
      <c r="C15" s="71"/>
      <c r="D15" s="307"/>
      <c r="F15" s="63"/>
    </row>
    <row r="16" spans="2:6" s="58" customFormat="1" x14ac:dyDescent="0.3">
      <c r="B16" s="70" t="s">
        <v>45</v>
      </c>
      <c r="C16" s="71" t="s">
        <v>46</v>
      </c>
      <c r="D16" s="305">
        <v>5.5999999999999999E-3</v>
      </c>
      <c r="F16" s="368" t="s">
        <v>469</v>
      </c>
    </row>
    <row r="17" spans="2:6" s="58" customFormat="1" x14ac:dyDescent="0.3">
      <c r="B17" s="70"/>
      <c r="C17" s="71"/>
      <c r="D17" s="307"/>
      <c r="F17" s="63"/>
    </row>
    <row r="18" spans="2:6" s="58" customFormat="1" x14ac:dyDescent="0.3">
      <c r="B18" s="308" t="s">
        <v>328</v>
      </c>
      <c r="C18" s="309" t="s">
        <v>329</v>
      </c>
      <c r="D18" s="310">
        <v>3.0000000000000001E-3</v>
      </c>
      <c r="F18" s="369" t="s">
        <v>470</v>
      </c>
    </row>
    <row r="19" spans="2:6" s="58" customFormat="1" x14ac:dyDescent="0.3">
      <c r="B19" s="70"/>
      <c r="C19" s="71"/>
      <c r="D19" s="73"/>
    </row>
    <row r="20" spans="2:6" s="58" customFormat="1" x14ac:dyDescent="0.3">
      <c r="B20" s="70" t="s">
        <v>47</v>
      </c>
      <c r="C20" s="71" t="s">
        <v>47</v>
      </c>
      <c r="D20" s="73">
        <v>0.03</v>
      </c>
    </row>
    <row r="21" spans="2:6" s="58" customFormat="1" x14ac:dyDescent="0.3">
      <c r="B21" s="70" t="s">
        <v>48</v>
      </c>
      <c r="C21" s="71" t="s">
        <v>49</v>
      </c>
      <c r="D21" s="73">
        <v>0</v>
      </c>
      <c r="E21" s="74">
        <f>0.05*0.4</f>
        <v>2.0000000000000004E-2</v>
      </c>
    </row>
    <row r="22" spans="2:6" s="58" customFormat="1" x14ac:dyDescent="0.3">
      <c r="B22" s="70" t="s">
        <v>50</v>
      </c>
      <c r="C22" s="71" t="s">
        <v>50</v>
      </c>
      <c r="D22" s="73">
        <v>6.4999999999999997E-3</v>
      </c>
    </row>
    <row r="23" spans="2:6" s="58" customFormat="1" x14ac:dyDescent="0.3">
      <c r="B23" s="70" t="s">
        <v>51</v>
      </c>
      <c r="C23" s="71" t="s">
        <v>52</v>
      </c>
      <c r="D23" s="73">
        <v>4.4999999999999998E-2</v>
      </c>
      <c r="E23" s="58" t="s">
        <v>53</v>
      </c>
    </row>
    <row r="24" spans="2:6" s="58" customFormat="1" x14ac:dyDescent="0.3">
      <c r="B24" s="70" t="s">
        <v>332</v>
      </c>
      <c r="C24" s="71" t="s">
        <v>54</v>
      </c>
      <c r="D24" s="305">
        <f>SUM(D20:D23)</f>
        <v>8.1499999999999989E-2</v>
      </c>
    </row>
    <row r="25" spans="2:6" s="58" customFormat="1" x14ac:dyDescent="0.3">
      <c r="B25" s="70"/>
      <c r="C25" s="71"/>
      <c r="D25" s="73"/>
    </row>
    <row r="26" spans="2:6" s="58" customFormat="1" x14ac:dyDescent="0.3">
      <c r="B26" s="70" t="s">
        <v>55</v>
      </c>
      <c r="C26" s="71" t="s">
        <v>56</v>
      </c>
      <c r="D26" s="305">
        <v>3.5000000000000003E-2</v>
      </c>
      <c r="F26" s="368" t="s">
        <v>472</v>
      </c>
    </row>
    <row r="27" spans="2:6" s="58" customFormat="1" x14ac:dyDescent="0.3">
      <c r="B27" s="68"/>
      <c r="C27" s="69"/>
      <c r="D27" s="312"/>
    </row>
    <row r="28" spans="2:6" s="58" customFormat="1" x14ac:dyDescent="0.3">
      <c r="B28" s="75" t="s">
        <v>57</v>
      </c>
      <c r="C28" s="76"/>
      <c r="D28" s="305">
        <f>ROUND((((1+D12+D18+D16)*(1+D14)*(1+D26))/(1-D24))-1,4)</f>
        <v>0.16320000000000001</v>
      </c>
      <c r="E28" s="313"/>
    </row>
    <row r="29" spans="2:6" s="58" customFormat="1" ht="13.8" x14ac:dyDescent="0.3">
      <c r="C29" s="59"/>
      <c r="D29" s="314"/>
      <c r="F29" s="368" t="s">
        <v>471</v>
      </c>
    </row>
    <row r="30" spans="2:6" s="58" customFormat="1" ht="13.8" x14ac:dyDescent="0.3">
      <c r="C30" s="59"/>
      <c r="D30" s="59"/>
    </row>
    <row r="31" spans="2:6" s="58" customFormat="1" ht="13.8" x14ac:dyDescent="0.3">
      <c r="C31" s="59"/>
      <c r="D31" s="59"/>
    </row>
    <row r="32" spans="2:6" s="58" customFormat="1" ht="15.6" x14ac:dyDescent="0.3">
      <c r="B32" s="77" t="s">
        <v>58</v>
      </c>
      <c r="C32" s="59"/>
      <c r="D32" s="59"/>
    </row>
    <row r="33" spans="2:6" x14ac:dyDescent="0.3">
      <c r="B33" s="78"/>
      <c r="C33" s="79"/>
      <c r="D33" s="80"/>
    </row>
    <row r="34" spans="2:6" x14ac:dyDescent="0.3">
      <c r="B34" s="81"/>
      <c r="D34" s="83"/>
    </row>
    <row r="35" spans="2:6" x14ac:dyDescent="0.3">
      <c r="B35" s="81"/>
      <c r="D35" s="83"/>
    </row>
    <row r="36" spans="2:6" x14ac:dyDescent="0.3">
      <c r="B36" s="81"/>
      <c r="D36" s="83"/>
    </row>
    <row r="37" spans="2:6" x14ac:dyDescent="0.3">
      <c r="B37" s="81"/>
      <c r="D37" s="83"/>
    </row>
    <row r="38" spans="2:6" x14ac:dyDescent="0.3">
      <c r="B38" s="84"/>
      <c r="C38" s="85"/>
      <c r="D38" s="86"/>
    </row>
    <row r="39" spans="2:6" x14ac:dyDescent="0.3">
      <c r="B39" s="87"/>
    </row>
    <row r="40" spans="2:6" x14ac:dyDescent="0.3">
      <c r="B40" s="87" t="s">
        <v>59</v>
      </c>
    </row>
    <row r="41" spans="2:6" s="315" customFormat="1" x14ac:dyDescent="0.3">
      <c r="B41" s="513" t="s">
        <v>60</v>
      </c>
      <c r="C41" s="513"/>
      <c r="D41" s="513"/>
    </row>
    <row r="42" spans="2:6" s="315" customFormat="1" ht="48" customHeight="1" x14ac:dyDescent="0.3">
      <c r="B42" s="514" t="s">
        <v>336</v>
      </c>
      <c r="C42" s="514"/>
      <c r="D42" s="514"/>
    </row>
    <row r="43" spans="2:6" ht="98.25" customHeight="1" x14ac:dyDescent="0.3">
      <c r="B43" s="515" t="s">
        <v>337</v>
      </c>
      <c r="C43" s="515"/>
      <c r="D43" s="515"/>
      <c r="F43" s="88" t="s">
        <v>61</v>
      </c>
    </row>
    <row r="46" spans="2:6" x14ac:dyDescent="0.3">
      <c r="B46" t="s">
        <v>62</v>
      </c>
    </row>
    <row r="47" spans="2:6" ht="135" customHeight="1" x14ac:dyDescent="0.3">
      <c r="B47" s="508" t="s">
        <v>108</v>
      </c>
      <c r="C47" s="509"/>
      <c r="D47" s="510"/>
    </row>
    <row r="59" spans="2:4" s="58" customFormat="1" ht="13.8" x14ac:dyDescent="0.3">
      <c r="C59" s="59"/>
      <c r="D59" s="59"/>
    </row>
    <row r="60" spans="2:4" s="58" customFormat="1" ht="13.8" x14ac:dyDescent="0.3">
      <c r="C60" s="59"/>
      <c r="D60" s="59"/>
    </row>
    <row r="61" spans="2:4" x14ac:dyDescent="0.3">
      <c r="B61" t="s">
        <v>63</v>
      </c>
    </row>
  </sheetData>
  <mergeCells count="6">
    <mergeCell ref="B47:D47"/>
    <mergeCell ref="B2:D2"/>
    <mergeCell ref="B4:D4"/>
    <mergeCell ref="B41:D41"/>
    <mergeCell ref="B42:D42"/>
    <mergeCell ref="B43:D43"/>
  </mergeCells>
  <printOptions horizontalCentered="1"/>
  <pageMargins left="0.59055118110236227" right="0.59055118110236227" top="1.3779527559055118" bottom="0.59055118110236227" header="0.39370078740157483" footer="0.39370078740157483"/>
  <pageSetup paperSize="9" scale="88" fitToHeight="0" orientation="portrait" horizontalDpi="300" verticalDpi="300" r:id="rId1"/>
  <headerFooter>
    <oddHeader>&amp;L&amp;G&amp;R&amp;G</oddHeader>
    <oddFooter>Página &amp;P de &amp;N</oddFoot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Equation.3" shapeId="64513" r:id="rId5">
          <objectPr defaultSize="0" autoPict="0" r:id="rId6">
            <anchor moveWithCells="1" sizeWithCells="1">
              <from>
                <xdr:col>1</xdr:col>
                <xdr:colOff>975360</xdr:colOff>
                <xdr:row>33</xdr:row>
                <xdr:rowOff>0</xdr:rowOff>
              </from>
              <to>
                <xdr:col>2</xdr:col>
                <xdr:colOff>419100</xdr:colOff>
                <xdr:row>37</xdr:row>
                <xdr:rowOff>7620</xdr:rowOff>
              </to>
            </anchor>
          </objectPr>
        </oleObject>
      </mc:Choice>
      <mc:Fallback>
        <oleObject progId="Equation.3" shapeId="64513" r:id="rId5"/>
      </mc:Fallback>
    </mc:AlternateContent>
  </oleObject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E9434-C140-4C3C-8350-1D4484AEA451}">
  <sheetPr>
    <tabColor rgb="FF0070C0"/>
    <pageSetUpPr fitToPage="1"/>
  </sheetPr>
  <dimension ref="B1:F62"/>
  <sheetViews>
    <sheetView view="pageBreakPreview" topLeftCell="A13" zoomScaleSheetLayoutView="100" workbookViewId="0">
      <selection activeCell="B9" sqref="B9"/>
    </sheetView>
  </sheetViews>
  <sheetFormatPr defaultRowHeight="14.4" x14ac:dyDescent="0.3"/>
  <cols>
    <col min="1" max="1" width="1.109375" customWidth="1"/>
    <col min="2" max="2" width="75.6640625" customWidth="1"/>
    <col min="3" max="3" width="10.109375" style="82" bestFit="1" customWidth="1"/>
    <col min="4" max="4" width="12" style="82" customWidth="1"/>
    <col min="5" max="5" width="8.109375" customWidth="1"/>
    <col min="6" max="6" width="62.44140625" customWidth="1"/>
  </cols>
  <sheetData>
    <row r="1" spans="2:6" s="58" customFormat="1" ht="6.75" customHeight="1" x14ac:dyDescent="0.3">
      <c r="C1" s="59"/>
      <c r="D1" s="59"/>
    </row>
    <row r="2" spans="2:6" s="58" customFormat="1" ht="18" x14ac:dyDescent="0.35">
      <c r="B2" s="511" t="s">
        <v>214</v>
      </c>
      <c r="C2" s="511"/>
      <c r="D2" s="511"/>
    </row>
    <row r="3" spans="2:6" s="60" customFormat="1" ht="10.199999999999999" x14ac:dyDescent="0.2">
      <c r="B3" s="61"/>
      <c r="C3" s="61"/>
      <c r="D3" s="61"/>
    </row>
    <row r="4" spans="2:6" s="58" customFormat="1" ht="15.6" x14ac:dyDescent="0.3">
      <c r="B4" s="512" t="s">
        <v>196</v>
      </c>
      <c r="C4" s="512"/>
      <c r="D4" s="512"/>
    </row>
    <row r="5" spans="2:6" s="58" customFormat="1" ht="13.8" x14ac:dyDescent="0.3">
      <c r="B5" s="62"/>
      <c r="C5" s="62"/>
      <c r="D5" s="62"/>
    </row>
    <row r="6" spans="2:6" s="58" customFormat="1" x14ac:dyDescent="0.3">
      <c r="B6" s="674" t="str">
        <f>'(ORÇAMENTO GERAL)'!A6</f>
        <v>OBRA: REFORMA DO AÇOUGUE MUNICIPAL E CONSTRUÇÃO DE 01 GALPÃO PRÉ-FABRICADO DE CONCRETO ARMADO</v>
      </c>
      <c r="C6" s="674"/>
      <c r="D6" s="674"/>
    </row>
    <row r="7" spans="2:6" s="58" customFormat="1" x14ac:dyDescent="0.3">
      <c r="B7" s="674" t="str">
        <f>'(ORÇAMENTO GERAL)'!A7</f>
        <v>LOCALIZAÇÃO: RUA SÉRGIO AMARO DO NASCIMENTO - JOÃO ALFREDO/PE</v>
      </c>
      <c r="C7" s="674"/>
      <c r="D7" s="674"/>
    </row>
    <row r="8" spans="2:6" s="58" customFormat="1" x14ac:dyDescent="0.3">
      <c r="B8" s="674" t="str">
        <f>'(ORÇAMENTO GERAL)'!A9</f>
        <v>DATA: ABRIL/2025</v>
      </c>
      <c r="C8" s="674"/>
      <c r="D8" s="674"/>
    </row>
    <row r="9" spans="2:6" s="58" customFormat="1" ht="13.8" x14ac:dyDescent="0.3">
      <c r="B9" s="63"/>
      <c r="C9" s="64"/>
      <c r="D9" s="64"/>
    </row>
    <row r="10" spans="2:6" s="58" customFormat="1" ht="22.5" customHeight="1" x14ac:dyDescent="0.3">
      <c r="B10" s="65" t="s">
        <v>37</v>
      </c>
      <c r="C10" s="66" t="s">
        <v>38</v>
      </c>
      <c r="D10" s="66" t="s">
        <v>39</v>
      </c>
      <c r="F10" s="67" t="s">
        <v>40</v>
      </c>
    </row>
    <row r="11" spans="2:6" s="58" customFormat="1" x14ac:dyDescent="0.3">
      <c r="B11" s="68"/>
      <c r="C11" s="69"/>
      <c r="D11" s="69"/>
    </row>
    <row r="12" spans="2:6" s="58" customFormat="1" x14ac:dyDescent="0.3">
      <c r="B12" s="70" t="s">
        <v>41</v>
      </c>
      <c r="C12" s="71" t="s">
        <v>42</v>
      </c>
      <c r="D12" s="235">
        <v>4.2799999999999998E-2</v>
      </c>
      <c r="E12" s="58" t="s">
        <v>197</v>
      </c>
      <c r="F12" s="72" t="s">
        <v>198</v>
      </c>
    </row>
    <row r="13" spans="2:6" s="58" customFormat="1" x14ac:dyDescent="0.3">
      <c r="B13" s="70"/>
      <c r="C13" s="71"/>
      <c r="D13" s="236"/>
    </row>
    <row r="14" spans="2:6" s="58" customFormat="1" x14ac:dyDescent="0.3">
      <c r="B14" s="70" t="s">
        <v>43</v>
      </c>
      <c r="C14" s="71" t="s">
        <v>44</v>
      </c>
      <c r="D14" s="235">
        <v>1.0200000000000001E-2</v>
      </c>
      <c r="E14" s="58" t="s">
        <v>197</v>
      </c>
      <c r="F14" s="72" t="s">
        <v>199</v>
      </c>
    </row>
    <row r="15" spans="2:6" s="58" customFormat="1" x14ac:dyDescent="0.3">
      <c r="B15" s="70"/>
      <c r="C15" s="71"/>
      <c r="D15" s="237"/>
    </row>
    <row r="16" spans="2:6" s="58" customFormat="1" x14ac:dyDescent="0.3">
      <c r="B16" s="70" t="s">
        <v>45</v>
      </c>
      <c r="C16" s="71" t="s">
        <v>46</v>
      </c>
      <c r="D16" s="235">
        <v>5.0000000000000001E-3</v>
      </c>
      <c r="E16" s="58" t="s">
        <v>197</v>
      </c>
      <c r="F16" s="72" t="s">
        <v>200</v>
      </c>
    </row>
    <row r="17" spans="2:6" s="58" customFormat="1" x14ac:dyDescent="0.3">
      <c r="B17" s="70"/>
      <c r="C17" s="71"/>
      <c r="D17" s="237"/>
    </row>
    <row r="18" spans="2:6" s="58" customFormat="1" x14ac:dyDescent="0.3">
      <c r="B18" s="70" t="s">
        <v>201</v>
      </c>
      <c r="C18" s="71" t="s">
        <v>202</v>
      </c>
      <c r="D18" s="235">
        <f>0.32%/2</f>
        <v>1.6000000000000001E-3</v>
      </c>
      <c r="E18" s="58" t="s">
        <v>197</v>
      </c>
      <c r="F18" s="669" t="s">
        <v>203</v>
      </c>
    </row>
    <row r="19" spans="2:6" s="58" customFormat="1" x14ac:dyDescent="0.3">
      <c r="B19" s="70"/>
      <c r="C19" s="71"/>
      <c r="D19" s="237"/>
      <c r="F19" s="670"/>
    </row>
    <row r="20" spans="2:6" s="58" customFormat="1" x14ac:dyDescent="0.3">
      <c r="B20" s="70" t="s">
        <v>204</v>
      </c>
      <c r="C20" s="71" t="s">
        <v>205</v>
      </c>
      <c r="D20" s="235">
        <f>D18</f>
        <v>1.6000000000000001E-3</v>
      </c>
      <c r="E20" s="58" t="s">
        <v>197</v>
      </c>
      <c r="F20" s="671"/>
    </row>
    <row r="21" spans="2:6" s="58" customFormat="1" x14ac:dyDescent="0.3">
      <c r="B21" s="70"/>
      <c r="C21" s="71"/>
      <c r="D21" s="237"/>
    </row>
    <row r="22" spans="2:6" s="58" customFormat="1" x14ac:dyDescent="0.3">
      <c r="B22" s="70" t="s">
        <v>47</v>
      </c>
      <c r="C22" s="71" t="s">
        <v>47</v>
      </c>
      <c r="D22" s="237">
        <v>0.03</v>
      </c>
    </row>
    <row r="23" spans="2:6" s="58" customFormat="1" x14ac:dyDescent="0.3">
      <c r="B23" s="70" t="s">
        <v>48</v>
      </c>
      <c r="C23" s="71" t="s">
        <v>49</v>
      </c>
      <c r="D23" s="237">
        <v>0.02</v>
      </c>
      <c r="E23" s="74">
        <f>0.05*0.4</f>
        <v>2.0000000000000004E-2</v>
      </c>
    </row>
    <row r="24" spans="2:6" s="58" customFormat="1" x14ac:dyDescent="0.3">
      <c r="B24" s="70" t="s">
        <v>50</v>
      </c>
      <c r="C24" s="71" t="s">
        <v>50</v>
      </c>
      <c r="D24" s="237">
        <v>6.4999999999999997E-3</v>
      </c>
    </row>
    <row r="25" spans="2:6" s="58" customFormat="1" x14ac:dyDescent="0.3">
      <c r="B25" s="70" t="s">
        <v>51</v>
      </c>
      <c r="C25" s="71" t="s">
        <v>52</v>
      </c>
      <c r="D25" s="73">
        <v>4.4999999999999998E-2</v>
      </c>
      <c r="E25" s="58" t="s">
        <v>53</v>
      </c>
    </row>
    <row r="26" spans="2:6" s="58" customFormat="1" x14ac:dyDescent="0.3">
      <c r="B26" s="70" t="s">
        <v>206</v>
      </c>
      <c r="C26" s="71" t="s">
        <v>54</v>
      </c>
      <c r="D26" s="235">
        <f>SUM(D22:D25)</f>
        <v>0.10150000000000001</v>
      </c>
    </row>
    <row r="27" spans="2:6" s="58" customFormat="1" x14ac:dyDescent="0.3">
      <c r="B27" s="70"/>
      <c r="C27" s="71"/>
      <c r="D27" s="237"/>
    </row>
    <row r="28" spans="2:6" s="58" customFormat="1" x14ac:dyDescent="0.3">
      <c r="B28" s="70" t="s">
        <v>55</v>
      </c>
      <c r="C28" s="71" t="s">
        <v>56</v>
      </c>
      <c r="D28" s="235">
        <v>6.6400000000000001E-2</v>
      </c>
      <c r="E28" s="58" t="s">
        <v>197</v>
      </c>
      <c r="F28" s="72" t="s">
        <v>207</v>
      </c>
    </row>
    <row r="29" spans="2:6" s="58" customFormat="1" x14ac:dyDescent="0.3">
      <c r="B29" s="68"/>
      <c r="C29" s="69"/>
      <c r="D29" s="238"/>
    </row>
    <row r="30" spans="2:6" s="58" customFormat="1" x14ac:dyDescent="0.3">
      <c r="B30" s="75" t="s">
        <v>57</v>
      </c>
      <c r="C30" s="76"/>
      <c r="D30" s="235">
        <f>ROUND((((1+D12+D18+D16+D20)*(1+D14)*(1+D28))/(1-D26))-1,4)</f>
        <v>0.2601</v>
      </c>
      <c r="E30" s="58" t="s">
        <v>208</v>
      </c>
    </row>
    <row r="31" spans="2:6" s="58" customFormat="1" ht="13.8" x14ac:dyDescent="0.3">
      <c r="C31" s="59"/>
      <c r="D31" s="59"/>
      <c r="F31" s="72" t="s">
        <v>209</v>
      </c>
    </row>
    <row r="32" spans="2:6" s="58" customFormat="1" ht="13.8" x14ac:dyDescent="0.3">
      <c r="C32" s="59"/>
      <c r="D32" s="59"/>
    </row>
    <row r="33" spans="2:6" s="58" customFormat="1" ht="15.6" x14ac:dyDescent="0.3">
      <c r="B33" s="77" t="s">
        <v>58</v>
      </c>
      <c r="C33" s="59"/>
      <c r="D33" s="59"/>
    </row>
    <row r="34" spans="2:6" x14ac:dyDescent="0.3">
      <c r="B34" s="78"/>
      <c r="C34" s="79"/>
      <c r="D34" s="80"/>
    </row>
    <row r="35" spans="2:6" x14ac:dyDescent="0.3">
      <c r="B35" s="81"/>
      <c r="D35" s="83"/>
    </row>
    <row r="36" spans="2:6" x14ac:dyDescent="0.3">
      <c r="B36" s="81"/>
      <c r="D36" s="83"/>
    </row>
    <row r="37" spans="2:6" x14ac:dyDescent="0.3">
      <c r="B37" s="81"/>
      <c r="D37" s="83"/>
    </row>
    <row r="38" spans="2:6" x14ac:dyDescent="0.3">
      <c r="B38" s="81"/>
      <c r="D38" s="83"/>
    </row>
    <row r="39" spans="2:6" x14ac:dyDescent="0.3">
      <c r="B39" s="84"/>
      <c r="C39" s="85"/>
      <c r="D39" s="86"/>
    </row>
    <row r="40" spans="2:6" x14ac:dyDescent="0.3">
      <c r="B40" s="87"/>
    </row>
    <row r="41" spans="2:6" x14ac:dyDescent="0.3">
      <c r="B41" s="87" t="s">
        <v>59</v>
      </c>
    </row>
    <row r="42" spans="2:6" s="239" customFormat="1" x14ac:dyDescent="0.3">
      <c r="B42" s="672" t="s">
        <v>60</v>
      </c>
      <c r="C42" s="672"/>
      <c r="D42" s="672"/>
    </row>
    <row r="43" spans="2:6" s="239" customFormat="1" ht="50.25" customHeight="1" x14ac:dyDescent="0.3">
      <c r="B43" s="514" t="s">
        <v>210</v>
      </c>
      <c r="C43" s="514"/>
      <c r="D43" s="514"/>
    </row>
    <row r="44" spans="2:6" ht="93" hidden="1" customHeight="1" x14ac:dyDescent="0.3">
      <c r="B44" s="673" t="s">
        <v>211</v>
      </c>
      <c r="C44" s="673"/>
      <c r="D44" s="673"/>
      <c r="F44" s="88" t="s">
        <v>61</v>
      </c>
    </row>
    <row r="47" spans="2:6" x14ac:dyDescent="0.3">
      <c r="B47" t="s">
        <v>62</v>
      </c>
    </row>
    <row r="48" spans="2:6" ht="135" customHeight="1" x14ac:dyDescent="0.3">
      <c r="B48" s="508" t="s">
        <v>108</v>
      </c>
      <c r="C48" s="509"/>
      <c r="D48" s="510"/>
    </row>
    <row r="60" spans="2:4" s="58" customFormat="1" ht="13.8" x14ac:dyDescent="0.3">
      <c r="C60" s="59"/>
      <c r="D60" s="59"/>
    </row>
    <row r="61" spans="2:4" s="58" customFormat="1" ht="13.8" x14ac:dyDescent="0.3">
      <c r="C61" s="59"/>
      <c r="D61" s="59"/>
    </row>
    <row r="62" spans="2:4" x14ac:dyDescent="0.3">
      <c r="B62" t="s">
        <v>63</v>
      </c>
    </row>
  </sheetData>
  <mergeCells count="10">
    <mergeCell ref="B2:D2"/>
    <mergeCell ref="B4:D4"/>
    <mergeCell ref="B6:D6"/>
    <mergeCell ref="B7:D7"/>
    <mergeCell ref="B8:D8"/>
    <mergeCell ref="F18:F20"/>
    <mergeCell ref="B42:D42"/>
    <mergeCell ref="B43:D43"/>
    <mergeCell ref="B44:D44"/>
    <mergeCell ref="B48:D48"/>
  </mergeCells>
  <printOptions horizontalCentered="1"/>
  <pageMargins left="0.59055118110236227" right="0.59055118110236227" top="1.5748031496062993" bottom="0.78740157480314965" header="0.39370078740157483" footer="0.39370078740157483"/>
  <pageSetup paperSize="9" scale="93" fitToHeight="0" orientation="portrait" horizontalDpi="300" verticalDpi="300" r:id="rId1"/>
  <headerFooter>
    <oddHeader>&amp;L&amp;G&amp;R&amp;G</oddHead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Equation.3" shapeId="48129" r:id="rId5">
          <objectPr defaultSize="0" autoPict="0" r:id="rId6">
            <anchor moveWithCells="1" sizeWithCells="1">
              <from>
                <xdr:col>1</xdr:col>
                <xdr:colOff>38100</xdr:colOff>
                <xdr:row>34</xdr:row>
                <xdr:rowOff>0</xdr:rowOff>
              </from>
              <to>
                <xdr:col>1</xdr:col>
                <xdr:colOff>4671060</xdr:colOff>
                <xdr:row>38</xdr:row>
                <xdr:rowOff>7620</xdr:rowOff>
              </to>
            </anchor>
          </objectPr>
        </oleObject>
      </mc:Choice>
      <mc:Fallback>
        <oleObject progId="Equation.3" shapeId="48129" r:id="rId5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18</vt:i4>
      </vt:variant>
      <vt:variant>
        <vt:lpstr>Intervalos Nomeados</vt:lpstr>
      </vt:variant>
      <vt:variant>
        <vt:i4>27</vt:i4>
      </vt:variant>
    </vt:vector>
  </HeadingPairs>
  <TitlesOfParts>
    <vt:vector size="45" baseType="lpstr">
      <vt:lpstr>BDI_EDIFICACOES_26,53%_COM</vt:lpstr>
      <vt:lpstr>(ORÇAMENTO GERAL)</vt:lpstr>
      <vt:lpstr>ORÇAMENTO</vt:lpstr>
      <vt:lpstr>MEMÓRIA</vt:lpstr>
      <vt:lpstr>CRONOGRAMA</vt:lpstr>
      <vt:lpstr>QCI (2)</vt:lpstr>
      <vt:lpstr>COMPOSIÇÕES</vt:lpstr>
      <vt:lpstr>COTAÇÃO</vt:lpstr>
      <vt:lpstr>BDI_EDIFICACOES_20,50%_SEM</vt:lpstr>
      <vt:lpstr>BDI_PRAÇAS_SEM_NOVA_CPRB_20%</vt:lpstr>
      <vt:lpstr>BDI_FORNECIMENTO_11,10%_SEM</vt:lpstr>
      <vt:lpstr>_RESUMO COMPARATIVO_</vt:lpstr>
      <vt:lpstr>COMP_ENCARGOS_SOCIAIS_SEM_D</vt:lpstr>
      <vt:lpstr>CURVA ABC</vt:lpstr>
      <vt:lpstr>QCI</vt:lpstr>
      <vt:lpstr>ETP</vt:lpstr>
      <vt:lpstr>BDI_FORNECIMENTO_16,32%_COM</vt:lpstr>
      <vt:lpstr>BDI_PRAÇAS_COM_NOVA_CPRB_26,01%</vt:lpstr>
      <vt:lpstr>'(ORÇAMENTO GERAL)'!Area_de_impressao</vt:lpstr>
      <vt:lpstr>'_RESUMO COMPARATIVO_'!Area_de_impressao</vt:lpstr>
      <vt:lpstr>'BDI_EDIFICACOES_20,50%_SEM'!Area_de_impressao</vt:lpstr>
      <vt:lpstr>'BDI_EDIFICACOES_26,53%_COM'!Area_de_impressao</vt:lpstr>
      <vt:lpstr>'BDI_FORNECIMENTO_11,10%_SEM'!Area_de_impressao</vt:lpstr>
      <vt:lpstr>'BDI_FORNECIMENTO_16,32%_COM'!Area_de_impressao</vt:lpstr>
      <vt:lpstr>'BDI_PRAÇAS_COM_NOVA_CPRB_26,01%'!Area_de_impressao</vt:lpstr>
      <vt:lpstr>'BDI_PRAÇAS_SEM_NOVA_CPRB_20%'!Area_de_impressao</vt:lpstr>
      <vt:lpstr>COMPOSIÇÕES!Area_de_impressao</vt:lpstr>
      <vt:lpstr>COTAÇÃO!Area_de_impressao</vt:lpstr>
      <vt:lpstr>CRONOGRAMA!Area_de_impressao</vt:lpstr>
      <vt:lpstr>'CURVA ABC'!Area_de_impressao</vt:lpstr>
      <vt:lpstr>ETP!Area_de_impressao</vt:lpstr>
      <vt:lpstr>MEMÓRIA!Area_de_impressao</vt:lpstr>
      <vt:lpstr>ORÇAMENTO!Area_de_impressao</vt:lpstr>
      <vt:lpstr>QCI!Area_de_impressao</vt:lpstr>
      <vt:lpstr>'QCI (2)'!Area_de_impressao</vt:lpstr>
      <vt:lpstr>'(ORÇAMENTO GERAL)'!Titulos_de_impressao</vt:lpstr>
      <vt:lpstr>'_RESUMO COMPARATIVO_'!Titulos_de_impressao</vt:lpstr>
      <vt:lpstr>COMPOSIÇÕES!Titulos_de_impressao</vt:lpstr>
      <vt:lpstr>COTAÇÃO!Titulos_de_impressao</vt:lpstr>
      <vt:lpstr>'CURVA ABC'!Titulos_de_impressao</vt:lpstr>
      <vt:lpstr>ETP!Titulos_de_impressao</vt:lpstr>
      <vt:lpstr>MEMÓRIA!Titulos_de_impressao</vt:lpstr>
      <vt:lpstr>ORÇAMENTO!Titulos_de_impressao</vt:lpstr>
      <vt:lpstr>QCI!Titulos_de_impressao</vt:lpstr>
      <vt:lpstr>'QCI (2)'!Titulos_de_impressao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2025-09-04T20:04:03Z</dcterms:modified>
</cp:coreProperties>
</file>