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DEPARTAMENTO DE ENGENHARIA\JOÃO ALFREDO\OBRAS_2026\Projeto de Pavimentação Gov Estado_Aprovado\__Licitação_Pavimentação_Gov PE\ORÇAMENTO\ORÇAMENTO SEM DESONERAÇÃO\"/>
    </mc:Choice>
  </mc:AlternateContent>
  <xr:revisionPtr revIDLastSave="0" documentId="13_ncr:1_{84F5CADB-A33F-4C59-9E28-26559C1A8A46}" xr6:coauthVersionLast="47" xr6:coauthVersionMax="47" xr10:uidLastSave="{00000000-0000-0000-0000-000000000000}"/>
  <bookViews>
    <workbookView xWindow="-108" yWindow="-108" windowWidth="23256" windowHeight="12456" activeTab="3" xr2:uid="{00000000-000D-0000-FFFF-FFFF00000000}"/>
  </bookViews>
  <sheets>
    <sheet name="Planilha Resumo Comparativa" sheetId="14" r:id="rId1"/>
    <sheet name="Planilha Resumo" sheetId="13" r:id="rId2"/>
    <sheet name="Planilha Resumo por Rua" sheetId="12" r:id="rId3"/>
    <sheet name="Planilha Orçamentária SEM Des" sheetId="4" r:id="rId4"/>
    <sheet name="Composições SEM" sheetId="7" r:id="rId5"/>
    <sheet name="Composições AUX SEM" sheetId="22" r:id="rId6"/>
    <sheet name="Memória de Cálculo" sheetId="15" r:id="rId7"/>
    <sheet name="BDI 23,38% SEM DESONERAÇÃO" sheetId="20" r:id="rId8"/>
    <sheet name="BDI 24,76% COM DESONERAÇÃO" sheetId="3" state="hidden" r:id="rId9"/>
    <sheet name="Cronograma Físico-Financeiro" sheetId="19" r:id="rId10"/>
    <sheet name="Curva ABC" sheetId="18" r:id="rId11"/>
    <sheet name="Encargos Sociais " sheetId="16" r:id="rId12"/>
  </sheets>
  <externalReferences>
    <externalReference r:id="rId13"/>
    <externalReference r:id="rId14"/>
  </externalReferences>
  <definedNames>
    <definedName name="\">#REF!</definedName>
    <definedName name="\d">#N/A</definedName>
    <definedName name="\f">#N/A</definedName>
    <definedName name="\p">#N/A</definedName>
    <definedName name="\z">#REF!</definedName>
    <definedName name="_">NA()</definedName>
    <definedName name="_____TOT2">NA()</definedName>
    <definedName name="____ACA25">NA()</definedName>
    <definedName name="____ACA50">NA()</definedName>
    <definedName name="____ACM30">#REF!</definedName>
    <definedName name="____BDI1">#REF!</definedName>
    <definedName name="____CCM30">NA()</definedName>
    <definedName name="____CMM30">NA()</definedName>
    <definedName name="____KM406407">NA()</definedName>
    <definedName name="____la2">NA()</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TB10">NA()</definedName>
    <definedName name="____TCM30">#REF!</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ACA25">NA()</definedName>
    <definedName name="___ACA50">NA()</definedName>
    <definedName name="___ACM30">#REF!</definedName>
    <definedName name="___BDI1">#REF!</definedName>
    <definedName name="___CCM30">NA()</definedName>
    <definedName name="___CMM30">NA()</definedName>
    <definedName name="___KM406407">NA()</definedName>
    <definedName name="___la2">NA()</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TB10">NA()</definedName>
    <definedName name="___TCM30">#REF!</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123Graph_A" hidden="1">#REF!</definedName>
    <definedName name="__123Graph_B" hidden="1">#REF!</definedName>
    <definedName name="__123Graph_C" hidden="1">#REF!</definedName>
    <definedName name="__123Graph_D" hidden="1">#REF!</definedName>
    <definedName name="__123Graph_E" hidden="1">#REF!</definedName>
    <definedName name="__123Graph_X" hidden="1">#REF!</definedName>
    <definedName name="__ACA25">NA()</definedName>
    <definedName name="__ACA50">NA()</definedName>
    <definedName name="__ACM30">#REF!</definedName>
    <definedName name="__BDI1">#REF!</definedName>
    <definedName name="__CCM30">NA()</definedName>
    <definedName name="__CMM30">NA()</definedName>
    <definedName name="__KM406407">NA()</definedName>
    <definedName name="__la2">NA()</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TB10">NA()</definedName>
    <definedName name="__TCM30">#REF!</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SD2">NA()</definedName>
    <definedName name="_01_09_96">NA()</definedName>
    <definedName name="_08_302_01">NA()</definedName>
    <definedName name="_ACA25">NA()</definedName>
    <definedName name="_ACA50">NA()</definedName>
    <definedName name="_ACM30">#REF!</definedName>
    <definedName name="_BDI1">#REF!</definedName>
    <definedName name="_BSADJ">#REF!</definedName>
    <definedName name="_BSTGT">#REF!</definedName>
    <definedName name="_CCM30">NA()</definedName>
    <definedName name="_CMM30">NA()</definedName>
    <definedName name="_COM_AUX">'[1]Planilha Orçamentária'!#REF!</definedName>
    <definedName name="_Fill" hidden="1">#REF!</definedName>
    <definedName name="_xlnm._FilterDatabase" localSheetId="6" hidden="1">'Memória de Cálculo'!$A$8:$J$357</definedName>
    <definedName name="_xlnm._FilterDatabase" localSheetId="3" hidden="1">'Planilha Orçamentária SEM Des'!$A$7:$I$90</definedName>
    <definedName name="_xlnm._FilterDatabase" localSheetId="2" hidden="1">'Planilha Resumo por Rua'!$A$7:$I$50</definedName>
    <definedName name="_I">NA()</definedName>
    <definedName name="_IND1">#REF!</definedName>
    <definedName name="_IND2">#REF!</definedName>
    <definedName name="_Key1">NA()</definedName>
    <definedName name="_Key2">NA()</definedName>
    <definedName name="_KM406407">NA()</definedName>
    <definedName name="_la2">NA()</definedName>
    <definedName name="_MM" hidden="1">#REF!</definedName>
    <definedName name="_Order1">255</definedName>
    <definedName name="_Order2">0</definedName>
    <definedName name="_PCM30">NA()</definedName>
    <definedName name="_PL1">NA()</definedName>
    <definedName name="_PLA2">NA()</definedName>
    <definedName name="_PNV2002">NA()</definedName>
    <definedName name="_PNV2003">NA()</definedName>
    <definedName name="_PNV2009">NA()</definedName>
    <definedName name="_PTB10">NA()</definedName>
    <definedName name="_S">NA()</definedName>
    <definedName name="_Sort">NA()</definedName>
    <definedName name="_TB10">NA()</definedName>
    <definedName name="_TCM30">#REF!</definedName>
    <definedName name="_TOT1">NA()</definedName>
    <definedName name="_TOT2">NA()</definedName>
    <definedName name="_TOT3">NA()</definedName>
    <definedName name="_TOT4">NA()</definedName>
    <definedName name="_TOT5">NA()</definedName>
    <definedName name="_TOT6">NA()</definedName>
    <definedName name="_TOT7">NA()</definedName>
    <definedName name="_TSD2">NA()</definedName>
    <definedName name="_xlnm_Database">NA()</definedName>
    <definedName name="_xlnm_Print_Area">NA()</definedName>
    <definedName name="_xlnm_Recorder">NA()</definedName>
    <definedName name="a">NA()</definedName>
    <definedName name="AA">NA()</definedName>
    <definedName name="aaaa">NA()</definedName>
    <definedName name="aauf">NA()</definedName>
    <definedName name="aauq">NA()</definedName>
    <definedName name="aauqs">NA()</definedName>
    <definedName name="ABC_ATUAL">NA()</definedName>
    <definedName name="ABC_LAGOA">NA()</definedName>
    <definedName name="ac">NA()</definedName>
    <definedName name="ACAP20">NA()</definedName>
    <definedName name="acha.coluna">#REF!</definedName>
    <definedName name="acha.dados">#REF!</definedName>
    <definedName name="acha.dados2">#REF!</definedName>
    <definedName name="acha.linha">#REF!</definedName>
    <definedName name="acha.linha2">#REF!</definedName>
    <definedName name="ACRE" hidden="1">#REF!</definedName>
    <definedName name="acumulado">NA()</definedName>
    <definedName name="ademir" localSheetId="11" hidden="1">{#N/A,#N/A,FALSE,"Cronograma";#N/A,#N/A,FALSE,"Cronogr. 2"}</definedName>
    <definedName name="ademir" hidden="1">{#N/A,#N/A,FALSE,"Cronograma";#N/A,#N/A,FALSE,"Cronogr. 2"}</definedName>
    <definedName name="adfedfds">NA()</definedName>
    <definedName name="alcool">NA()</definedName>
    <definedName name="ALTA">NA()</definedName>
    <definedName name="amarela">NA()</definedName>
    <definedName name="AMBIENTE">NA()</definedName>
    <definedName name="anscount">3</definedName>
    <definedName name="area">NA()</definedName>
    <definedName name="_xlnm.Print_Area" localSheetId="7">'BDI 23,38% SEM DESONERAÇÃO'!$A$1:$E$40</definedName>
    <definedName name="_xlnm.Print_Area" localSheetId="8">'BDI 24,76% COM DESONERAÇÃO'!$A$1:$E$40</definedName>
    <definedName name="_xlnm.Print_Area" localSheetId="5">'Composições AUX SEM'!$A$1:$L$110</definedName>
    <definedName name="_xlnm.Print_Area" localSheetId="4">'Composições SEM'!$A$1:$L$28</definedName>
    <definedName name="_xlnm.Print_Area" localSheetId="9">'Cronograma Físico-Financeiro'!$A$1:$R$54</definedName>
    <definedName name="_xlnm.Print_Area" localSheetId="10">'Curva ABC'!$A$1:$K$16</definedName>
    <definedName name="_xlnm.Print_Area" localSheetId="11">'Encargos Sociais '!$A$1:$F$45</definedName>
    <definedName name="_xlnm.Print_Area" localSheetId="6">'Memória de Cálculo'!$A$1:$J$388</definedName>
    <definedName name="_xlnm.Print_Area" localSheetId="3">'Planilha Orçamentária SEM Des'!$A$1:$I$91</definedName>
    <definedName name="_xlnm.Print_Area" localSheetId="1">'Planilha Resumo'!$A$1:$E$17</definedName>
    <definedName name="_xlnm.Print_Area" localSheetId="0">'Planilha Resumo Comparativa'!$A$1:$E$18</definedName>
    <definedName name="_xlnm.Print_Area" localSheetId="2">'Planilha Resumo por Rua'!$A$1:$I$52</definedName>
    <definedName name="Área_impressão_IM">NA()</definedName>
    <definedName name="Área_impressão_IM2">#REF!</definedName>
    <definedName name="AreaTeste">#REF!</definedName>
    <definedName name="AreaTeste2">#REF!</definedName>
    <definedName name="AREC">NA()</definedName>
    <definedName name="AREIA">NA()</definedName>
    <definedName name="AREIACS">NA()</definedName>
    <definedName name="ARL1C">#REF!</definedName>
    <definedName name="ARM1C">#REF!</definedName>
    <definedName name="ARR1C">#REF!</definedName>
    <definedName name="ARR2C">#REF!</definedName>
    <definedName name="ASS" localSheetId="11">_PL1</definedName>
    <definedName name="ASS">_PL1</definedName>
    <definedName name="ATUALIZANDO">#REF!</definedName>
    <definedName name="azul">NA()</definedName>
    <definedName name="AZULSINAL">NA()</definedName>
    <definedName name="B">NA()</definedName>
    <definedName name="_xlnm.Database">TEXT(#REF!,"mm-aaaa")</definedName>
    <definedName name="BASE">NA()</definedName>
    <definedName name="bb">NA()</definedName>
    <definedName name="bbbbbb">NA()</definedName>
    <definedName name="BD">NA()</definedName>
    <definedName name="BDI">NA()</definedName>
    <definedName name="BDI.Opcao">#REF!</definedName>
    <definedName name="BDI.TipoObra">#REF!</definedName>
    <definedName name="BDI_DIF">NA()</definedName>
    <definedName name="BDIlds">#REF!</definedName>
    <definedName name="BDIm">#REF!</definedName>
    <definedName name="BDIs">#REF!</definedName>
    <definedName name="BETE">NA()</definedName>
    <definedName name="BG">NA()</definedName>
    <definedName name="bgbg">NA()</definedName>
    <definedName name="BGU">NA()</definedName>
    <definedName name="BIO">NA()</definedName>
    <definedName name="bosta" localSheetId="11" hidden="1">{#N/A,#N/A,FALSE,"Cronograma";#N/A,#N/A,FALSE,"Cronogr. 2"}</definedName>
    <definedName name="bosta" hidden="1">{#N/A,#N/A,FALSE,"Cronograma";#N/A,#N/A,FALSE,"Cronogr. 2"}</definedName>
    <definedName name="BRITA">NA()</definedName>
    <definedName name="BU">NA()</definedName>
    <definedName name="BuiltIn_Print_Area">NA()</definedName>
    <definedName name="CA´L" localSheetId="11" hidden="1">{#N/A,#N/A,FALSE,"Cronograma";#N/A,#N/A,FALSE,"Cronogr. 2"}</definedName>
    <definedName name="CA´L" hidden="1">{#N/A,#N/A,FALSE,"Cronograma";#N/A,#N/A,FALSE,"Cronogr. 2"}</definedName>
    <definedName name="CABE">#REF!</definedName>
    <definedName name="CAIB">NA()</definedName>
    <definedName name="CAL">NA()</definedName>
    <definedName name="calculo">NA()</definedName>
    <definedName name="CAPA">NA()</definedName>
    <definedName name="CAPÁ2">NA()</definedName>
    <definedName name="cb">#REF!</definedName>
    <definedName name="CBU">NA()</definedName>
    <definedName name="CBUII">NA()</definedName>
    <definedName name="cbuq">NA()</definedName>
    <definedName name="CBUQB">NA()</definedName>
    <definedName name="CBUQc">NA()</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CCARR">NA()</definedName>
    <definedName name="CCC">NA()</definedName>
    <definedName name="CCCCCCC">NA()</definedName>
    <definedName name="CD">NA()</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élulaInicioPlanilha">#REF!</definedName>
    <definedName name="CélulaResumo">#REF!</definedName>
    <definedName name="cer">#REF!</definedName>
    <definedName name="CIM">NA()</definedName>
    <definedName name="COM">#REF!</definedName>
    <definedName name="Comp.export">#REF!</definedName>
    <definedName name="compeqp">NA()</definedName>
    <definedName name="COMPOSICAO">#REF!</definedName>
    <definedName name="CONCATENAR">CONCATENATE(#REF!," ",#REF!)</definedName>
    <definedName name="concorrentes" localSheetId="11" hidden="1">{#N/A,#N/A,FALSE,"Cronograma";#N/A,#N/A,FALSE,"Cronogr. 2"}</definedName>
    <definedName name="concorrentes" hidden="1">{#N/A,#N/A,FALSE,"Cronograma";#N/A,#N/A,FALSE,"Cronogr. 2"}</definedName>
    <definedName name="Consumodemateriais">NA()</definedName>
    <definedName name="Consumodemateriais___0">NA()</definedName>
    <definedName name="cotação">NA()</definedName>
    <definedName name="_xlnm.Criteria">#REF!</definedName>
    <definedName name="CRITERIOS2">#REF!</definedName>
    <definedName name="CRONOGRAMA">#REF!</definedName>
    <definedName name="CRONOGRAMA1">#REF!</definedName>
    <definedName name="CSA">NA()</definedName>
    <definedName name="CST">NA()</definedName>
    <definedName name="CURRENCY">NA()</definedName>
    <definedName name="custo">NA()</definedName>
    <definedName name="d">NA()</definedName>
    <definedName name="DA">NA()</definedName>
    <definedName name="dadinho">NA()</definedName>
    <definedName name="DADOS">NA()</definedName>
    <definedName name="dASVNHMJHWQ">#REF!</definedName>
    <definedName name="DATA">NA()</definedName>
    <definedName name="Data_Final">NA()</definedName>
    <definedName name="Data_Início">NA()</definedName>
    <definedName name="dd" hidden="1">#REF!</definedName>
    <definedName name="ddd">NA()</definedName>
    <definedName name="ddddddd">NA()</definedName>
    <definedName name="defensa">NA()</definedName>
    <definedName name="Desenbolso_2">NA()</definedName>
    <definedName name="desenbolso2">NA()</definedName>
    <definedName name="DESM">NA()</definedName>
    <definedName name="DESONERACAO" localSheetId="11">IF(OR(Import.Desoneracao="DESONERADO",Import.Desoneracao="SIM"),"SIM","NÃO")</definedName>
    <definedName name="DESONERACAO">IF(OR(Import.Desoneracao="DESONERADO",Import.Desoneracao="SIM"),"SIM","NÃO")</definedName>
    <definedName name="DGA">NA()</definedName>
    <definedName name="Diagrama">NA()</definedName>
    <definedName name="DISTA">NA()</definedName>
    <definedName name="DISTP">NA()</definedName>
    <definedName name="DISTS">NA()</definedName>
    <definedName name="DJ">NA()</definedName>
    <definedName name="DMT">2</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ois">NA()</definedName>
    <definedName name="dssds">#REF!</definedName>
    <definedName name="ECJ">NA()</definedName>
    <definedName name="EDEDEDE">NA()</definedName>
    <definedName name="EJ">NA()</definedName>
    <definedName name="EMN">NA()</definedName>
    <definedName name="EmpAux">""</definedName>
    <definedName name="EMPRESAS">OFFSET(#REF!,1,0):OFFSET(#REF!,-1,0)</definedName>
    <definedName name="equip">NA()</definedName>
    <definedName name="equipamento">NA()</definedName>
    <definedName name="esc">NA()</definedName>
    <definedName name="escada">NA()</definedName>
    <definedName name="ett">NA()</definedName>
    <definedName name="ex">NA()</definedName>
    <definedName name="EXA">NA()</definedName>
    <definedName name="Excel_BuiltIn__FilterDatabase_6">NA()</definedName>
    <definedName name="Excel_BuiltIn_Print_Area_4">NA()</definedName>
    <definedName name="Exist">#REF!</definedName>
    <definedName name="exte">NA()</definedName>
    <definedName name="Extenso">NA()</definedName>
    <definedName name="f">NA()</definedName>
    <definedName name="fc1a">NA()</definedName>
    <definedName name="FC2A">NA()</definedName>
    <definedName name="FC3A">NA()</definedName>
    <definedName name="fdfd">#REF!</definedName>
    <definedName name="FE">NA()</definedName>
    <definedName name="fer_cristo">NA()</definedName>
    <definedName name="ferna">NA()</definedName>
    <definedName name="FEV">NA()</definedName>
    <definedName name="FEVERE">NA()</definedName>
    <definedName name="FiltroComp">#REF!</definedName>
    <definedName name="fin">NA()</definedName>
    <definedName name="firma2">NA()</definedName>
    <definedName name="fluxo">NA()</definedName>
    <definedName name="fr">NA()</definedName>
    <definedName name="francis">NA()</definedName>
    <definedName name="fre">NA()</definedName>
    <definedName name="FRETE">NA()</definedName>
    <definedName name="FS">NA()</definedName>
    <definedName name="fthju">NA()</definedName>
    <definedName name="fuel">NA()</definedName>
    <definedName name="fv">NA()</definedName>
    <definedName name="g" hidden="1">#REF!</definedName>
    <definedName name="gas">NA()</definedName>
    <definedName name="GAST">NA()</definedName>
    <definedName name="GF">NA()</definedName>
    <definedName name="GP">NA()</definedName>
    <definedName name="_xlnm.Recorder">#REF!</definedName>
    <definedName name="H">NA()</definedName>
    <definedName name="há">NA()</definedName>
    <definedName name="HC">NA()</definedName>
    <definedName name="hi">NA()</definedName>
    <definedName name="hora">NA()</definedName>
    <definedName name="hrf">NA()</definedName>
    <definedName name="hthj">NA()</definedName>
    <definedName name="HTML_CodePage">1252</definedName>
    <definedName name="HTML_Control" localSheetId="11">{"'1'!$A$2:$G$13"}</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#REF!</definedName>
    <definedName name="IM">NA()</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#REF!</definedName>
    <definedName name="Import.CR">#REF!</definedName>
    <definedName name="Import.DataBase">#REF!</definedName>
    <definedName name="Import.DescLote">#REF!</definedName>
    <definedName name="Import.Desoneracao">OFFSET(#REF!,0,-1)</definedName>
    <definedName name="Import.Município">#REF!</definedName>
    <definedName name="Import.Proponente">#REF!</definedName>
    <definedName name="Import.RespOrçamento">#REF!</definedName>
    <definedName name="Import.SICONV">#REF!</definedName>
    <definedName name="IMPRIMAÇÃO">NA()</definedName>
    <definedName name="INCC">#REF!</definedName>
    <definedName name="INCC1">#REF!</definedName>
    <definedName name="INDICES">OFFSET(#REF!,1,0):OFFSET(#REF!,-1,0)</definedName>
    <definedName name="Item">NA()</definedName>
    <definedName name="j">#REF!</definedName>
    <definedName name="jfhdskjg">#REF!</definedName>
    <definedName name="jkjkj">NA()</definedName>
    <definedName name="JR_PAGE_ANCHOR_0_1" localSheetId="5">'Composições AUX SEM'!#REF!</definedName>
    <definedName name="JR_PAGE_ANCHOR_0_1" localSheetId="4">'Composições SEM'!#REF!</definedName>
    <definedName name="JR_PAGE_ANCHOR_0_1" localSheetId="9">'Cronograma Físico-Financeiro'!#REF!</definedName>
    <definedName name="JR_PAGE_ANCHOR_0_1" localSheetId="10">'Curva ABC'!#REF!</definedName>
    <definedName name="JR_PAGE_ANCHOR_0_1" localSheetId="6">'Memória de Cálculo'!$A$6</definedName>
    <definedName name="JR_PAGE_ANCHOR_0_1" localSheetId="1">'Planilha Resumo'!#REF!</definedName>
    <definedName name="JR_PAGE_ANCHOR_0_1" localSheetId="0">'Planilha Resumo Comparativa'!#REF!</definedName>
    <definedName name="JR_PAGE_ANCHOR_0_1" localSheetId="2">'Planilha Resumo por Rua'!#REF!</definedName>
    <definedName name="JR_PAGE_ANCHOR_0_1">'Planilha Orçamentária SEM Des'!#REF!</definedName>
    <definedName name="JR_PAGE_ANCHOR_8_1">#REF!</definedName>
    <definedName name="k">NA()</definedName>
    <definedName name="kapa">#REF!</definedName>
    <definedName name="KAPA1">#REF!</definedName>
    <definedName name="KAPAs">#REF!</definedName>
    <definedName name="kf">NA()</definedName>
    <definedName name="kjkhjkh">NA()</definedName>
    <definedName name="km">NA()</definedName>
    <definedName name="KM_406_407">NA()</definedName>
    <definedName name="Ks">#REF!</definedName>
    <definedName name="kwh">NA()</definedName>
    <definedName name="LDI">NA()</definedName>
    <definedName name="Leste">NA()</definedName>
    <definedName name="lias">NA()</definedName>
    <definedName name="LILASDRENA">NA()</definedName>
    <definedName name="lista">#REF!</definedName>
    <definedName name="lista.coluna">#REF!</definedName>
    <definedName name="lista.linha">#REF!</definedName>
    <definedName name="ll">NA()</definedName>
    <definedName name="LOC">NA()</definedName>
    <definedName name="LOCAL">NA()</definedName>
    <definedName name="LS">"S"</definedName>
    <definedName name="LVC">NA()</definedName>
    <definedName name="LVD">NA()</definedName>
    <definedName name="Macro1">#N/A</definedName>
    <definedName name="MAPA">NA()</definedName>
    <definedName name="Mapas">NA()</definedName>
    <definedName name="marcos">NA()</definedName>
    <definedName name="MATBDI">#REF!</definedName>
    <definedName name="Materiais" localSheetId="11">_PL1</definedName>
    <definedName name="Materiais">_PL1</definedName>
    <definedName name="Materiais2" localSheetId="11">_PL1</definedName>
    <definedName name="Materiais2">_PL1</definedName>
    <definedName name="Materiais3" localSheetId="11">_PL1</definedName>
    <definedName name="Materiais3">_PL1</definedName>
    <definedName name="material">NA()</definedName>
    <definedName name="Máximo" localSheetId="11">{"'Índice'!$A$1:$K$49"}</definedName>
    <definedName name="Máximo">{"'Índice'!$A$1:$K$49"}</definedName>
    <definedName name="MBQ">NA()</definedName>
    <definedName name="MBQA">NA()</definedName>
    <definedName name="MBQT">NA()</definedName>
    <definedName name="MED">NA()</definedName>
    <definedName name="Medição">NA()</definedName>
    <definedName name="medidas">#REF!</definedName>
    <definedName name="MEMORIA">#N/A</definedName>
    <definedName name="MF">NA()</definedName>
    <definedName name="MFio">NA()</definedName>
    <definedName name="mmmm">NA()</definedName>
    <definedName name="MMMMM">NA()</definedName>
    <definedName name="MMMMMM">NA()</definedName>
    <definedName name="módulo1.Extenso">#REF!</definedName>
    <definedName name="módulo1_Extenso">NA()</definedName>
    <definedName name="MUro">NA()</definedName>
    <definedName name="n">NA()</definedName>
    <definedName name="N_">NA()</definedName>
    <definedName name="NCOMPOSICOES">2</definedName>
    <definedName name="NCOTACOES">15</definedName>
    <definedName name="NEMPRESAS">15</definedName>
    <definedName name="nil">#REF!</definedName>
    <definedName name="nilo">#REF!</definedName>
    <definedName name="NINDICES">3</definedName>
    <definedName name="NLant">5</definedName>
    <definedName name="NLEq">4</definedName>
    <definedName name="NLmin">5</definedName>
    <definedName name="NLMo">6</definedName>
    <definedName name="NLMp">5</definedName>
    <definedName name="NLTr">3</definedName>
    <definedName name="NRELATORIOS">COUNTA(#REF!)-2</definedName>
    <definedName name="NTEI">NA()</definedName>
    <definedName name="NumerEmpresa">15</definedName>
    <definedName name="NumerIndice">3</definedName>
    <definedName name="O">NA()</definedName>
    <definedName name="Objeto">"Referência"</definedName>
    <definedName name="oi">#REF!</definedName>
    <definedName name="ok">#REF!</definedName>
    <definedName name="OLEO">NA()</definedName>
    <definedName name="OPA">NA()</definedName>
    <definedName name="orçamento">#REF!</definedName>
    <definedName name="OUTR">NA()</definedName>
    <definedName name="p">NA()</definedName>
    <definedName name="PACAP20MBQ">NA()</definedName>
    <definedName name="PACM30RP">NA()</definedName>
    <definedName name="PAEMULCS">NA()</definedName>
    <definedName name="PAEMULTSS">NA()</definedName>
    <definedName name="parametros">NA()</definedName>
    <definedName name="PARR1CST">NA()</definedName>
    <definedName name="pass">NA()</definedName>
    <definedName name="PassaExtenso">NA()</definedName>
    <definedName name="PCCARR">NA()</definedName>
    <definedName name="PCDF">NA()</definedName>
    <definedName name="PCSA">NA()</definedName>
    <definedName name="PCST">NA()</definedName>
    <definedName name="PDM">NA()</definedName>
    <definedName name="PEMN">NA()</definedName>
    <definedName name="PEN">NA()</definedName>
    <definedName name="pesquisa">NA()</definedName>
    <definedName name="pessoal">NA()</definedName>
    <definedName name="PG">NA()</definedName>
    <definedName name="PGP">NA()</definedName>
    <definedName name="PINTLIG">NA()</definedName>
    <definedName name="Pintura">NA()</definedName>
    <definedName name="PL">NA()</definedName>
    <definedName name="PLA">NA()</definedName>
    <definedName name="PLACA">NA()</definedName>
    <definedName name="placas">NA()</definedName>
    <definedName name="planilha">NA()</definedName>
    <definedName name="PLT">NA()</definedName>
    <definedName name="PLVC">NA()</definedName>
    <definedName name="PLVD">NA()</definedName>
    <definedName name="PMBQ">NA()</definedName>
    <definedName name="PMBQA">NA()</definedName>
    <definedName name="PMBQT">NA()</definedName>
    <definedName name="PONTE">NA()</definedName>
    <definedName name="POP">#REF!</definedName>
    <definedName name="Popular" localSheetId="11" hidden="1">{#N/A,#N/A,FALSE,"Cronograma";#N/A,#N/A,FALSE,"Cronogr. 2"}</definedName>
    <definedName name="Popular" hidden="1">{#N/A,#N/A,FALSE,"Cronograma";#N/A,#N/A,FALSE,"Cronogr. 2"}</definedName>
    <definedName name="PPEN">NA()</definedName>
    <definedName name="PPLA">NA()</definedName>
    <definedName name="PPLT">NA()</definedName>
    <definedName name="PRBQ">NA()</definedName>
    <definedName name="PRCC">NA()</definedName>
    <definedName name="PRDM">NA()</definedName>
    <definedName name="PREÇOS_FEV_2015">NA()</definedName>
    <definedName name="PRECP">NA()</definedName>
    <definedName name="PREGO">NA()</definedName>
    <definedName name="Print_Area_MI">NA()</definedName>
    <definedName name="PRINT_TITLES_MI">NA()</definedName>
    <definedName name="PRINT2">#REF!</definedName>
    <definedName name="PRM1C">NA()</definedName>
    <definedName name="PRPA">NA()</definedName>
    <definedName name="PRPL">NA()</definedName>
    <definedName name="PRPT">NA()</definedName>
    <definedName name="PRRP">NA()</definedName>
    <definedName name="PTBA">NA()</definedName>
    <definedName name="PTBT">NA()</definedName>
    <definedName name="PTCAP20">NA()</definedName>
    <definedName name="PTCAP20MBQ">NA()</definedName>
    <definedName name="PTCM30">NA()</definedName>
    <definedName name="PTCM30RP">NA()</definedName>
    <definedName name="PTEMULCS">NA()</definedName>
    <definedName name="PTEMULTSS">NA()</definedName>
    <definedName name="PTLCB10">NA()</definedName>
    <definedName name="PTRM1C">NA()</definedName>
    <definedName name="PTRR1C">NA()</definedName>
    <definedName name="PTRR1CST">NA()</definedName>
    <definedName name="PTSD2">NA()</definedName>
    <definedName name="q">NA()</definedName>
    <definedName name="qq">NA()</definedName>
    <definedName name="QQ_2">NA()</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#REF!</definedName>
    <definedName name="QUADRO">#REF!</definedName>
    <definedName name="QUANT">NA()</definedName>
    <definedName name="QUANTIDADES">NA()</definedName>
    <definedName name="RBQ">NA()</definedName>
    <definedName name="RCC">NA()</definedName>
    <definedName name="rcgp">NA()</definedName>
    <definedName name="RDM">NA()</definedName>
    <definedName name="rearos2">NA()</definedName>
    <definedName name="Recalque">#REF!</definedName>
    <definedName name="RECAPEAMENTO">NA()</definedName>
    <definedName name="RECP">NA()</definedName>
    <definedName name="Referencia.Descricao" localSheetId="11">IF(ISNUMBER(#REF!),INDEX(INDIRECT("'[Referência "&amp;_xlnm.Database&amp;".xls]Banco'!$b:$g"),#REF!,3),"")</definedName>
    <definedName name="Referencia.Descricao">IF(ISNUMBER(#REF!),INDEX(INDIRECT("'[Referência "&amp;_xlnm.Database&amp;".xls]Banco'!$b:$g"),#REF!,3),"")</definedName>
    <definedName name="Referencia.Unidade" localSheetId="11">IF(ISNUMBER(#REF!),INDEX(INDIRECT("'[Referência "&amp;_xlnm.Database&amp;".xls]Banco'!$b:$g"),#REF!,4),"")</definedName>
    <definedName name="Referencia.Unidade">IF(ISNUMBER(#REF!),INDEX(INDIRECT("'[Referência "&amp;_xlnm.Database&amp;".xls]Banco'!$b:$g"),#REF!,4),"")</definedName>
    <definedName name="REFERENCIA_MAR_2020">#REF!</definedName>
    <definedName name="REG">NA()</definedName>
    <definedName name="REGULA">NA()</definedName>
    <definedName name="relatorio">NA()</definedName>
    <definedName name="RelatoriosFontes" localSheetId="11">OFFSET(#REF!,1,0,NRELATORIOS)</definedName>
    <definedName name="RelatoriosFontes">OFFSET(#REF!,1,0,NRELATORIOS)</definedName>
    <definedName name="relequip">NA()</definedName>
    <definedName name="RES">NA()</definedName>
    <definedName name="RESP">NA()</definedName>
    <definedName name="RESUMO">NA()</definedName>
    <definedName name="resumo2">NA()</definedName>
    <definedName name="rio" localSheetId="11" hidden="1">{#N/A,#N/A,FALSE,"Cronograma";#N/A,#N/A,FALSE,"Cronogr. 2"}</definedName>
    <definedName name="rio" hidden="1">{#N/A,#N/A,FALSE,"Cronograma";#N/A,#N/A,FALSE,"Cronogr. 2"}</definedName>
    <definedName name="RM1C">NA()</definedName>
    <definedName name="RMA">NA()</definedName>
    <definedName name="RMAN">NA()</definedName>
    <definedName name="RMEC">NA()</definedName>
    <definedName name="rp">NA()</definedName>
    <definedName name="RPA">NA()</definedName>
    <definedName name="RPL">NA()</definedName>
    <definedName name="RPT">NA()</definedName>
    <definedName name="RPZ">NA()</definedName>
    <definedName name="RR2C">NA()</definedName>
    <definedName name="rraauf">NA()</definedName>
    <definedName name="rraauq">NA()</definedName>
    <definedName name="RRP">NA()</definedName>
    <definedName name="RRQ">NA()</definedName>
    <definedName name="RS">NA()</definedName>
    <definedName name="s">#REF!</definedName>
    <definedName name="sadf">#REF!</definedName>
    <definedName name="sadsdf">#REF!</definedName>
    <definedName name="Salario">1</definedName>
    <definedName name="SB">NA()</definedName>
    <definedName name="sbg">NA()</definedName>
    <definedName name="SBTC">NA()</definedName>
    <definedName name="sddddddddddd">#REF!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1</definedName>
    <definedName name="SENHAGT" hidden="1">"PM2CAIXA"</definedName>
    <definedName name="serviço">NA()</definedName>
    <definedName name="Serviços">NA()</definedName>
    <definedName name="SINAPI_AC" hidden="1">#REF!</definedName>
    <definedName name="SJ">NA()</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s" localSheetId="11" hidden="1">{#N/A,#N/A,FALSE,"Cronograma";#N/A,#N/A,FALSE,"Cronogr. 2"}</definedName>
    <definedName name="ss" hidden="1">{#N/A,#N/A,FALSE,"Cronograma";#N/A,#N/A,FALSE,"Cronogr. 2"}</definedName>
    <definedName name="sssa">NA()</definedName>
    <definedName name="SUB_TRECHO">NA()</definedName>
    <definedName name="SUBTOT">NA()</definedName>
    <definedName name="SUMMERY">NA()</definedName>
    <definedName name="TABELA">#REF!</definedName>
    <definedName name="TABELA_1">NA()</definedName>
    <definedName name="TABMAT">NA()</definedName>
    <definedName name="tabserv">NA()</definedName>
    <definedName name="TABUA">NA()</definedName>
    <definedName name="tb">NA()</definedName>
    <definedName name="TBA">NA()</definedName>
    <definedName name="TBT">NA()</definedName>
    <definedName name="TCAP20">NA()</definedName>
    <definedName name="TER">NA()</definedName>
    <definedName name="terra">NA()</definedName>
    <definedName name="TESTE">NA()</definedName>
    <definedName name="TipoObra">2</definedName>
    <definedName name="TipoOrçamento">"BASE"</definedName>
    <definedName name="TipoRel">"Vale"</definedName>
    <definedName name="TiposObras" localSheetId="11">'[2]dados do BDI modelo 1'!$A$1:$A$6</definedName>
    <definedName name="TiposObras">#REF!</definedName>
    <definedName name="_xlnm.Print_Titles" localSheetId="5">'Composições AUX SEM'!$1:$6</definedName>
    <definedName name="_xlnm.Print_Titles" localSheetId="4">'Composições SEM'!$1:$6</definedName>
    <definedName name="_xlnm.Print_Titles" localSheetId="9">'Cronograma Físico-Financeiro'!$1:$6</definedName>
    <definedName name="_xlnm.Print_Titles" localSheetId="10">'Curva ABC'!$1:$6</definedName>
    <definedName name="_xlnm.Print_Titles" localSheetId="6">'Memória de Cálculo'!$1:$6</definedName>
    <definedName name="_xlnm.Print_Titles" localSheetId="3">'Planilha Orçamentária SEM Des'!$1:$6</definedName>
    <definedName name="_xlnm.Print_Titles" localSheetId="2">'Planilha Resumo por Rua'!$1:$6</definedName>
    <definedName name="TOT">NA()</definedName>
    <definedName name="TOTAL">NA()</definedName>
    <definedName name="TPM">NA()</definedName>
    <definedName name="transporte">NA()</definedName>
    <definedName name="TRL1C">#REF!</definedName>
    <definedName name="TRM1C">#REF!</definedName>
    <definedName name="TRR1C">#REF!</definedName>
    <definedName name="TRR2C">#REF!</definedName>
    <definedName name="truncar">#REF!</definedName>
    <definedName name="trut">NA()</definedName>
    <definedName name="TSD">NA()</definedName>
    <definedName name="TT">#REF!</definedName>
    <definedName name="um">NA()</definedName>
    <definedName name="UNIT">NA()</definedName>
    <definedName name="uuuuuty">NA()</definedName>
    <definedName name="VALOR_TOTAL" localSheetId="10">'Curva ABC'!$I$15</definedName>
    <definedName name="VALOR_TOTAL">#REF!</definedName>
    <definedName name="VCRT">NA()</definedName>
    <definedName name="verde">NA()</definedName>
    <definedName name="verdepav">NA()</definedName>
    <definedName name="vfvr">NA()</definedName>
    <definedName name="vhvb">#REF!</definedName>
    <definedName name="VR">NA()</definedName>
    <definedName name="VSR">NA()</definedName>
    <definedName name="VVVV">NA()</definedName>
    <definedName name="vvvvvvvvvvvvvv">#REF!</definedName>
    <definedName name="w">NA()</definedName>
    <definedName name="wer">NA()</definedName>
    <definedName name="WEWRWR">NA()</definedName>
    <definedName name="wrn.Cronograma." localSheetId="11" hidden="1">{#N/A,#N/A,FALSE,"Cronograma";#N/A,#N/A,FALSE,"Cronogr. 2"}</definedName>
    <definedName name="wrn.Cronograma." hidden="1">{#N/A,#N/A,FALSE,"Cronograma";#N/A,#N/A,FALSE,"Cronogr. 2"}</definedName>
    <definedName name="wrn.GERAL." localSheetId="11" hidden="1">{#N/A,#N/A,FALSE,"ET-CAPA";#N/A,#N/A,FALSE,"ET-PAG1";#N/A,#N/A,FALSE,"ET-PAG2";#N/A,#N/A,FALSE,"ET-PAG3";#N/A,#N/A,FALSE,"ET-PAG4";#N/A,#N/A,FALSE,"ET-PAG5"}</definedName>
    <definedName name="wrn.GERAL." hidden="1">{#N/A,#N/A,FALSE,"ET-CAPA";#N/A,#N/A,FALSE,"ET-PAG1";#N/A,#N/A,FALSE,"ET-PAG2";#N/A,#N/A,FALSE,"ET-PAG3";#N/A,#N/A,FALSE,"ET-PAG4";#N/A,#N/A,FALSE,"ET-PAG5"}</definedName>
    <definedName name="wrn.impresión." localSheetId="1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1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PENDENCIAS." localSheetId="1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VENTAS." localSheetId="11">{"VENTAS1",#N/A,FALSE,"VENTAS";"VENTAS2",#N/A,FALSE,"VENTAS";"VENTAS3",#N/A,FALSE,"VENTAS";"VENTAS4",#N/A,FALSE,"VENTAS";"VENTAS5",#N/A,FALSE,"VENTAS";"VENTAS6",#N/A,FALSE,"VENTAS";"VENTAS7",#N/A,FALSE,"VENTAS";"VENTAS8",#N/A,FALSE,"VENTAS"}</definedName>
    <definedName name="wrn.VENTAS.">{"VENTAS1",#N/A,FALSE,"VENTAS";"VENTAS2",#N/A,FALSE,"VENTAS";"VENTAS3",#N/A,FALSE,"VENTAS";"VENTAS4",#N/A,FALSE,"VENTAS";"VENTAS5",#N/A,FALSE,"VENTAS";"VENTAS6",#N/A,FALSE,"VENTAS";"VENTAS7",#N/A,FALSE,"VENTAS";"VENTAS8",#N/A,FALSE,"VENTAS"}</definedName>
    <definedName name="wrn.ventas.1" localSheetId="11">{"VENTAS1",#N/A,FALSE,"VENTAS";"VENTAS2",#N/A,FALSE,"VENTAS";"VENTAS3",#N/A,FALSE,"VENTAS";"VENTAS4",#N/A,FALSE,"VENTAS";"VENTAS5",#N/A,FALSE,"VENTAS";"VENTAS6",#N/A,FALSE,"VENTAS";"VENTAS7",#N/A,FALSE,"VENTAS";"VENTAS8",#N/A,FALSE,"VENTAS"}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vu.Print_Todo." localSheetId="11">{TRUE,TRUE,-1.25,-15.5,484.5,276.75,FALSE,TRUE,TRUE,TRUE,0,1,1,300,1,1.96296296296296,1.15384615384615,4,TRUE,TRUE,3,TRUE,1,FALSE,75,"Swvu.Print_Todo.","ACwvu.Print_Todo.",#N/A,FALSE,FALSE,0,0,0,0,2,"","",FALSE,FALSE,TRUE,FALSE,1,#N/A,2,10,"=R1C1:R636C40",FALSE,#N/A,#N/A,FALSE,FALSE,FALSE,9,300,300,FALSE,TRUE,TRUE,TRUE,TRUE}</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 localSheetId="1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xx">NA()</definedName>
    <definedName name="XXX">NA()</definedName>
    <definedName name="xxxx">NA()</definedName>
    <definedName name="xxxxx">NA()</definedName>
    <definedName name="XXXXXXXX">NA()</definedName>
    <definedName name="Y">NA()</definedName>
    <definedName name="Z">NA()</definedName>
    <definedName name="ZZ">#REF!</definedName>
    <definedName name="zzzzz">NA()</definedName>
    <definedName name="ZZZZZZZZZZZZZZ">NA()</definedName>
    <definedName name="zzzzzzzzzzzzzzzzzzzzzzzzzzzzzzzzzz">NA()</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9" i="18" l="1"/>
  <c r="M8" i="18"/>
  <c r="L12" i="18"/>
  <c r="L11" i="18"/>
  <c r="L10" i="18"/>
  <c r="L9" i="18"/>
  <c r="L8" i="18"/>
  <c r="H8" i="18" l="1"/>
  <c r="E16" i="14"/>
  <c r="B11" i="18" l="1"/>
  <c r="L19" i="7"/>
  <c r="L18" i="7"/>
  <c r="L17" i="7"/>
  <c r="L16" i="7"/>
  <c r="L15" i="7"/>
  <c r="L20" i="7" s="1"/>
  <c r="L10" i="7"/>
  <c r="L9" i="7"/>
  <c r="L102" i="22"/>
  <c r="L101" i="22"/>
  <c r="L103" i="22" s="1"/>
  <c r="L100" i="22"/>
  <c r="L96" i="22"/>
  <c r="L95" i="22"/>
  <c r="L94" i="22"/>
  <c r="L97" i="22" s="1"/>
  <c r="L88" i="22"/>
  <c r="L87" i="22"/>
  <c r="L86" i="22"/>
  <c r="L89" i="22" s="1"/>
  <c r="L80" i="22"/>
  <c r="L79" i="22"/>
  <c r="L78" i="22"/>
  <c r="L77" i="22"/>
  <c r="L81" i="22" s="1"/>
  <c r="L74" i="22"/>
  <c r="L73" i="22"/>
  <c r="L72" i="22"/>
  <c r="L71" i="22"/>
  <c r="L70" i="22"/>
  <c r="L75" i="22" s="1"/>
  <c r="L82" i="22" s="1"/>
  <c r="L84" i="22" s="1"/>
  <c r="L57" i="22"/>
  <c r="L56" i="22"/>
  <c r="L58" i="22" s="1"/>
  <c r="L53" i="22"/>
  <c r="L54" i="22"/>
  <c r="L59" i="22" s="1"/>
  <c r="L61" i="22" s="1"/>
  <c r="L39" i="22"/>
  <c r="L34" i="22"/>
  <c r="L33" i="22"/>
  <c r="L32" i="22"/>
  <c r="L29" i="22"/>
  <c r="L28" i="22"/>
  <c r="L30" i="22" s="1"/>
  <c r="L35" i="22" s="1"/>
  <c r="L37" i="22" s="1"/>
  <c r="L22" i="22"/>
  <c r="L20" i="22"/>
  <c r="L19" i="22"/>
  <c r="L14" i="22"/>
  <c r="L13" i="22"/>
  <c r="L12" i="22"/>
  <c r="L11" i="22"/>
  <c r="L15" i="22" s="1"/>
  <c r="J21" i="22" s="1"/>
  <c r="L21" i="22" s="1"/>
  <c r="L10" i="22"/>
  <c r="L9" i="22"/>
  <c r="E21" i="20"/>
  <c r="L23" i="22" l="1"/>
  <c r="L11" i="7"/>
  <c r="F280" i="15"/>
  <c r="F95" i="15"/>
  <c r="F35" i="15" l="1"/>
  <c r="F20" i="15"/>
  <c r="F21" i="15" s="1"/>
  <c r="J18" i="15" s="1"/>
  <c r="H86" i="4"/>
  <c r="H80" i="4"/>
  <c r="H73" i="4"/>
  <c r="H67" i="4"/>
  <c r="H60" i="4"/>
  <c r="H53" i="4"/>
  <c r="H46" i="4"/>
  <c r="H40" i="4"/>
  <c r="H34" i="4"/>
  <c r="H28" i="4"/>
  <c r="H21" i="4"/>
  <c r="H15" i="4"/>
  <c r="H11" i="4"/>
  <c r="G87" i="4"/>
  <c r="H87" i="4" s="1"/>
  <c r="G81" i="4"/>
  <c r="H81" i="4" s="1"/>
  <c r="G74" i="4"/>
  <c r="H74" i="4" s="1"/>
  <c r="G68" i="4"/>
  <c r="H68" i="4" s="1"/>
  <c r="G61" i="4"/>
  <c r="H61" i="4" s="1"/>
  <c r="G54" i="4"/>
  <c r="H54" i="4" s="1"/>
  <c r="G47" i="4"/>
  <c r="H47" i="4" s="1"/>
  <c r="G41" i="4"/>
  <c r="H41" i="4" s="1"/>
  <c r="G35" i="4"/>
  <c r="H35" i="4" s="1"/>
  <c r="G29" i="4"/>
  <c r="H29" i="4" s="1"/>
  <c r="G22" i="4"/>
  <c r="H22" i="4" s="1"/>
  <c r="G16" i="4"/>
  <c r="H16" i="4" s="1"/>
  <c r="L46" i="22" l="1"/>
  <c r="L47" i="22" s="1"/>
  <c r="L42" i="22"/>
  <c r="L43" i="22" s="1"/>
  <c r="L40" i="22"/>
  <c r="L48" i="22" l="1"/>
  <c r="L49" i="22" s="1"/>
  <c r="J91" i="22"/>
  <c r="L91" i="22" s="1"/>
  <c r="L92" i="22" s="1"/>
  <c r="L104" i="22" s="1"/>
  <c r="L105" i="22" s="1"/>
  <c r="J63" i="22" l="1"/>
  <c r="L63" i="22" s="1"/>
  <c r="L64" i="22" s="1"/>
  <c r="L65" i="22" s="1"/>
  <c r="L66" i="22" s="1"/>
  <c r="J24" i="7" l="1"/>
  <c r="L24" i="7" s="1"/>
  <c r="J25" i="7" l="1"/>
  <c r="L25" i="7" s="1"/>
  <c r="L26" i="7" s="1"/>
  <c r="F366" i="15"/>
  <c r="F308" i="15"/>
  <c r="F307" i="15"/>
  <c r="F250" i="15"/>
  <c r="F248" i="15"/>
  <c r="F186" i="15"/>
  <c r="F185" i="15"/>
  <c r="F184" i="15"/>
  <c r="F183" i="15"/>
  <c r="F182" i="15"/>
  <c r="F181" i="15"/>
  <c r="G76" i="4" l="1"/>
  <c r="H76" i="4" s="1"/>
  <c r="G49" i="4"/>
  <c r="H49" i="4" s="1"/>
  <c r="G43" i="4"/>
  <c r="H43" i="4" s="1"/>
  <c r="G70" i="4"/>
  <c r="H70" i="4" s="1"/>
  <c r="G63" i="4"/>
  <c r="H63" i="4" s="1"/>
  <c r="G31" i="4"/>
  <c r="H31" i="4" s="1"/>
  <c r="G24" i="4"/>
  <c r="H24" i="4" s="1"/>
  <c r="G18" i="4"/>
  <c r="H18" i="4" s="1"/>
  <c r="G11" i="18" s="1"/>
  <c r="G37" i="4"/>
  <c r="H37" i="4" s="1"/>
  <c r="G83" i="4"/>
  <c r="H83" i="4" s="1"/>
  <c r="G56" i="4"/>
  <c r="H56" i="4" s="1"/>
  <c r="G89" i="4"/>
  <c r="H89" i="4" s="1"/>
  <c r="F187" i="15"/>
  <c r="F153" i="15"/>
  <c r="F124" i="15"/>
  <c r="F94" i="15"/>
  <c r="F96" i="15" s="1"/>
  <c r="E26" i="20" l="1"/>
  <c r="R10" i="19" l="1"/>
  <c r="R14" i="19"/>
  <c r="R18" i="19"/>
  <c r="R20" i="19"/>
  <c r="R24" i="19"/>
  <c r="R26" i="19"/>
  <c r="R28" i="19"/>
  <c r="R30" i="19"/>
  <c r="R34" i="19"/>
  <c r="R38" i="19"/>
  <c r="R42" i="19"/>
  <c r="R44" i="19"/>
  <c r="R48" i="19"/>
  <c r="R50" i="19"/>
  <c r="I35" i="19"/>
  <c r="Q15" i="19" l="1"/>
  <c r="O15" i="19"/>
  <c r="N15" i="19"/>
  <c r="M15" i="19"/>
  <c r="L15" i="19"/>
  <c r="K15" i="19"/>
  <c r="M21" i="7" l="1"/>
  <c r="G8" i="18"/>
  <c r="G9" i="18"/>
  <c r="G12" i="18"/>
  <c r="M12" i="7" l="1"/>
  <c r="G9" i="4"/>
  <c r="E383" i="15"/>
  <c r="E373" i="15"/>
  <c r="E374" i="15" s="1"/>
  <c r="J371" i="15" s="1"/>
  <c r="F365" i="15"/>
  <c r="F364" i="15"/>
  <c r="E324" i="15"/>
  <c r="E315" i="15"/>
  <c r="F306" i="15"/>
  <c r="F309" i="15" s="1"/>
  <c r="E170" i="15"/>
  <c r="E171" i="15" s="1"/>
  <c r="E160" i="15"/>
  <c r="E161" i="15" s="1"/>
  <c r="J158" i="15" s="1"/>
  <c r="F152" i="15"/>
  <c r="E203" i="15"/>
  <c r="E204" i="15" s="1"/>
  <c r="E193" i="15"/>
  <c r="E141" i="15"/>
  <c r="E142" i="15" s="1"/>
  <c r="E131" i="15"/>
  <c r="E132" i="15" s="1"/>
  <c r="J129" i="15" s="1"/>
  <c r="F123" i="15"/>
  <c r="F125" i="15" s="1"/>
  <c r="E81" i="15"/>
  <c r="E82" i="15" s="1"/>
  <c r="J78" i="15" s="1"/>
  <c r="E71" i="15"/>
  <c r="E72" i="15" s="1"/>
  <c r="J69" i="15" s="1"/>
  <c r="F64" i="15"/>
  <c r="F63" i="15"/>
  <c r="F367" i="15" l="1"/>
  <c r="J362" i="15" s="1"/>
  <c r="H9" i="4"/>
  <c r="E316" i="15"/>
  <c r="J313" i="15" s="1"/>
  <c r="E194" i="15"/>
  <c r="J191" i="15" s="1"/>
  <c r="F154" i="15"/>
  <c r="J150" i="15" s="1"/>
  <c r="E376" i="15"/>
  <c r="E87" i="4"/>
  <c r="I87" i="4" s="1"/>
  <c r="E134" i="15"/>
  <c r="E35" i="4"/>
  <c r="I35" i="4" s="1"/>
  <c r="E74" i="15"/>
  <c r="E22" i="4"/>
  <c r="I22" i="4" s="1"/>
  <c r="E84" i="15"/>
  <c r="E24" i="4"/>
  <c r="E163" i="15"/>
  <c r="E41" i="4"/>
  <c r="I41" i="4" s="1"/>
  <c r="E384" i="15"/>
  <c r="J380" i="15" s="1"/>
  <c r="E325" i="15"/>
  <c r="J321" i="15" s="1"/>
  <c r="J304" i="15"/>
  <c r="J179" i="15"/>
  <c r="J200" i="15"/>
  <c r="J167" i="15"/>
  <c r="J121" i="15"/>
  <c r="J138" i="15"/>
  <c r="F65" i="15"/>
  <c r="J61" i="15" s="1"/>
  <c r="I20" i="4" l="1"/>
  <c r="I24" i="4"/>
  <c r="G10" i="18"/>
  <c r="E74" i="4"/>
  <c r="I74" i="4" s="1"/>
  <c r="E318" i="15"/>
  <c r="E196" i="15"/>
  <c r="E47" i="4"/>
  <c r="I47" i="4" s="1"/>
  <c r="E156" i="15"/>
  <c r="E40" i="4"/>
  <c r="I40" i="4" s="1"/>
  <c r="I39" i="4" s="1"/>
  <c r="E369" i="15"/>
  <c r="E86" i="4"/>
  <c r="I86" i="4" s="1"/>
  <c r="I85" i="4" s="1"/>
  <c r="E386" i="15"/>
  <c r="E89" i="4"/>
  <c r="I89" i="4" s="1"/>
  <c r="I88" i="4" s="1"/>
  <c r="I84" i="4" s="1"/>
  <c r="E144" i="15"/>
  <c r="E37" i="4"/>
  <c r="I37" i="4" s="1"/>
  <c r="I36" i="4" s="1"/>
  <c r="I32" i="4" s="1"/>
  <c r="E311" i="15"/>
  <c r="E73" i="4"/>
  <c r="I73" i="4" s="1"/>
  <c r="E173" i="15"/>
  <c r="E43" i="4"/>
  <c r="I43" i="4" s="1"/>
  <c r="I42" i="4" s="1"/>
  <c r="I38" i="4" s="1"/>
  <c r="E206" i="15"/>
  <c r="E49" i="4"/>
  <c r="I49" i="4" s="1"/>
  <c r="I48" i="4" s="1"/>
  <c r="E67" i="15"/>
  <c r="E21" i="4"/>
  <c r="I21" i="4" s="1"/>
  <c r="E189" i="15"/>
  <c r="E46" i="4"/>
  <c r="I46" i="4" s="1"/>
  <c r="I45" i="4" s="1"/>
  <c r="E127" i="15"/>
  <c r="E34" i="4"/>
  <c r="I34" i="4" s="1"/>
  <c r="I33" i="4" s="1"/>
  <c r="E327" i="15"/>
  <c r="E76" i="4"/>
  <c r="I76" i="4" s="1"/>
  <c r="I75" i="4" s="1"/>
  <c r="F337" i="15"/>
  <c r="E296" i="15"/>
  <c r="E287" i="15"/>
  <c r="E288" i="15" s="1"/>
  <c r="J285" i="15" s="1"/>
  <c r="F279" i="15"/>
  <c r="E257" i="15"/>
  <c r="E258" i="15" s="1"/>
  <c r="J255" i="15" s="1"/>
  <c r="E61" i="4" s="1"/>
  <c r="I61" i="4" s="1"/>
  <c r="F249" i="15"/>
  <c r="F217" i="15"/>
  <c r="F218" i="15"/>
  <c r="E112" i="15"/>
  <c r="E113" i="15" s="1"/>
  <c r="E52" i="15"/>
  <c r="E53" i="15" s="1"/>
  <c r="J49" i="15" s="1"/>
  <c r="F34" i="15"/>
  <c r="I72" i="4" l="1"/>
  <c r="I71" i="4"/>
  <c r="I44" i="4"/>
  <c r="I23" i="4"/>
  <c r="I19" i="4" s="1"/>
  <c r="I26" i="12"/>
  <c r="I49" i="12"/>
  <c r="I24" i="12"/>
  <c r="C26" i="19"/>
  <c r="F27" i="19" s="1"/>
  <c r="I27" i="12"/>
  <c r="I48" i="12"/>
  <c r="E290" i="15"/>
  <c r="E68" i="4"/>
  <c r="I68" i="4" s="1"/>
  <c r="E297" i="15"/>
  <c r="I14" i="12" l="1"/>
  <c r="C44" i="19"/>
  <c r="L45" i="19" s="1"/>
  <c r="I47" i="12"/>
  <c r="C28" i="19"/>
  <c r="E29" i="19" s="1"/>
  <c r="I25" i="12"/>
  <c r="I23" i="12"/>
  <c r="I22" i="12" s="1"/>
  <c r="I13" i="12"/>
  <c r="I12" i="12" s="1"/>
  <c r="C30" i="19"/>
  <c r="F31" i="19" s="1"/>
  <c r="K45" i="19"/>
  <c r="N45" i="19"/>
  <c r="M45" i="19"/>
  <c r="C50" i="19"/>
  <c r="E31" i="19" l="1"/>
  <c r="G31" i="19" s="1"/>
  <c r="R31" i="19" s="1"/>
  <c r="F29" i="19"/>
  <c r="G29" i="19" s="1"/>
  <c r="R29" i="19" s="1"/>
  <c r="O51" i="19"/>
  <c r="Q51" i="19"/>
  <c r="I19" i="19"/>
  <c r="G15" i="19"/>
  <c r="H15" i="19"/>
  <c r="J15" i="19"/>
  <c r="F19" i="19"/>
  <c r="G19" i="19"/>
  <c r="H19" i="19"/>
  <c r="J19" i="19"/>
  <c r="F21" i="19"/>
  <c r="G21" i="19"/>
  <c r="H21" i="19"/>
  <c r="J21" i="19"/>
  <c r="D25" i="19"/>
  <c r="E27" i="19"/>
  <c r="D27" i="19"/>
  <c r="D35" i="19"/>
  <c r="E35" i="19"/>
  <c r="D39" i="19"/>
  <c r="E39" i="19"/>
  <c r="F39" i="19"/>
  <c r="G39" i="19"/>
  <c r="F43" i="16"/>
  <c r="E43" i="16"/>
  <c r="D43" i="16"/>
  <c r="C43" i="16"/>
  <c r="F39" i="16"/>
  <c r="E39" i="16"/>
  <c r="D39" i="16"/>
  <c r="C39" i="16"/>
  <c r="F32" i="16"/>
  <c r="E32" i="16"/>
  <c r="D32" i="16"/>
  <c r="C32" i="16"/>
  <c r="F20" i="16"/>
  <c r="E20" i="16"/>
  <c r="D20" i="16"/>
  <c r="C20" i="16"/>
  <c r="R51" i="19" l="1"/>
  <c r="G27" i="19"/>
  <c r="F15" i="19"/>
  <c r="R45" i="19"/>
  <c r="C44" i="16"/>
  <c r="D44" i="16"/>
  <c r="E44" i="16"/>
  <c r="F44" i="16"/>
  <c r="R27" i="19" l="1"/>
  <c r="E11" i="15" l="1"/>
  <c r="F33" i="15"/>
  <c r="F36" i="15" s="1"/>
  <c r="E42" i="15"/>
  <c r="E43" i="15" s="1"/>
  <c r="E102" i="15"/>
  <c r="E103" i="15" s="1"/>
  <c r="J100" i="15" s="1"/>
  <c r="F216" i="15"/>
  <c r="E225" i="15"/>
  <c r="E234" i="15"/>
  <c r="E235" i="15" s="1"/>
  <c r="J231" i="15" s="1"/>
  <c r="F247" i="15"/>
  <c r="F251" i="15" s="1"/>
  <c r="E260" i="15"/>
  <c r="E266" i="15"/>
  <c r="E267" i="15" s="1"/>
  <c r="J263" i="15" s="1"/>
  <c r="F278" i="15"/>
  <c r="F281" i="15" s="1"/>
  <c r="J293" i="15"/>
  <c r="F336" i="15"/>
  <c r="E344" i="15"/>
  <c r="E345" i="15" s="1"/>
  <c r="J342" i="15" s="1"/>
  <c r="E354" i="15"/>
  <c r="F338" i="15" l="1"/>
  <c r="J334" i="15" s="1"/>
  <c r="E80" i="4" s="1"/>
  <c r="I80" i="4" s="1"/>
  <c r="E237" i="15"/>
  <c r="E56" i="4"/>
  <c r="I56" i="4" s="1"/>
  <c r="I55" i="4" s="1"/>
  <c r="E55" i="15"/>
  <c r="E18" i="4"/>
  <c r="E269" i="15"/>
  <c r="E63" i="4"/>
  <c r="I63" i="4" s="1"/>
  <c r="I62" i="4" s="1"/>
  <c r="E347" i="15"/>
  <c r="E81" i="4"/>
  <c r="I81" i="4" s="1"/>
  <c r="I79" i="4" s="1"/>
  <c r="E105" i="15"/>
  <c r="E29" i="4"/>
  <c r="I29" i="4" s="1"/>
  <c r="E299" i="15"/>
  <c r="E70" i="4"/>
  <c r="I70" i="4" s="1"/>
  <c r="I69" i="4" s="1"/>
  <c r="I65" i="4" s="1"/>
  <c r="I64" i="4" s="1"/>
  <c r="E355" i="15"/>
  <c r="J351" i="15" s="1"/>
  <c r="E83" i="4" s="1"/>
  <c r="I83" i="4" s="1"/>
  <c r="I82" i="4" s="1"/>
  <c r="I78" i="4" s="1"/>
  <c r="I77" i="4" s="1"/>
  <c r="J276" i="15"/>
  <c r="E67" i="4" s="1"/>
  <c r="I67" i="4" s="1"/>
  <c r="I66" i="4" s="1"/>
  <c r="J245" i="15"/>
  <c r="E60" i="4" s="1"/>
  <c r="I60" i="4" s="1"/>
  <c r="I59" i="4" s="1"/>
  <c r="E226" i="15"/>
  <c r="J223" i="15" s="1"/>
  <c r="E54" i="4" s="1"/>
  <c r="I54" i="4" s="1"/>
  <c r="F219" i="15"/>
  <c r="J214" i="15" s="1"/>
  <c r="E53" i="4" s="1"/>
  <c r="I53" i="4" s="1"/>
  <c r="J109" i="15"/>
  <c r="E31" i="4" s="1"/>
  <c r="I31" i="4" s="1"/>
  <c r="I30" i="4" s="1"/>
  <c r="J92" i="15"/>
  <c r="E28" i="4" s="1"/>
  <c r="I28" i="4" s="1"/>
  <c r="J31" i="15"/>
  <c r="E12" i="15"/>
  <c r="J9" i="15" s="1"/>
  <c r="J40" i="15"/>
  <c r="E16" i="4" s="1"/>
  <c r="E11" i="4"/>
  <c r="I58" i="4" l="1"/>
  <c r="I57" i="4" s="1"/>
  <c r="F8" i="18"/>
  <c r="I16" i="4"/>
  <c r="F12" i="18"/>
  <c r="H12" i="18" s="1"/>
  <c r="I11" i="4"/>
  <c r="I10" i="4" s="1"/>
  <c r="F11" i="18"/>
  <c r="H11" i="18" s="1"/>
  <c r="I18" i="4"/>
  <c r="I17" i="4" s="1"/>
  <c r="I27" i="4"/>
  <c r="I26" i="4"/>
  <c r="I25" i="4" s="1"/>
  <c r="I52" i="4"/>
  <c r="I51" i="4" s="1"/>
  <c r="I50" i="4" s="1"/>
  <c r="I17" i="12"/>
  <c r="I46" i="12"/>
  <c r="E9" i="4"/>
  <c r="E38" i="15"/>
  <c r="E15" i="4"/>
  <c r="E357" i="15"/>
  <c r="E283" i="15"/>
  <c r="E253" i="15"/>
  <c r="E221" i="15"/>
  <c r="E228" i="15"/>
  <c r="E115" i="15"/>
  <c r="E14" i="15"/>
  <c r="E45" i="15"/>
  <c r="E98" i="15"/>
  <c r="E340" i="15"/>
  <c r="E23" i="15"/>
  <c r="F10" i="18" l="1"/>
  <c r="H10" i="18" s="1"/>
  <c r="I9" i="4"/>
  <c r="I8" i="4" s="1"/>
  <c r="F9" i="18"/>
  <c r="H9" i="18" s="1"/>
  <c r="I15" i="4"/>
  <c r="I14" i="4"/>
  <c r="I13" i="4" s="1"/>
  <c r="I12" i="4" s="1"/>
  <c r="I90" i="4" s="1"/>
  <c r="I45" i="12"/>
  <c r="I44" i="12"/>
  <c r="I43" i="12" s="1"/>
  <c r="D11" i="14"/>
  <c r="C24" i="19"/>
  <c r="C42" i="19"/>
  <c r="M43" i="19" s="1"/>
  <c r="K90" i="4" l="1"/>
  <c r="I15" i="18"/>
  <c r="I9" i="18"/>
  <c r="I13" i="18"/>
  <c r="I14" i="18" s="1"/>
  <c r="I10" i="18"/>
  <c r="C10" i="19"/>
  <c r="D15" i="14"/>
  <c r="D14" i="13"/>
  <c r="C48" i="19"/>
  <c r="C46" i="19" s="1"/>
  <c r="C34" i="19"/>
  <c r="F25" i="19"/>
  <c r="F23" i="19" s="1"/>
  <c r="C22" i="19"/>
  <c r="E25" i="19"/>
  <c r="E23" i="19" s="1"/>
  <c r="E22" i="19" s="1"/>
  <c r="C40" i="19"/>
  <c r="K43" i="19"/>
  <c r="N43" i="19"/>
  <c r="N41" i="19" s="1"/>
  <c r="M41" i="19"/>
  <c r="L43" i="19"/>
  <c r="L41" i="19" s="1"/>
  <c r="I11" i="12"/>
  <c r="I12" i="18" l="1"/>
  <c r="I8" i="18"/>
  <c r="J8" i="18" s="1"/>
  <c r="J9" i="18" s="1"/>
  <c r="J10" i="18" s="1"/>
  <c r="J11" i="18" s="1"/>
  <c r="I11" i="18"/>
  <c r="O11" i="19"/>
  <c r="O9" i="19" s="1"/>
  <c r="H11" i="19"/>
  <c r="H9" i="19" s="1"/>
  <c r="N11" i="19"/>
  <c r="N9" i="19" s="1"/>
  <c r="M11" i="19"/>
  <c r="M9" i="19" s="1"/>
  <c r="J11" i="19"/>
  <c r="J9" i="19" s="1"/>
  <c r="K11" i="19"/>
  <c r="K9" i="19" s="1"/>
  <c r="D11" i="19"/>
  <c r="E11" i="19"/>
  <c r="E9" i="19" s="1"/>
  <c r="G11" i="19"/>
  <c r="G9" i="19" s="1"/>
  <c r="F11" i="19"/>
  <c r="F9" i="19" s="1"/>
  <c r="Q11" i="19"/>
  <c r="Q9" i="19" s="1"/>
  <c r="L11" i="19"/>
  <c r="L9" i="19" s="1"/>
  <c r="C8" i="19"/>
  <c r="C14" i="19"/>
  <c r="C12" i="19" s="1"/>
  <c r="N40" i="19"/>
  <c r="O49" i="19"/>
  <c r="O47" i="19" s="1"/>
  <c r="O52" i="19" s="1"/>
  <c r="Q49" i="19"/>
  <c r="Q47" i="19" s="1"/>
  <c r="F22" i="19"/>
  <c r="L40" i="19"/>
  <c r="M40" i="19"/>
  <c r="K41" i="19"/>
  <c r="R43" i="19"/>
  <c r="G25" i="19"/>
  <c r="C32" i="19"/>
  <c r="I32" i="19" s="1"/>
  <c r="H35" i="19"/>
  <c r="J35" i="19" s="1"/>
  <c r="J33" i="19" s="1"/>
  <c r="D7" i="13"/>
  <c r="D8" i="14"/>
  <c r="C20" i="19"/>
  <c r="I20" i="12"/>
  <c r="I42" i="12"/>
  <c r="I18" i="12"/>
  <c r="I16" i="12" s="1"/>
  <c r="I39" i="12"/>
  <c r="I30" i="12"/>
  <c r="I21" i="12"/>
  <c r="I31" i="12"/>
  <c r="I35" i="12"/>
  <c r="I41" i="12"/>
  <c r="I38" i="12"/>
  <c r="E21" i="3"/>
  <c r="E26" i="3" s="1"/>
  <c r="J12" i="18" l="1"/>
  <c r="O58" i="19"/>
  <c r="I19" i="12"/>
  <c r="I15" i="12" s="1"/>
  <c r="Q52" i="19"/>
  <c r="I37" i="12"/>
  <c r="M52" i="19"/>
  <c r="D9" i="19"/>
  <c r="R11" i="19"/>
  <c r="N52" i="19"/>
  <c r="I40" i="12"/>
  <c r="F52" i="19"/>
  <c r="I29" i="12"/>
  <c r="I28" i="12" s="1"/>
  <c r="L52" i="19"/>
  <c r="D15" i="19"/>
  <c r="D13" i="19" s="1"/>
  <c r="R49" i="19"/>
  <c r="J32" i="19"/>
  <c r="D21" i="19"/>
  <c r="E21" i="19" s="1"/>
  <c r="H33" i="19"/>
  <c r="H52" i="19" s="1"/>
  <c r="R35" i="19"/>
  <c r="R47" i="19"/>
  <c r="R25" i="19"/>
  <c r="G23" i="19"/>
  <c r="G52" i="19" s="1"/>
  <c r="K40" i="19"/>
  <c r="R40" i="19" s="1"/>
  <c r="R41" i="19"/>
  <c r="I10" i="12"/>
  <c r="I9" i="12" s="1"/>
  <c r="I8" i="12" s="1"/>
  <c r="I34" i="12"/>
  <c r="I33" i="12" s="1"/>
  <c r="I32" i="12" s="1"/>
  <c r="D9" i="14"/>
  <c r="D8" i="13"/>
  <c r="N58" i="19" l="1"/>
  <c r="M58" i="19"/>
  <c r="F58" i="19"/>
  <c r="Q58" i="19"/>
  <c r="G58" i="19"/>
  <c r="H58" i="19"/>
  <c r="L58" i="19"/>
  <c r="I36" i="12"/>
  <c r="I50" i="12" s="1"/>
  <c r="R15" i="19"/>
  <c r="G22" i="19"/>
  <c r="R22" i="19" s="1"/>
  <c r="R23" i="19"/>
  <c r="D12" i="13"/>
  <c r="C38" i="19"/>
  <c r="R21" i="19"/>
  <c r="R13" i="19"/>
  <c r="D12" i="19"/>
  <c r="R12" i="19" s="1"/>
  <c r="C18" i="19"/>
  <c r="R33" i="19"/>
  <c r="H32" i="19"/>
  <c r="R32" i="19" s="1"/>
  <c r="D13" i="13"/>
  <c r="D10" i="13"/>
  <c r="K39" i="19" l="1"/>
  <c r="K37" i="19" s="1"/>
  <c r="K52" i="19" s="1"/>
  <c r="C36" i="19"/>
  <c r="J39" i="19"/>
  <c r="C16" i="19"/>
  <c r="C52" i="19" s="1"/>
  <c r="D19" i="19"/>
  <c r="D17" i="19" s="1"/>
  <c r="D52" i="19" s="1"/>
  <c r="D10" i="14"/>
  <c r="D14" i="14"/>
  <c r="D13" i="14"/>
  <c r="D11" i="13"/>
  <c r="D12" i="14"/>
  <c r="D9" i="13"/>
  <c r="D15" i="13" s="1"/>
  <c r="D56" i="19" l="1"/>
  <c r="D58" i="19"/>
  <c r="C58" i="19"/>
  <c r="O56" i="19"/>
  <c r="L56" i="19"/>
  <c r="M56" i="19"/>
  <c r="Q56" i="19"/>
  <c r="N56" i="19"/>
  <c r="F56" i="19"/>
  <c r="G56" i="19"/>
  <c r="H56" i="19"/>
  <c r="K58" i="19"/>
  <c r="K56" i="19"/>
  <c r="O57" i="19"/>
  <c r="Q57" i="19"/>
  <c r="F57" i="19"/>
  <c r="G57" i="19"/>
  <c r="H57" i="19"/>
  <c r="K57" i="19"/>
  <c r="L57" i="19"/>
  <c r="M57" i="19"/>
  <c r="N57" i="19"/>
  <c r="D57" i="19"/>
  <c r="D16" i="14"/>
  <c r="D16" i="19"/>
  <c r="K36" i="19"/>
  <c r="E19" i="19"/>
  <c r="J37" i="19"/>
  <c r="J52" i="19" s="1"/>
  <c r="R39" i="19"/>
  <c r="J58" i="19" l="1"/>
  <c r="J59" i="19" s="1"/>
  <c r="J56" i="19"/>
  <c r="K8" i="18"/>
  <c r="J57" i="19"/>
  <c r="F59" i="19"/>
  <c r="K59" i="19"/>
  <c r="D53" i="19"/>
  <c r="D59" i="19"/>
  <c r="R19" i="19"/>
  <c r="E17" i="19"/>
  <c r="R17" i="19" s="1"/>
  <c r="R37" i="19"/>
  <c r="J36" i="19"/>
  <c r="R36" i="19" s="1"/>
  <c r="E14" i="13"/>
  <c r="E7" i="13"/>
  <c r="E11" i="13"/>
  <c r="E10" i="13"/>
  <c r="E13" i="13"/>
  <c r="E8" i="13"/>
  <c r="E9" i="13"/>
  <c r="E12" i="13"/>
  <c r="K9" i="18" l="1"/>
  <c r="E16" i="19"/>
  <c r="R16" i="19" s="1"/>
  <c r="O46" i="19"/>
  <c r="Q46" i="19"/>
  <c r="K10" i="18" l="1"/>
  <c r="R46" i="19"/>
  <c r="G13" i="18" l="1"/>
  <c r="K12" i="18" l="1"/>
  <c r="K11" i="18"/>
  <c r="R9" i="19"/>
  <c r="R52" i="19" s="1"/>
  <c r="E52" i="19"/>
  <c r="R8" i="19"/>
  <c r="E57" i="19" l="1"/>
  <c r="E56" i="19"/>
  <c r="E53" i="19"/>
  <c r="F53" i="19" s="1"/>
  <c r="G53" i="19" s="1"/>
  <c r="H53" i="19" s="1"/>
  <c r="J53" i="19" s="1"/>
  <c r="E58" i="19"/>
  <c r="E59" i="19" s="1"/>
  <c r="K53" i="19" l="1"/>
  <c r="L53" i="19" l="1"/>
  <c r="M53" i="19" l="1"/>
  <c r="N53" i="19" l="1"/>
  <c r="O53" i="19" l="1"/>
  <c r="Q53" i="19" s="1"/>
</calcChain>
</file>

<file path=xl/sharedStrings.xml><?xml version="1.0" encoding="utf-8"?>
<sst xmlns="http://schemas.openxmlformats.org/spreadsheetml/2006/main" count="1558" uniqueCount="514">
  <si>
    <t>SECRETARIA DE DESENVOLVIMENTO URBANO E HABITAÇÃO</t>
  </si>
  <si>
    <t>PERNAMBUCO</t>
  </si>
  <si>
    <t>LOCAL:</t>
  </si>
  <si>
    <t>DATA BASE:</t>
  </si>
  <si>
    <t>COMPOSIÇÃO ANALÍTICA DE BDI GERAIS</t>
  </si>
  <si>
    <t xml:space="preserve">OBJETO: </t>
  </si>
  <si>
    <t>Tipo de Obra:</t>
  </si>
  <si>
    <t>CONSTRUÇÃO DE RODOVIAS E FERROVIAS</t>
  </si>
  <si>
    <t>Faixa de BDI* (Acórdão 2622/2013 – TCU – Plenário):</t>
  </si>
  <si>
    <t>19,60% a 24,23%</t>
  </si>
  <si>
    <t>DESCRIÇÃO</t>
  </si>
  <si>
    <t>VALORES DE REFERÊNCIA - %</t>
  </si>
  <si>
    <t xml:space="preserve">BDI ADOTADO - % </t>
  </si>
  <si>
    <t>1º Quartil</t>
  </si>
  <si>
    <t>Médio</t>
  </si>
  <si>
    <t>3º Quartil</t>
  </si>
  <si>
    <t>Administração Central (AC)</t>
  </si>
  <si>
    <t>Seguro e Garantia (S+G)</t>
  </si>
  <si>
    <t xml:space="preserve">Risco (R) </t>
  </si>
  <si>
    <t>Despesas Financeiras (DF)</t>
  </si>
  <si>
    <t>Lucro (L)</t>
  </si>
  <si>
    <t>COFINS</t>
  </si>
  <si>
    <t>Conforme Legislação específica.</t>
  </si>
  <si>
    <t>PIS</t>
  </si>
  <si>
    <t>ISS</t>
  </si>
  <si>
    <t>CPRB</t>
  </si>
  <si>
    <t>Contribuição sobre a receita 3,6%</t>
  </si>
  <si>
    <t>TOTAL*</t>
  </si>
  <si>
    <t>Fonte da composição, valores de referência e fórmula do BDI:  Acórdão 2622/2013 – TCU – Plenário</t>
  </si>
  <si>
    <t>Onde:</t>
  </si>
  <si>
    <t>AC: Administração CentralDF:                                 DF:Despesas Financeiras</t>
  </si>
  <si>
    <t>S: Seguro                                                                 L: Lucro</t>
  </si>
  <si>
    <t>R: Risco                                                                    I: Impostos</t>
  </si>
  <si>
    <t>G: Garantia</t>
  </si>
  <si>
    <t>VALOR TOTAL:</t>
  </si>
  <si>
    <t>M2</t>
  </si>
  <si>
    <t>UN</t>
  </si>
  <si>
    <t>SINALIZAÇÃO VERTICAL</t>
  </si>
  <si>
    <t>M3</t>
  </si>
  <si>
    <t>M</t>
  </si>
  <si>
    <t>8.1.2.1</t>
  </si>
  <si>
    <t>8.1.2</t>
  </si>
  <si>
    <t>8.1.1.2</t>
  </si>
  <si>
    <t>8.1.1.1</t>
  </si>
  <si>
    <t>8.1.1</t>
  </si>
  <si>
    <t>8.1</t>
  </si>
  <si>
    <t>8</t>
  </si>
  <si>
    <t>7.2.2.1</t>
  </si>
  <si>
    <t>7.2.2</t>
  </si>
  <si>
    <t>7.2.1.2</t>
  </si>
  <si>
    <t>7.2.1.1</t>
  </si>
  <si>
    <t>7.2.1</t>
  </si>
  <si>
    <t>7.2</t>
  </si>
  <si>
    <t>7.1.2.1</t>
  </si>
  <si>
    <t>7.1.2</t>
  </si>
  <si>
    <t>7.1.1.2</t>
  </si>
  <si>
    <t>7.1.1.1</t>
  </si>
  <si>
    <t>7.1.1</t>
  </si>
  <si>
    <t>7.1</t>
  </si>
  <si>
    <t>7</t>
  </si>
  <si>
    <t>6.1.2.1</t>
  </si>
  <si>
    <t>6.1.2</t>
  </si>
  <si>
    <t>6.1.1.2</t>
  </si>
  <si>
    <t>6.1.1.1</t>
  </si>
  <si>
    <t>6.1.1</t>
  </si>
  <si>
    <t>6.1</t>
  </si>
  <si>
    <t>6</t>
  </si>
  <si>
    <t>5.1.2.1</t>
  </si>
  <si>
    <t>5.1.2</t>
  </si>
  <si>
    <t>5.1.1.2</t>
  </si>
  <si>
    <t>5.1.1.1</t>
  </si>
  <si>
    <t>5.1.1</t>
  </si>
  <si>
    <t>5.1</t>
  </si>
  <si>
    <t>5</t>
  </si>
  <si>
    <t>4.2.2.1</t>
  </si>
  <si>
    <t>4.2.2</t>
  </si>
  <si>
    <t>4.2.1.2</t>
  </si>
  <si>
    <t>4.2.1.1</t>
  </si>
  <si>
    <t>4.2.1</t>
  </si>
  <si>
    <t>4.2</t>
  </si>
  <si>
    <t>4.1.2.1</t>
  </si>
  <si>
    <t>4.1.2</t>
  </si>
  <si>
    <t>4.1.1.2</t>
  </si>
  <si>
    <t>4.1.1.1</t>
  </si>
  <si>
    <t>4.1.1</t>
  </si>
  <si>
    <t>4.1</t>
  </si>
  <si>
    <t>4</t>
  </si>
  <si>
    <t>3.2.2.1</t>
  </si>
  <si>
    <t>3.2.2</t>
  </si>
  <si>
    <t>3.2.1.2</t>
  </si>
  <si>
    <t>3.2.1.1</t>
  </si>
  <si>
    <t>3.2.1</t>
  </si>
  <si>
    <t>3.2</t>
  </si>
  <si>
    <t>3.1.2.1</t>
  </si>
  <si>
    <t>3.1.2</t>
  </si>
  <si>
    <t>3.1.1.2</t>
  </si>
  <si>
    <t>3.1.1.1</t>
  </si>
  <si>
    <t>3.1.1</t>
  </si>
  <si>
    <t>3.1</t>
  </si>
  <si>
    <t>3</t>
  </si>
  <si>
    <t>FORNECIMENTO E INSTALAÇÃO DE PLACA DE OBRA COM CHAPA GALVANIZADA E ESTRUTURA DE MADEIRA. AF_03/2022_PS</t>
  </si>
  <si>
    <t>2.1</t>
  </si>
  <si>
    <t>2</t>
  </si>
  <si>
    <t>1.1</t>
  </si>
  <si>
    <t>ADMINISTRAÇÃO LOCAL</t>
  </si>
  <si>
    <t>1</t>
  </si>
  <si>
    <t>Valor Total com BDI</t>
  </si>
  <si>
    <t>Valor Unitário com BDI</t>
  </si>
  <si>
    <t>Valor Unitário</t>
  </si>
  <si>
    <t>BDI</t>
  </si>
  <si>
    <t>Quantidade</t>
  </si>
  <si>
    <t>Unidade</t>
  </si>
  <si>
    <t>Etapa / Serviço</t>
  </si>
  <si>
    <t>Código</t>
  </si>
  <si>
    <t>Número</t>
  </si>
  <si>
    <t xml:space="preserve">INSTALAÇÕES DA OBRA </t>
  </si>
  <si>
    <t>PAVIMENTAÇÃO</t>
  </si>
  <si>
    <t>MUNICÍPIO:</t>
  </si>
  <si>
    <t>ESTADO:</t>
  </si>
  <si>
    <t>DATA DE ELABORAÇÃO:</t>
  </si>
  <si>
    <t>BDI(S) ADOTADO(S):</t>
  </si>
  <si>
    <t xml:space="preserve">PAVIMENTAÇÃO </t>
  </si>
  <si>
    <t xml:space="preserve">PLANILHA ORÇAMENTÁRIA </t>
  </si>
  <si>
    <t>FONTE</t>
  </si>
  <si>
    <t>UNID</t>
  </si>
  <si>
    <t>COEFICIENTE</t>
  </si>
  <si>
    <t>PREÇO UNITÁRIO</t>
  </si>
  <si>
    <t>TOTAL</t>
  </si>
  <si>
    <t>SINAPI</t>
  </si>
  <si>
    <t>QUANT</t>
  </si>
  <si>
    <t>H</t>
  </si>
  <si>
    <t>SERVENTE COM ENCARGOS COMPLEMENTARES</t>
  </si>
  <si>
    <t>UNIDADE</t>
  </si>
  <si>
    <t>QUANTIDADE</t>
  </si>
  <si>
    <t>Serviço</t>
  </si>
  <si>
    <t xml:space="preserve">COMPOSIÇÕES DE PREÇOS UNITÁRIOS </t>
  </si>
  <si>
    <r>
      <t xml:space="preserve">Impostos** </t>
    </r>
    <r>
      <rPr>
        <b/>
        <i/>
        <sz val="8"/>
        <rFont val="SansSerif"/>
        <charset val="2"/>
      </rPr>
      <t>(soma dos itens abaixo)</t>
    </r>
  </si>
  <si>
    <t>INSTALAÇÕES DA OBRA</t>
  </si>
  <si>
    <t xml:space="preserve">PLANILHA RESUMO POR RUA </t>
  </si>
  <si>
    <t>PLANILHA RESUMO</t>
  </si>
  <si>
    <t xml:space="preserve">SEM DESONERAÇÃO </t>
  </si>
  <si>
    <t>DESONERADO</t>
  </si>
  <si>
    <t>QTD</t>
  </si>
  <si>
    <t>COMPRIMENTO</t>
  </si>
  <si>
    <t>=UNIDADE</t>
  </si>
  <si>
    <t>=QUANT</t>
  </si>
  <si>
    <t>TAXA</t>
  </si>
  <si>
    <t>ÁREA</t>
  </si>
  <si>
    <t>ALTURA</t>
  </si>
  <si>
    <t>=ÁREA</t>
  </si>
  <si>
    <t>=COMPRIMENTO*TAXA</t>
  </si>
  <si>
    <t>ASSENTAMENTO DE GUIA (MEIO-FIO) EM TRECHO RETO, CONFECCIONADA EM CONCRETO PRÉ-FABRICADO, DIMENSÕES 100X15X13X30 CM (COMPRIMENTO X BASE INFERIOR X BASE SUPERIOR X ALTURA). AF_01/2024 (M)</t>
  </si>
  <si>
    <t>94273</t>
  </si>
  <si>
    <t>PAVIMENTAÇÃO DO LEITO DA RUA</t>
  </si>
  <si>
    <t>=ALTURA*COMPRIMENTO</t>
  </si>
  <si>
    <t>FORNECIMENTO E INSTALAÇÃO DE PLACA DE OBRA COM CHAPA GALVANIZADA E ESTRUTURA DE MADEIRA. AF_03/2022_PS (M2)</t>
  </si>
  <si>
    <t>2. INSTALAÇÕES DA OBRA</t>
  </si>
  <si>
    <t>1. ADMINISTRAÇÃO LOCAL</t>
  </si>
  <si>
    <t>MÉMORIA DE CÁLCULO</t>
  </si>
  <si>
    <t xml:space="preserve"> ENCARGOS SOCIAIS SOBRE A MÃO DE OBRA</t>
  </si>
  <si>
    <t>CÓDIGO</t>
  </si>
  <si>
    <t>COM DESONERAÇÃO</t>
  </si>
  <si>
    <t>SEM DESONERAÇÃO</t>
  </si>
  <si>
    <t>HORISTA        %</t>
  </si>
  <si>
    <t>MENSALISTA       %</t>
  </si>
  <si>
    <t xml:space="preserve">GRUPO A </t>
  </si>
  <si>
    <t xml:space="preserve">A1 </t>
  </si>
  <si>
    <t xml:space="preserve">INSS </t>
  </si>
  <si>
    <t xml:space="preserve">A2 </t>
  </si>
  <si>
    <t xml:space="preserve">SESI </t>
  </si>
  <si>
    <t xml:space="preserve">A3 </t>
  </si>
  <si>
    <t xml:space="preserve">SENAI </t>
  </si>
  <si>
    <t xml:space="preserve">A4 </t>
  </si>
  <si>
    <t xml:space="preserve">INCRA </t>
  </si>
  <si>
    <t xml:space="preserve">A5 </t>
  </si>
  <si>
    <t xml:space="preserve">SEBRAE </t>
  </si>
  <si>
    <t xml:space="preserve">A6 </t>
  </si>
  <si>
    <t xml:space="preserve">Salário Educação </t>
  </si>
  <si>
    <t xml:space="preserve">A7 </t>
  </si>
  <si>
    <t xml:space="preserve">Seguro Contra Acidentes Trabalho </t>
  </si>
  <si>
    <t xml:space="preserve">A8 </t>
  </si>
  <si>
    <t xml:space="preserve">FGTS </t>
  </si>
  <si>
    <t xml:space="preserve">A9 </t>
  </si>
  <si>
    <t xml:space="preserve">SECONCI </t>
  </si>
  <si>
    <t>A</t>
  </si>
  <si>
    <t>Total</t>
  </si>
  <si>
    <t xml:space="preserve">GRUPO B </t>
  </si>
  <si>
    <t xml:space="preserve">B1 </t>
  </si>
  <si>
    <t xml:space="preserve">Repouso Semanal Remunerado </t>
  </si>
  <si>
    <t>Não incide</t>
  </si>
  <si>
    <t xml:space="preserve">B2 </t>
  </si>
  <si>
    <t xml:space="preserve">Feriados </t>
  </si>
  <si>
    <t xml:space="preserve">B3 </t>
  </si>
  <si>
    <t xml:space="preserve">Auxílio-Enfermidade </t>
  </si>
  <si>
    <t xml:space="preserve">B4 </t>
  </si>
  <si>
    <t xml:space="preserve">13º Salário </t>
  </si>
  <si>
    <t xml:space="preserve">B5 </t>
  </si>
  <si>
    <t xml:space="preserve">Licença Paternidade </t>
  </si>
  <si>
    <t xml:space="preserve">B6 </t>
  </si>
  <si>
    <t xml:space="preserve">Faltas Justificadas </t>
  </si>
  <si>
    <t xml:space="preserve">B7 </t>
  </si>
  <si>
    <t xml:space="preserve">Dias de Chuvas </t>
  </si>
  <si>
    <t xml:space="preserve">B8 </t>
  </si>
  <si>
    <t xml:space="preserve">Auxilio Acidente de Trabalho </t>
  </si>
  <si>
    <t xml:space="preserve">B9 </t>
  </si>
  <si>
    <t xml:space="preserve">Férias Gozadas </t>
  </si>
  <si>
    <t xml:space="preserve">B10 </t>
  </si>
  <si>
    <t xml:space="preserve">Salário Maternidade </t>
  </si>
  <si>
    <t>B</t>
  </si>
  <si>
    <t xml:space="preserve">GRUPO C </t>
  </si>
  <si>
    <t xml:space="preserve">C1 </t>
  </si>
  <si>
    <t xml:space="preserve">Aviso Prévio Indenizado </t>
  </si>
  <si>
    <t xml:space="preserve">C2 </t>
  </si>
  <si>
    <t xml:space="preserve">Aviso Prévio Trabalhado </t>
  </si>
  <si>
    <t xml:space="preserve">C3 </t>
  </si>
  <si>
    <t xml:space="preserve">Férias Indenizadas+1/3 </t>
  </si>
  <si>
    <t xml:space="preserve">C4 </t>
  </si>
  <si>
    <t xml:space="preserve">Depósito Rescisão Sem Justa Causa </t>
  </si>
  <si>
    <t xml:space="preserve">C5 </t>
  </si>
  <si>
    <t xml:space="preserve">Indenização Adicional </t>
  </si>
  <si>
    <t>C</t>
  </si>
  <si>
    <t xml:space="preserve">GRUPO D </t>
  </si>
  <si>
    <t xml:space="preserve">D1 </t>
  </si>
  <si>
    <t xml:space="preserve">Reincidência de A sobre B </t>
  </si>
  <si>
    <t xml:space="preserve">D2 </t>
  </si>
  <si>
    <t xml:space="preserve">Reincidência de A sobre Aviso Prévio Trabalhado + Reincidência de FGTS sobre Aviso Prévio Indenizado </t>
  </si>
  <si>
    <t>D</t>
  </si>
  <si>
    <t>TOTAL(A+B+C+D)</t>
  </si>
  <si>
    <t>Valor total do Orçamento:</t>
  </si>
  <si>
    <t>CL</t>
  </si>
  <si>
    <t>ACUMUL. %</t>
  </si>
  <si>
    <t>%</t>
  </si>
  <si>
    <t>PREÇO TOTAL</t>
  </si>
  <si>
    <t>TIPO</t>
  </si>
  <si>
    <t xml:space="preserve">CURVA ABC
</t>
  </si>
  <si>
    <t>Outros:</t>
  </si>
  <si>
    <t>Total parcela</t>
  </si>
  <si>
    <t>MÊS 6</t>
  </si>
  <si>
    <t>MÊS 5</t>
  </si>
  <si>
    <t>MÊS 4</t>
  </si>
  <si>
    <t>MÊS 3</t>
  </si>
  <si>
    <t>MÊS 2</t>
  </si>
  <si>
    <t>MÊS 1</t>
  </si>
  <si>
    <t>VALOR (R$)</t>
  </si>
  <si>
    <t>ITEM</t>
  </si>
  <si>
    <t>CRONOGRAMA FÍSICO-FINANCEIRO</t>
  </si>
  <si>
    <t>DATA DA ELABORAÇÃO:</t>
  </si>
  <si>
    <t xml:space="preserve"> PAVIMENTAÇÃO EM PARALELEPÍPEDO EM DIVERSAS RUAS DO MUNICÍPIO DE JOÃO ALFREDO - PE</t>
  </si>
  <si>
    <t>JOÃO ALFREDO</t>
  </si>
  <si>
    <t>ZONA RURAL, MUNICÍPIO, JOÃO ALFREDO  - PE</t>
  </si>
  <si>
    <t>ZONA RURAL, MUNICÍPIO, JOÃO ALFREDO - PE</t>
  </si>
  <si>
    <t xml:space="preserve">SINAPI - 09/2025 - PERNAMBUCO - SEM DESONERAÇÃO </t>
  </si>
  <si>
    <t>OBRA:   PAVIMENTAÇÃO EM PARALELEPÍPEDO EM DIVERSAS RUAS DO MUNICÍPIO DE JOÃO ALFREDO - PE</t>
  </si>
  <si>
    <r>
      <rPr>
        <b/>
        <sz val="8"/>
        <rFont val="SansSerif"/>
        <charset val="2"/>
      </rPr>
      <t>BDI (S) ADOTADO(S) :</t>
    </r>
    <r>
      <rPr>
        <sz val="8"/>
        <rFont val="SansSerif"/>
        <charset val="2"/>
      </rPr>
      <t xml:space="preserve"> </t>
    </r>
    <r>
      <rPr>
        <b/>
        <sz val="8"/>
        <rFont val="SansSerif"/>
        <charset val="2"/>
      </rPr>
      <t>20,00% (SEM DESONERAÇÃO)</t>
    </r>
  </si>
  <si>
    <t>3. SÍTIO TAMANDUÁ</t>
  </si>
  <si>
    <t>3.1. RUA PROJETADA 1</t>
  </si>
  <si>
    <t>3.1.1. PAVIMENTAÇÃO</t>
  </si>
  <si>
    <t>RECRAVAS INÍCIO E FIM DO TRECHO</t>
  </si>
  <si>
    <t>RECRAVAS INÍCIO DO TRECHO</t>
  </si>
  <si>
    <t>EXECUÇÃO DE PAVIMENTO EM PARALELEPÍPEDOS, SOBRE COLCHÃO DE AREIA GROSSA DE 10 CM, REJUNTAMENTO COM ARGAMASSA TRAÇO 1:3 (CIMENTO E AREIA) - COEFICIENTES OBTIDOS NA TABELA: SINAPI 101169 (SETEMBRO/2025) RETIRAMOS O ROLO COMPACTADOR VIBRATÓRIO QUE NÃO SERÃO EXECUTADOS NO CASO</t>
  </si>
  <si>
    <t>CP02</t>
  </si>
  <si>
    <t>CP01</t>
  </si>
  <si>
    <t>ADMINISTRAÇÃO LOCAL DA OBRA - REFERÊNCIA DA TABELA: SINAPI 93572 / 93565 (SETEMBRO/2025)</t>
  </si>
  <si>
    <t>3.1.2. SINALIZAÇÃO VERTICAL</t>
  </si>
  <si>
    <t>CP03</t>
  </si>
  <si>
    <t>4. SÍTIO CAPAU</t>
  </si>
  <si>
    <t>4.1.1. PAVIMENTAÇÃO</t>
  </si>
  <si>
    <t>Meios-fios dos bordos (LE/LD) - trecho 02</t>
  </si>
  <si>
    <t>Meios-fios dos bordos (LE/LD) - trecho 03</t>
  </si>
  <si>
    <t>Meios-fios dos bordos (LE/LD) - trecho 04</t>
  </si>
  <si>
    <t>4.1.2. SINALIZAÇÃO VERTICAL</t>
  </si>
  <si>
    <t>5. SÍTIO OLHO D'AGUA CERCADO</t>
  </si>
  <si>
    <t>5.1.1. PAVIMENTAÇÃO</t>
  </si>
  <si>
    <t>5.1.2. SINALIZAÇÃO VERTICAL</t>
  </si>
  <si>
    <t>6. SÍTIO SERROTE</t>
  </si>
  <si>
    <t>6.1.1. PAVIMENTAÇÃO</t>
  </si>
  <si>
    <t>6.1.2. SINALIZAÇÃO VERTICAL</t>
  </si>
  <si>
    <t>7. POVOADO BREJINHOS</t>
  </si>
  <si>
    <t>7.1.1. PAVIMENTAÇÃO</t>
  </si>
  <si>
    <t>7.1.2. SINALIZAÇÃO VERTICAL</t>
  </si>
  <si>
    <t>8. SÍTIO CAMPOS DO BORBA</t>
  </si>
  <si>
    <t>8.1.1. PAVIMENTAÇÃO</t>
  </si>
  <si>
    <t>8.1.2. SINALIZAÇÃO VERTICAL</t>
  </si>
  <si>
    <t>PLACA DE LOGRADOURO</t>
  </si>
  <si>
    <t>INÍCIO E FINAL DA VIA</t>
  </si>
  <si>
    <t>3.2. RUA PROJETADA 2</t>
  </si>
  <si>
    <t>3.2.1. PAVIMENTAÇÃO</t>
  </si>
  <si>
    <t>3.2.2. SINALIZAÇÃO VERTICAL</t>
  </si>
  <si>
    <t xml:space="preserve">INÍCIO E FINAL DA VIA </t>
  </si>
  <si>
    <t>4.1. RUA PROJETADA 1</t>
  </si>
  <si>
    <t xml:space="preserve"> ASSENTAMENTO DO MEIO FIO</t>
  </si>
  <si>
    <t>PAVIMENTAÇÃO DO LEITO</t>
  </si>
  <si>
    <t>Meios-fios dos bordos (LE/LD)</t>
  </si>
  <si>
    <t>4.2. RUA PROJETADA 2</t>
  </si>
  <si>
    <t>4.2.1. PAVIMENTAÇÃO</t>
  </si>
  <si>
    <t>PLACA NO INÍCIO E FINAL DA VIA</t>
  </si>
  <si>
    <t>4.2.2. SINALIZAÇÃO VERTICAL</t>
  </si>
  <si>
    <t>4.3. RUA PROJETADA 3</t>
  </si>
  <si>
    <t>4.3.1. PAVIMENTAÇÃO</t>
  </si>
  <si>
    <t>4.3.1.1</t>
  </si>
  <si>
    <t>4.3.1.2</t>
  </si>
  <si>
    <t>4.3.2. SINALIZAÇÃO VERTICAL</t>
  </si>
  <si>
    <t>4.3.2.1</t>
  </si>
  <si>
    <t>4.4. RUA PROJETADA 4</t>
  </si>
  <si>
    <t>4.4.1. PAVIMENTAÇÃO</t>
  </si>
  <si>
    <t>4.4.1.1</t>
  </si>
  <si>
    <t>4.4.1.2</t>
  </si>
  <si>
    <t>4.4.2. SINALIZAÇÃO VERTICAL</t>
  </si>
  <si>
    <t>4.4.2.1</t>
  </si>
  <si>
    <t>MEIOS-FIOS DOS BORDOS (LE/LD)</t>
  </si>
  <si>
    <t>5.1. RUA PROJETADA 1</t>
  </si>
  <si>
    <t>6.1. RUA PROJETADA 1</t>
  </si>
  <si>
    <t>7.1. RUA PROJETADA 1</t>
  </si>
  <si>
    <t>7.2. RUA PROJETADA 2</t>
  </si>
  <si>
    <t>7.2.1. PAVIMENTAÇÃO</t>
  </si>
  <si>
    <t>7.2.2. SINALIZAÇÃO VERTICAL</t>
  </si>
  <si>
    <t>8.1. RUA PROJETADA 1</t>
  </si>
  <si>
    <t>8.2. RUA PROJETADA 2</t>
  </si>
  <si>
    <t>8.2.1. PAVIMENTAÇÃO</t>
  </si>
  <si>
    <t>8.2.1.1</t>
  </si>
  <si>
    <t xml:space="preserve">MEIOS-FIOS DOS BORDOS (LE/LD) </t>
  </si>
  <si>
    <t>8.2.1.2</t>
  </si>
  <si>
    <t>8.2.2. SINALIZAÇÃO VERTICAL</t>
  </si>
  <si>
    <t>8.2.2.1</t>
  </si>
  <si>
    <t>SÍTIO TAMANDUÁ</t>
  </si>
  <si>
    <t>RUA PROJETADA 1</t>
  </si>
  <si>
    <t>RUA PROJETADA 2</t>
  </si>
  <si>
    <t>SÍTIO CAPAU</t>
  </si>
  <si>
    <t>SÍTIO OLHO D'AGUA CERCADO</t>
  </si>
  <si>
    <t>SÍTIO SERROTE</t>
  </si>
  <si>
    <t>4.3</t>
  </si>
  <si>
    <t>RUA PROJETADA 3</t>
  </si>
  <si>
    <t>4.3.1</t>
  </si>
  <si>
    <t>4.3.2</t>
  </si>
  <si>
    <t>RUA PROJETADA 4</t>
  </si>
  <si>
    <t>4.4</t>
  </si>
  <si>
    <t>4.4.1</t>
  </si>
  <si>
    <t>4.4.2</t>
  </si>
  <si>
    <t xml:space="preserve">POVOADO BREJINHOS </t>
  </si>
  <si>
    <t>ok</t>
  </si>
  <si>
    <t xml:space="preserve">ok </t>
  </si>
  <si>
    <t>8.2</t>
  </si>
  <si>
    <t>8.2.1</t>
  </si>
  <si>
    <t>8.2.2</t>
  </si>
  <si>
    <t>SÍTIO CAMPOS DO BORBA</t>
  </si>
  <si>
    <t>COMPOSIÇÃO CP01 - ADMINISTRAÇÃO LOCAL DA OBRA - REFERÊNCIA DA TABELA: SINAPI 93572 / 93565 (SETEMBRO/2025)</t>
  </si>
  <si>
    <t>COMPOSIÇÃO CP02 - EXECUÇÃO DE PAVIMENTO EM PARALELEPÍPEDOS, SOBRE COLCHÃO DE AREIA GROSSA DE 10 CM, REJUNTAMENTO COM ARGAMASSA TRAÇO 1:3 (CIMENTO E AREIA) - COEFICIENTES OBTIDOS NA TABELA: SINAPI 101169 (SETEMBRO/2025) RETIRAMOS O ROLO COMPACTADOR VIBRATÓRIO QUE NÃO SERÃO EXECUTADOS NO CASO</t>
  </si>
  <si>
    <t>AREIA GROSSA - POSTO JAZIDA/FORNECEDOR (RETIRADO NA JAZIDA, SEM TRANSPORTE)</t>
  </si>
  <si>
    <t>PARALELEPIPEDO GRANITICO OU BASALTICO, PARA PAVIMENTACAO, SEM FRETE (VARIACAO REGIONAL DE PECAS POR M2)</t>
  </si>
  <si>
    <t>CALCETEIRO COM ENCARGOS COMPLEMENTARES</t>
  </si>
  <si>
    <t>ARGAMASSA TRAÇO 1:3 (EM VOLUME DE CIMENTO E AREIA MÉDIA ÚMIDA), PREPARO MECÂNICO COM BETONEIRA 400 L. AF_08/2019</t>
  </si>
  <si>
    <t>SINAPI
INSUMO</t>
  </si>
  <si>
    <t>SINAPI
COMPOSIÇÃO</t>
  </si>
  <si>
    <t>MIL</t>
  </si>
  <si>
    <t>0,1140000</t>
  </si>
  <si>
    <t>0,0330000</t>
  </si>
  <si>
    <t>0,4021000</t>
  </si>
  <si>
    <t>0,0204000</t>
  </si>
  <si>
    <t>TOTAL:</t>
  </si>
  <si>
    <t>COMPOSIÇÃO</t>
  </si>
  <si>
    <t>PAVIMENTAÇÃO EM PARALELEPÍPEDO EM DIVERSAS RUAS DO MUNICÍPIO DE JOÃO ALFREDO - PE</t>
  </si>
  <si>
    <t>POVOADO BREJINHOS</t>
  </si>
  <si>
    <t>MÊS 7</t>
  </si>
  <si>
    <t>MÊS 8</t>
  </si>
  <si>
    <t>MÊS 9</t>
  </si>
  <si>
    <t>MÊS 10</t>
  </si>
  <si>
    <t>MÊS 11</t>
  </si>
  <si>
    <t>MÊS 12</t>
  </si>
  <si>
    <t>DESCONTO PC01</t>
  </si>
  <si>
    <t>OK</t>
  </si>
  <si>
    <t>DESCONTO PC</t>
  </si>
  <si>
    <t>DESCONTO INTERSEÇÃO</t>
  </si>
  <si>
    <t>RECRAVAS FINAL DO TRECHO</t>
  </si>
  <si>
    <t>DESCONTO PC02</t>
  </si>
  <si>
    <t>Meios-fios dos bordos PC 02</t>
  </si>
  <si>
    <t>RECRAVA PC02</t>
  </si>
  <si>
    <t>MEIOS-FIOS DOS BORDOS PC01</t>
  </si>
  <si>
    <t>DESCONTO PASSAGEM MOLHADA EXISTENTE</t>
  </si>
  <si>
    <t>(*) Todas as taxas adotadas estão na faixa admissível do Acórdão 2622/2013-P do TCU.</t>
  </si>
  <si>
    <t>(**) A alíquota de ISS no Município de João Alfredo é de 5% sobre os custos de mão de obra. 
Considerou-se para todos os serviços uma proporção de 40% de mão de obra, de modo que a taxa de ISS a incidir sobre os custos unitários dos itens será de 5% x 40% = 2,00%.</t>
  </si>
  <si>
    <t>Placa em aço - película I + III - fornecimento e implantação</t>
  </si>
  <si>
    <t>SICRO NOVO</t>
  </si>
  <si>
    <t>m²</t>
  </si>
  <si>
    <t>POSTE EM AÇO TUBULAR PARA SINALIZAÇÃO, SEM LUMINARIA, H = *2,5*M, INCLUSIVE FORNECIMENTO E CHUMBAMENTO EM CONCRETO SIMPLES COM FCK 25MPA (inclusive forma para o concreto)</t>
  </si>
  <si>
    <t>PRÓPRIA</t>
  </si>
  <si>
    <t>CPU AUX - 01</t>
  </si>
  <si>
    <t>CPU AUX - 02</t>
  </si>
  <si>
    <t>00004491</t>
  </si>
  <si>
    <t>PONTALETE *7,5 X 7,5* CM EM PINUS, MISTA OU EQUIVALENTE DA REGIAO - BRUTA</t>
  </si>
  <si>
    <t>00005061</t>
  </si>
  <si>
    <t>PREGO DE ACO POLIDO COM CABECA 18 X 27 (2 1/2 X 10)</t>
  </si>
  <si>
    <t>KG</t>
  </si>
  <si>
    <t>00004512</t>
  </si>
  <si>
    <t>SARRAFO *2,5 X 5* CM EM PINUS, MISTA OU EQUIVALENTE DA REGIAO - BRUTA</t>
  </si>
  <si>
    <t>00006189</t>
  </si>
  <si>
    <t>TABUA NAO APARELHADA *2,5 X 30* CM, EM MACARANDUBA/MASSARANDUBA, ANGELIM OU EQUIVALENTE DA REGIAO - BRUTA</t>
  </si>
  <si>
    <t>88239</t>
  </si>
  <si>
    <t>AJUDANTE DE CARPINTEIRO COM ENCARGOS COMPLEMENTARES</t>
  </si>
  <si>
    <t>88262</t>
  </si>
  <si>
    <t>CARPINTEIRO DE FORMAS COM ENCARGOS COMPLEMENTARES</t>
  </si>
  <si>
    <t>VALOR:</t>
  </si>
  <si>
    <t>102482</t>
  </si>
  <si>
    <t>CONCRETO FCK = 25MPA, TRAÇO 1:2,2:2,5 (EM MASSA SECA DE CIMENTO/ AREIA MÉDIA/ SEIXO ROLADO) - PREPARO MECÂNICO COM BETONEIRA 600 L. AF_05/2021</t>
  </si>
  <si>
    <t>93358</t>
  </si>
  <si>
    <t>ESCAVAÇÃO MANUAL DE VALA. AF_09/2024</t>
  </si>
  <si>
    <t>FORMA TÁBUA PARA CONCRETO EM FUNDAÇÕES</t>
  </si>
  <si>
    <t>100619</t>
  </si>
  <si>
    <t>POSTE DECORATIVO PARA JARDIM EM AÇO TUBULAR, H = *2,5* M, SEM LUMINÁRIA - FORNECIMENTO E INSTALAÇÃO. AF_04/2025</t>
  </si>
  <si>
    <t>650,49</t>
  </si>
  <si>
    <t>88,05</t>
  </si>
  <si>
    <t>597,8</t>
  </si>
  <si>
    <t>CPU AUX - 01 - FORMA TÁBUA PARA CONCRETO EM FUNDAÇÕES (UN)</t>
  </si>
  <si>
    <t>CPU AUX - 02  - POSTE EM AÇO TUBULAR PARA SINALIZAÇÃO, SEM LUMINARIA, H = *2,5*M, INCLUSIVE FORNECIMENTO E CHUMBAMENTO EM CONCRETO SIMPLES COM FCK 25MPA (inclusive forma para o concreto) (UN)</t>
  </si>
  <si>
    <t>COMPOSIÇÃO CP03 - COLOCAÇÃO DE PLACA DE IDENTIFICAÇÃO DE RUAS, TIPO TOTEM, COMPOSTO POR TUBO DE AÇO GALVANIZADO COM DIÂMETRO 2" E H=2,50M COM 2 PLACAS EM CHAPA DE AÇO, SENDO UMA COM DIMENSÕES DE 45,00 X 20,00 CM E UMA COM DIMENSÕES DE 45,00 X 45,00 CM, REVESTIDAS COM PELÍCULA RETROREFLETIVA, INCLUÍNDO O CHUMBAMENTO DO TUBO NO SOLO COM CONCRETO SIMPLES FCK=25MPA, COM FORNECIMENTO DE MATERIAIS (UN)</t>
  </si>
  <si>
    <t>COLOCAÇÃO DE PLACA DE IDENTIFICAÇÃO DE RUAS, TIPO TOTEM, COMPOSTO POR TUBO DE AÇO GALVANIZADO COM DIÂMETRO 2" E H=2,50M COM 2 PLACAS EM CHAPA DE AÇO, SENDO UMA COM DIMENSÕES DE 45,00 X 20,00 CM E UMA COM DIMENSÕES DE 45,00 X 45,00 CM, REVESTIDAS COM PELÍCULA RETROREFLETIVA, INCLUÍNDO O CHUMBAMENTO DO TUBO NO SOLO COM CONCRETO SIMPLES FCK=25MPA, COM FORNECIMENTO DE MATERIAIS (UN)</t>
  </si>
  <si>
    <t>CPU AUX - 03</t>
  </si>
  <si>
    <t>EQUIPAMENTOS</t>
  </si>
  <si>
    <t>UTILIZAÇÃO</t>
  </si>
  <si>
    <t>CUSTO OPERACIONAL</t>
  </si>
  <si>
    <t>CUSTO HORÁRIO</t>
  </si>
  <si>
    <t>PROD</t>
  </si>
  <si>
    <t>IMPR</t>
  </si>
  <si>
    <t>E9076</t>
  </si>
  <si>
    <t>Equipamento para pintura eletrostática com cabine dupla de 7,00 kW e estufa de 80.000 kCal</t>
  </si>
  <si>
    <t>E9753</t>
  </si>
  <si>
    <t>Grupo gerador - 23 kVA</t>
  </si>
  <si>
    <t>TOTAL EQUIPAMENTOS:</t>
  </si>
  <si>
    <t>MÃO DE OBRA</t>
  </si>
  <si>
    <t>CONSUMO</t>
  </si>
  <si>
    <t>SALÁRIO HORA</t>
  </si>
  <si>
    <t>88310</t>
  </si>
  <si>
    <t>PINTOR COM ENCARGOS COMPLEMENTARES</t>
  </si>
  <si>
    <t>TOTAL MÃO DE OBRA:</t>
  </si>
  <si>
    <t>Custo Horário da Execução:</t>
  </si>
  <si>
    <t>Produção da Equipe:</t>
  </si>
  <si>
    <t>Custo Unitário da Execução:</t>
  </si>
  <si>
    <t>MATERIAIS</t>
  </si>
  <si>
    <t>VALOR UNITÁRIO</t>
  </si>
  <si>
    <t>CUSTO UNITÁRIO</t>
  </si>
  <si>
    <t>M3153</t>
  </si>
  <si>
    <t>Tinta em pó à base de resina poliéster</t>
  </si>
  <si>
    <t>kg</t>
  </si>
  <si>
    <t>TOTAL MATERIAIS:</t>
  </si>
  <si>
    <t>TRANSPORTE - TEMPO FIXO</t>
  </si>
  <si>
    <t>CODIGO</t>
  </si>
  <si>
    <t>Tinta em pó à base de resina poliéster (Caminhão carroceria com capacidade de 15 t - 188 kW)</t>
  </si>
  <si>
    <t>t</t>
  </si>
  <si>
    <t>5914655</t>
  </si>
  <si>
    <t>TRANSPORTE - TEMPO FIXO:</t>
  </si>
  <si>
    <t>MOMENTO DE TRANSPORTE</t>
  </si>
  <si>
    <t>UND</t>
  </si>
  <si>
    <t>LN</t>
  </si>
  <si>
    <t>RP</t>
  </si>
  <si>
    <t>P</t>
  </si>
  <si>
    <t>DMT</t>
  </si>
  <si>
    <t>R$</t>
  </si>
  <si>
    <t>tkm</t>
  </si>
  <si>
    <t>MOMENTO DE TRANSPORTE:</t>
  </si>
  <si>
    <t>Custo Direto Total:</t>
  </si>
  <si>
    <t>16,02</t>
  </si>
  <si>
    <t>29,1</t>
  </si>
  <si>
    <t>E9687</t>
  </si>
  <si>
    <t>Caminhão carroceria com capacidade de 5 t - 120 kW</t>
  </si>
  <si>
    <t>88278</t>
  </si>
  <si>
    <t>MONTADOR DE ESTRUTURAS METÁLICAS COM ENCARGOS COMPLEMENTARES</t>
  </si>
  <si>
    <t>88316</t>
  </si>
  <si>
    <t>SERVIÇOS</t>
  </si>
  <si>
    <t>Placa em aço nº 16 galvanizado com película retrorrefletiva tipo I + III - confecção</t>
  </si>
  <si>
    <t>TOTAL SERVIÇOS:</t>
  </si>
  <si>
    <t>CPU AUX - 05 - SV -  Placa em aço nº 16 galvanizado com película retrorrefletiva tipo I + III - confecção (m²)</t>
  </si>
  <si>
    <t>E9568</t>
  </si>
  <si>
    <t>Furadeira de impacto de 12,5 mm - 0,80 kW</t>
  </si>
  <si>
    <t>E9623</t>
  </si>
  <si>
    <t>Máquina de bancada guilhotina - 4,00 kW</t>
  </si>
  <si>
    <t>E9622</t>
  </si>
  <si>
    <t>Máquina de bancada universal para corte de chapa - 1,50 kW</t>
  </si>
  <si>
    <t>E9507</t>
  </si>
  <si>
    <t>Plotadora de recorte com computador e programa computacional</t>
  </si>
  <si>
    <t>88315</t>
  </si>
  <si>
    <t>SERRALHEIRO COM ENCARGOS COMPLEMENTARES</t>
  </si>
  <si>
    <t>M1367</t>
  </si>
  <si>
    <t>Chapa fina em aço galvanizado</t>
  </si>
  <si>
    <t>M3237</t>
  </si>
  <si>
    <t>Película retrorrefletiva tipo III</t>
  </si>
  <si>
    <t>M3235</t>
  </si>
  <si>
    <t>Película retrorrefletiva tipo I</t>
  </si>
  <si>
    <t>Pintura eletrostática a pó com tinta poliéster em chapa de aço</t>
  </si>
  <si>
    <t>Chapa fina em aço galvanizado (Caminhão carroceria com capacidade de 15 t - 188 kW)</t>
  </si>
  <si>
    <t>5914333</t>
  </si>
  <si>
    <t>Película retrorrefletiva tipo III (Caminhão carroceria com capacidade de 15 t - 188 kW)</t>
  </si>
  <si>
    <t>Película retrorrefletiva tipo I (Caminhão carroceria com capacidade de 15 t - 188 kW)</t>
  </si>
  <si>
    <t>CPU AUX - 03 - Pintura eletrostática a pó com tinta poliéster em chapa de aço (m²)</t>
  </si>
  <si>
    <t>CPU AUX - 04 - Placa em aço - película I + III - fornecimento e implantação (m²)</t>
  </si>
  <si>
    <t>CPU AUX - 05</t>
  </si>
  <si>
    <t>CPU AUX - 04</t>
  </si>
  <si>
    <t>SINAPI - 09/2025 - PERNAMBUCO - SEM DESONERAÇÃO, SICRO PE 07/2025</t>
  </si>
  <si>
    <t>ENGENHEIRO CIVIL DE OBRA JUNIOR COM ENCARGOS COMPLEMENTARES</t>
  </si>
  <si>
    <r>
      <rPr>
        <b/>
        <sz val="8"/>
        <rFont val="SansSerif"/>
        <charset val="2"/>
      </rPr>
      <t>BDI (S) ADOTADO(S) :</t>
    </r>
    <r>
      <rPr>
        <sz val="8"/>
        <rFont val="SansSerif"/>
        <charset val="2"/>
      </rPr>
      <t xml:space="preserve"> </t>
    </r>
    <r>
      <rPr>
        <b/>
        <sz val="8"/>
        <rFont val="SansSerif"/>
        <charset val="2"/>
      </rPr>
      <t>23,38% (SEM DESONERAÇÃO)</t>
    </r>
  </si>
  <si>
    <t>AJUDANTE DE PINTOR COM ENCARGOS COMPLEMENTARES</t>
  </si>
  <si>
    <t>Observações:  COPIA SICRO NOVO - PE - 2025/07 (REF: 09/2025) 5212552</t>
  </si>
  <si>
    <t>Observações:  COPIA SICRO NOVO - PE - 2025/04 COM DESONERAÇÃO (REF: 07/2025) 5213571</t>
  </si>
  <si>
    <t>Observações:  COPIA SICRO NOVO - PE - 2025/07 (REF: 09/2025) 5213417</t>
  </si>
  <si>
    <t>Obsercações: Composição espelho da SINAPI 101169.</t>
  </si>
  <si>
    <t>ENCARREGADO GERAL COM ENCARGOS COMPLEMENTARES</t>
  </si>
  <si>
    <t>Encarregado Geral: 5,5 horas x 5 dias x 4,36 semanas x 12 meses = 1.438,80 horas
Engenheiro Civil: 2 horas x 3 dias x 4,36 semanas x 12 meses = 313,92 horas</t>
  </si>
  <si>
    <t>(**) A alíquota de ISS no Município de João Alfredo é de 5%, conforme Art. 190 do Código Tributário do Município de João Alfredo.</t>
  </si>
  <si>
    <t>NECESSITA DE 1 (UMA) ADMINISTRAÇÃO LOCAL PARA O GERENCIAMENTO DA OBRA.</t>
  </si>
  <si>
    <t>PLACA DE OBRA NO PADRÃO GOVERNO DE PERNAMBUCO</t>
  </si>
  <si>
    <t>COMPLEMENTO</t>
  </si>
  <si>
    <t>DESCONTO</t>
  </si>
  <si>
    <t>Complemento</t>
  </si>
  <si>
    <t>Desconto</t>
  </si>
  <si>
    <t>BDI - ITENS GERAIS: 23,38 % SEM DESONERAÇÃO</t>
  </si>
  <si>
    <t>BDI - ITENS GERAIS: 23,38 % SEM DESONERAÇÃO - 28,44% COM DESONERAÇÃO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</si>
</sst>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R\$\ #,##0.00"/>
    <numFmt numFmtId="165" formatCode="#,##0.00000000"/>
    <numFmt numFmtId="166" formatCode="#,##0.0000"/>
    <numFmt numFmtId="167" formatCode="#,##0.00%"/>
    <numFmt numFmtId="168" formatCode="0.00000"/>
    <numFmt numFmtId="169" formatCode="\R\$\ #,##0.00000"/>
  </numFmts>
  <fonts count="56">
    <font>
      <sz val="1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SansSerif"/>
      <charset val="2"/>
    </font>
    <font>
      <b/>
      <sz val="9"/>
      <color theme="1"/>
      <name val="SansSerif"/>
      <charset val="2"/>
    </font>
    <font>
      <sz val="11"/>
      <color rgb="FF000000"/>
      <name val="Calibri"/>
      <family val="2"/>
      <charset val="1"/>
    </font>
    <font>
      <sz val="9"/>
      <color rgb="FF000000"/>
      <name val="SansSerif"/>
      <charset val="2"/>
    </font>
    <font>
      <b/>
      <sz val="9"/>
      <color rgb="FF000000"/>
      <name val="SansSerif"/>
      <charset val="2"/>
    </font>
    <font>
      <sz val="9"/>
      <name val="SansSerif"/>
      <charset val="2"/>
    </font>
    <font>
      <sz val="9"/>
      <color theme="1"/>
      <name val="Calibri"/>
      <family val="2"/>
      <scheme val="minor"/>
    </font>
    <font>
      <b/>
      <sz val="9"/>
      <color rgb="FF000000"/>
      <name val="SansSerif"/>
      <family val="2"/>
    </font>
    <font>
      <sz val="9"/>
      <color rgb="FF000000"/>
      <name val="SansSerif"/>
      <family val="2"/>
    </font>
    <font>
      <sz val="11"/>
      <color rgb="FF000000"/>
      <name val="Calibri"/>
      <family val="2"/>
      <scheme val="minor"/>
    </font>
    <font>
      <sz val="11"/>
      <name val="Calibri"/>
      <family val="2"/>
    </font>
    <font>
      <sz val="11"/>
      <color theme="1"/>
      <name val="SansSerif"/>
      <charset val="2"/>
    </font>
    <font>
      <b/>
      <sz val="7"/>
      <color rgb="FF000000"/>
      <name val="SansSerif"/>
      <charset val="2"/>
    </font>
    <font>
      <b/>
      <sz val="5"/>
      <color rgb="FF000000"/>
      <name val="SansSerif"/>
      <charset val="2"/>
    </font>
    <font>
      <sz val="6"/>
      <color rgb="FF000000"/>
      <name val="SansSerif"/>
      <charset val="2"/>
    </font>
    <font>
      <b/>
      <sz val="6"/>
      <color rgb="FF000000"/>
      <name val="SansSerif"/>
      <charset val="2"/>
    </font>
    <font>
      <sz val="6"/>
      <color theme="1"/>
      <name val="SansSerif"/>
      <charset val="2"/>
    </font>
    <font>
      <sz val="6"/>
      <name val="SansSerif"/>
      <charset val="2"/>
    </font>
    <font>
      <b/>
      <sz val="6"/>
      <color theme="1"/>
      <name val="SansSerif"/>
      <charset val="2"/>
    </font>
    <font>
      <b/>
      <sz val="6"/>
      <color rgb="FF000000"/>
      <name val="SansSerif"/>
      <family val="2"/>
    </font>
    <font>
      <sz val="6"/>
      <color rgb="FF000000"/>
      <name val="SansSerif"/>
      <family val="2"/>
    </font>
    <font>
      <b/>
      <sz val="5"/>
      <color rgb="FF000000"/>
      <name val="Arial"/>
      <family val="2"/>
    </font>
    <font>
      <sz val="8"/>
      <color theme="1"/>
      <name val="SansSerif"/>
      <charset val="2"/>
    </font>
    <font>
      <b/>
      <sz val="8"/>
      <color theme="1"/>
      <name val="SansSerif"/>
      <charset val="2"/>
    </font>
    <font>
      <sz val="8"/>
      <color rgb="FF000000"/>
      <name val="SansSerif"/>
      <charset val="2"/>
    </font>
    <font>
      <b/>
      <sz val="8"/>
      <color rgb="FF000000"/>
      <name val="SansSerif"/>
      <charset val="2"/>
    </font>
    <font>
      <sz val="8"/>
      <name val="SansSerif"/>
      <charset val="2"/>
    </font>
    <font>
      <b/>
      <sz val="8"/>
      <name val="SansSerif"/>
      <charset val="2"/>
    </font>
    <font>
      <b/>
      <i/>
      <sz val="8"/>
      <name val="SansSerif"/>
      <charset val="2"/>
    </font>
    <font>
      <i/>
      <sz val="8"/>
      <name val="SansSerif"/>
      <charset val="2"/>
    </font>
    <font>
      <b/>
      <sz val="4.5"/>
      <color rgb="FF000000"/>
      <name val="SansSerif"/>
      <family val="2"/>
    </font>
    <font>
      <b/>
      <i/>
      <sz val="9"/>
      <color rgb="FF000000"/>
      <name val="SansSerif"/>
      <family val="2"/>
    </font>
    <font>
      <sz val="8"/>
      <name val="Calibri"/>
      <family val="2"/>
    </font>
    <font>
      <sz val="10"/>
      <color rgb="FF000000"/>
      <name val="Arial2"/>
      <family val="2"/>
    </font>
    <font>
      <b/>
      <sz val="8"/>
      <color theme="1" tint="0.249977111117893"/>
      <name val="SansSerif"/>
      <charset val="2"/>
    </font>
    <font>
      <b/>
      <sz val="7"/>
      <color rgb="FF000000"/>
      <name val="Arial"/>
      <family val="2"/>
    </font>
    <font>
      <sz val="5"/>
      <color rgb="FF000000"/>
      <name val="Arial"/>
      <family val="2"/>
    </font>
    <font>
      <sz val="11"/>
      <name val="SansSerif"/>
      <charset val="2"/>
    </font>
    <font>
      <sz val="7"/>
      <color rgb="FF000000"/>
      <name val="Arial"/>
      <family val="2"/>
    </font>
    <font>
      <sz val="7"/>
      <color rgb="FF000000"/>
      <name val="SansSerif"/>
      <family val="2"/>
    </font>
    <font>
      <b/>
      <sz val="7"/>
      <color rgb="FF000000"/>
      <name val="SansSerif"/>
      <family val="2"/>
    </font>
    <font>
      <sz val="8"/>
      <color rgb="FF000000"/>
      <name val="SansSerif"/>
      <family val="2"/>
    </font>
    <font>
      <sz val="10"/>
      <name val="Arial"/>
      <family val="2"/>
    </font>
    <font>
      <b/>
      <sz val="10"/>
      <name val="Calibri"/>
      <family val="2"/>
      <scheme val="minor"/>
    </font>
    <font>
      <sz val="10"/>
      <color theme="1"/>
      <name val="Calibri"/>
      <family val="2"/>
      <scheme val="minor"/>
    </font>
    <font>
      <sz val="8"/>
      <color theme="1"/>
      <name val="Calibri"/>
      <family val="2"/>
      <scheme val="minor"/>
    </font>
    <font>
      <b/>
      <sz val="9"/>
      <color theme="1"/>
      <name val="Calibri"/>
      <family val="2"/>
      <scheme val="minor"/>
    </font>
    <font>
      <sz val="5"/>
      <color theme="1"/>
      <name val="SansSerif"/>
      <charset val="2"/>
    </font>
    <font>
      <sz val="11"/>
      <color theme="9"/>
      <name val="Calibri"/>
      <family val="2"/>
      <scheme val="minor"/>
    </font>
  </fonts>
  <fills count="18">
    <fill>
      <patternFill patternType="none"/>
    </fill>
    <fill>
      <patternFill patternType="gray125"/>
    </fill>
    <fill>
      <patternFill patternType="solid">
        <fgColor rgb="FF4F81BD"/>
        <bgColor indexed="64"/>
      </patternFill>
    </fill>
    <fill>
      <patternFill patternType="solid">
        <fgColor theme="0"/>
        <bgColor indexed="64"/>
      </patternFill>
    </fill>
    <fill>
      <patternFill patternType="solid">
        <fgColor rgb="FFFFFFFF"/>
        <bgColor rgb="FFFFFFCC"/>
      </patternFill>
    </fill>
    <fill>
      <patternFill patternType="solid">
        <fgColor theme="6" tint="0.59999389629810485"/>
        <bgColor indexed="64"/>
      </patternFill>
    </fill>
    <fill>
      <patternFill patternType="solid">
        <fgColor rgb="FFC5D9F1"/>
        <bgColor indexed="64"/>
      </patternFill>
    </fill>
    <fill>
      <patternFill patternType="solid">
        <fgColor rgb="FFFFFFFF"/>
        <bgColor rgb="FFFFFFFF"/>
      </patternFill>
    </fill>
    <fill>
      <patternFill patternType="solid">
        <fgColor theme="0" tint="-4.9989318521683403E-2"/>
        <bgColor rgb="FFFFFFCC"/>
      </patternFill>
    </fill>
    <fill>
      <patternFill patternType="solid">
        <fgColor rgb="FFCCCCCC"/>
      </patternFill>
    </fill>
    <fill>
      <patternFill patternType="solid">
        <fgColor theme="0"/>
        <bgColor rgb="FF8DB3E2"/>
      </patternFill>
    </fill>
    <fill>
      <patternFill patternType="solid">
        <fgColor rgb="FFFFFFFF"/>
      </patternFill>
    </fill>
    <fill>
      <patternFill patternType="solid">
        <fgColor rgb="FFDFDFDF"/>
      </patternFill>
    </fill>
    <fill>
      <patternFill patternType="solid">
        <fgColor rgb="FF9BC2E6"/>
        <bgColor indexed="64"/>
      </patternFill>
    </fill>
    <fill>
      <patternFill patternType="solid">
        <fgColor rgb="FFFAFFE9"/>
      </patternFill>
    </fill>
    <fill>
      <patternFill patternType="solid">
        <fgColor rgb="FFC0C0C0"/>
      </patternFill>
    </fill>
    <fill>
      <patternFill patternType="solid">
        <fgColor rgb="FFDAFEDB"/>
      </patternFill>
    </fill>
    <fill>
      <patternFill patternType="solid">
        <fgColor theme="0" tint="-0.14999847407452621"/>
        <bgColor indexed="64"/>
      </patternFill>
    </fill>
  </fills>
  <borders count="3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top style="thin">
        <color rgb="FF000000"/>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bottom/>
      <diagonal/>
    </border>
    <border>
      <left/>
      <right style="thin">
        <color rgb="FF000000"/>
      </right>
      <top/>
      <bottom/>
      <diagonal/>
    </border>
    <border>
      <left style="medium">
        <color indexed="64"/>
      </left>
      <right/>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rgb="FF000000"/>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indexed="64"/>
      </top>
      <bottom style="thin">
        <color rgb="FF000000"/>
      </bottom>
      <diagonal/>
    </border>
    <border>
      <left/>
      <right style="thin">
        <color indexed="64"/>
      </right>
      <top/>
      <bottom style="thin">
        <color rgb="FF000000"/>
      </bottom>
      <diagonal/>
    </border>
    <border>
      <left style="thin">
        <color indexed="64"/>
      </left>
      <right/>
      <top/>
      <bottom style="thin">
        <color rgb="FF000000"/>
      </bottom>
      <diagonal/>
    </border>
  </borders>
  <cellStyleXfs count="18">
    <xf numFmtId="0" fontId="0" fillId="0" borderId="0"/>
    <xf numFmtId="0" fontId="6" fillId="0" borderId="0"/>
    <xf numFmtId="0" fontId="9" fillId="0" borderId="0"/>
    <xf numFmtId="43" fontId="6" fillId="0" borderId="0" applyFont="0" applyFill="0" applyBorder="0" applyAlignment="0" applyProtection="0"/>
    <xf numFmtId="9" fontId="6" fillId="0" borderId="0" applyFont="0" applyFill="0" applyBorder="0" applyAlignment="0" applyProtection="0"/>
    <xf numFmtId="0" fontId="16" fillId="0" borderId="0"/>
    <xf numFmtId="9" fontId="17" fillId="0" borderId="0" applyFont="0" applyFill="0" applyBorder="0" applyAlignment="0" applyProtection="0"/>
    <xf numFmtId="0" fontId="5" fillId="0" borderId="0"/>
    <xf numFmtId="0" fontId="5" fillId="0" borderId="0"/>
    <xf numFmtId="0" fontId="5" fillId="0" borderId="0"/>
    <xf numFmtId="0" fontId="40" fillId="0" borderId="0"/>
    <xf numFmtId="0" fontId="5" fillId="0" borderId="0"/>
    <xf numFmtId="43" fontId="5" fillId="0" borderId="0" applyFont="0" applyFill="0" applyBorder="0" applyAlignment="0" applyProtection="0"/>
    <xf numFmtId="44" fontId="17" fillId="0" borderId="0" applyFont="0" applyFill="0" applyBorder="0" applyAlignment="0" applyProtection="0"/>
    <xf numFmtId="0" fontId="4" fillId="0" borderId="0"/>
    <xf numFmtId="0" fontId="49" fillId="0" borderId="0"/>
    <xf numFmtId="0" fontId="2" fillId="0" borderId="0"/>
    <xf numFmtId="0" fontId="2" fillId="0" borderId="0"/>
  </cellStyleXfs>
  <cellXfs count="449">
    <xf numFmtId="0" fontId="0" fillId="0" borderId="0" xfId="0" applyAlignment="1">
      <alignment horizontal="left"/>
    </xf>
    <xf numFmtId="0" fontId="6" fillId="0" borderId="0" xfId="1"/>
    <xf numFmtId="0" fontId="7" fillId="0" borderId="0" xfId="1" applyFont="1"/>
    <xf numFmtId="0" fontId="13" fillId="0" borderId="0" xfId="1" applyFont="1"/>
    <xf numFmtId="0" fontId="13" fillId="0" borderId="0" xfId="1" applyFont="1" applyAlignment="1">
      <alignment horizontal="center" vertical="center"/>
    </xf>
    <xf numFmtId="4" fontId="15" fillId="0" borderId="7" xfId="1" applyNumberFormat="1" applyFont="1" applyBorder="1" applyAlignment="1">
      <alignment horizontal="right" vertical="center" wrapText="1"/>
    </xf>
    <xf numFmtId="0" fontId="15" fillId="0" borderId="7" xfId="1" applyFont="1" applyBorder="1" applyAlignment="1">
      <alignment horizontal="center" vertical="center" wrapText="1"/>
    </xf>
    <xf numFmtId="0" fontId="15" fillId="0" borderId="7" xfId="1" applyFont="1" applyBorder="1" applyAlignment="1">
      <alignment horizontal="left" vertical="center" wrapText="1"/>
    </xf>
    <xf numFmtId="0" fontId="14" fillId="2" borderId="7" xfId="1" applyFont="1" applyFill="1" applyBorder="1" applyAlignment="1">
      <alignment horizontal="center" vertical="center" wrapText="1"/>
    </xf>
    <xf numFmtId="0" fontId="14" fillId="6" borderId="7" xfId="1" applyFont="1" applyFill="1" applyBorder="1" applyAlignment="1">
      <alignment horizontal="center" vertical="center" wrapText="1"/>
    </xf>
    <xf numFmtId="0" fontId="14" fillId="6" borderId="7" xfId="1" applyFont="1" applyFill="1" applyBorder="1" applyAlignment="1">
      <alignment horizontal="left" vertical="center" wrapText="1"/>
    </xf>
    <xf numFmtId="4" fontId="14" fillId="6" borderId="7" xfId="1" applyNumberFormat="1" applyFont="1" applyFill="1" applyBorder="1" applyAlignment="1">
      <alignment horizontal="right" vertical="center" wrapText="1"/>
    </xf>
    <xf numFmtId="4" fontId="14" fillId="6" borderId="7" xfId="1" applyNumberFormat="1" applyFont="1" applyFill="1" applyBorder="1" applyAlignment="1">
      <alignment horizontal="center" vertical="center" wrapText="1"/>
    </xf>
    <xf numFmtId="0" fontId="14" fillId="2" borderId="7" xfId="1" applyFont="1" applyFill="1" applyBorder="1" applyAlignment="1">
      <alignment horizontal="left" vertical="center" wrapText="1"/>
    </xf>
    <xf numFmtId="4" fontId="14" fillId="2" borderId="7" xfId="1" applyNumberFormat="1" applyFont="1" applyFill="1" applyBorder="1" applyAlignment="1">
      <alignment horizontal="right" vertical="center" wrapText="1"/>
    </xf>
    <xf numFmtId="4" fontId="14" fillId="2" borderId="7" xfId="1" applyNumberFormat="1" applyFont="1" applyFill="1" applyBorder="1" applyAlignment="1">
      <alignment horizontal="center" vertical="center" wrapText="1"/>
    </xf>
    <xf numFmtId="2" fontId="11" fillId="4" borderId="4" xfId="2" applyNumberFormat="1" applyFont="1" applyFill="1" applyBorder="1" applyAlignment="1">
      <alignment vertical="center" wrapText="1"/>
    </xf>
    <xf numFmtId="0" fontId="5" fillId="0" borderId="0" xfId="7"/>
    <xf numFmtId="0" fontId="18" fillId="0" borderId="0" xfId="7" applyFont="1" applyAlignment="1" applyProtection="1">
      <alignment wrapText="1"/>
      <protection locked="0"/>
    </xf>
    <xf numFmtId="0" fontId="20" fillId="9" borderId="7" xfId="7" applyFont="1" applyFill="1" applyBorder="1" applyAlignment="1">
      <alignment horizontal="center" vertical="center" wrapText="1"/>
    </xf>
    <xf numFmtId="0" fontId="21" fillId="0" borderId="7" xfId="7" applyFont="1" applyBorder="1" applyAlignment="1">
      <alignment horizontal="center" vertical="top" wrapText="1"/>
    </xf>
    <xf numFmtId="164" fontId="21" fillId="0" borderId="7" xfId="7" applyNumberFormat="1" applyFont="1" applyBorder="1" applyAlignment="1">
      <alignment horizontal="right" vertical="top" wrapText="1"/>
    </xf>
    <xf numFmtId="164" fontId="20" fillId="0" borderId="7" xfId="7" applyNumberFormat="1" applyFont="1" applyBorder="1" applyAlignment="1">
      <alignment horizontal="right" vertical="top" wrapText="1"/>
    </xf>
    <xf numFmtId="4" fontId="22" fillId="0" borderId="7" xfId="7" applyNumberFormat="1" applyFont="1" applyBorder="1" applyAlignment="1">
      <alignment horizontal="right" vertical="center" wrapText="1"/>
    </xf>
    <xf numFmtId="0" fontId="18" fillId="0" borderId="0" xfId="7" applyFont="1"/>
    <xf numFmtId="0" fontId="5" fillId="0" borderId="0" xfId="7" applyAlignment="1" applyProtection="1">
      <alignment wrapText="1"/>
      <protection locked="0"/>
    </xf>
    <xf numFmtId="0" fontId="29" fillId="4" borderId="4" xfId="2" applyFont="1" applyFill="1" applyBorder="1" applyAlignment="1">
      <alignment horizontal="left" vertical="center"/>
    </xf>
    <xf numFmtId="0" fontId="31" fillId="4" borderId="4" xfId="2" applyFont="1" applyFill="1" applyBorder="1" applyAlignment="1">
      <alignment horizontal="left" vertical="center"/>
    </xf>
    <xf numFmtId="2" fontId="32" fillId="4" borderId="4" xfId="2" applyNumberFormat="1" applyFont="1" applyFill="1" applyBorder="1" applyAlignment="1">
      <alignment horizontal="left" vertical="center" wrapText="1"/>
    </xf>
    <xf numFmtId="0" fontId="29" fillId="0" borderId="4" xfId="1" applyFont="1" applyBorder="1"/>
    <xf numFmtId="14" fontId="29" fillId="4" borderId="4" xfId="2" applyNumberFormat="1" applyFont="1" applyFill="1" applyBorder="1" applyAlignment="1">
      <alignment horizontal="left" vertical="center"/>
    </xf>
    <xf numFmtId="0" fontId="34" fillId="0" borderId="4" xfId="1" applyFont="1" applyBorder="1" applyAlignment="1">
      <alignment horizontal="right" vertical="center"/>
    </xf>
    <xf numFmtId="0" fontId="34" fillId="0" borderId="4" xfId="1" applyFont="1" applyBorder="1" applyAlignment="1">
      <alignment horizontal="right"/>
    </xf>
    <xf numFmtId="0" fontId="34" fillId="0" borderId="4" xfId="1" applyFont="1" applyBorder="1" applyAlignment="1">
      <alignment vertical="center" wrapText="1"/>
    </xf>
    <xf numFmtId="0" fontId="34" fillId="5" borderId="4" xfId="1" applyFont="1" applyFill="1" applyBorder="1" applyAlignment="1">
      <alignment horizontal="center" vertical="center" wrapText="1"/>
    </xf>
    <xf numFmtId="0" fontId="33" fillId="0" borderId="4" xfId="1" applyFont="1" applyBorder="1" applyAlignment="1">
      <alignment vertical="center" wrapText="1"/>
    </xf>
    <xf numFmtId="2" fontId="33" fillId="0" borderId="4" xfId="1" applyNumberFormat="1" applyFont="1" applyBorder="1" applyAlignment="1">
      <alignment wrapText="1"/>
    </xf>
    <xf numFmtId="0" fontId="33" fillId="0" borderId="4" xfId="1" applyFont="1" applyBorder="1" applyAlignment="1">
      <alignment wrapText="1"/>
    </xf>
    <xf numFmtId="2" fontId="33" fillId="3" borderId="4" xfId="1" applyNumberFormat="1" applyFont="1" applyFill="1" applyBorder="1" applyAlignment="1" applyProtection="1">
      <alignment wrapText="1"/>
      <protection locked="0"/>
    </xf>
    <xf numFmtId="0" fontId="34" fillId="0" borderId="4" xfId="1" applyFont="1" applyBorder="1" applyAlignment="1">
      <alignment wrapText="1"/>
    </xf>
    <xf numFmtId="2" fontId="34" fillId="3" borderId="4" xfId="1" applyNumberFormat="1" applyFont="1" applyFill="1" applyBorder="1" applyAlignment="1">
      <alignment wrapText="1"/>
    </xf>
    <xf numFmtId="43" fontId="33" fillId="0" borderId="4" xfId="3" applyFont="1" applyFill="1" applyBorder="1" applyAlignment="1">
      <alignment horizontal="right" vertical="center" wrapText="1"/>
    </xf>
    <xf numFmtId="0" fontId="33" fillId="0" borderId="4" xfId="1" applyFont="1" applyBorder="1" applyAlignment="1">
      <alignment horizontal="right" vertical="center" wrapText="1"/>
    </xf>
    <xf numFmtId="43" fontId="33" fillId="0" borderId="4" xfId="3" applyFont="1" applyFill="1" applyBorder="1" applyAlignment="1">
      <alignment horizontal="justify" vertical="center" wrapText="1"/>
    </xf>
    <xf numFmtId="10" fontId="34" fillId="5" borderId="4" xfId="4" applyNumberFormat="1" applyFont="1" applyFill="1" applyBorder="1" applyAlignment="1">
      <alignment horizontal="right" vertical="center" wrapText="1"/>
    </xf>
    <xf numFmtId="10" fontId="33" fillId="0" borderId="4" xfId="4" applyNumberFormat="1" applyFont="1" applyBorder="1" applyAlignment="1" applyProtection="1">
      <alignment wrapText="1"/>
      <protection hidden="1"/>
    </xf>
    <xf numFmtId="10" fontId="33" fillId="0" borderId="4" xfId="4" applyNumberFormat="1" applyFont="1" applyFill="1" applyBorder="1" applyAlignment="1" applyProtection="1">
      <alignment wrapText="1"/>
      <protection hidden="1"/>
    </xf>
    <xf numFmtId="2" fontId="32" fillId="4" borderId="4" xfId="2" applyNumberFormat="1" applyFont="1" applyFill="1" applyBorder="1" applyAlignment="1">
      <alignment vertical="center" wrapText="1"/>
    </xf>
    <xf numFmtId="0" fontId="14" fillId="3" borderId="7" xfId="1" applyFont="1" applyFill="1" applyBorder="1" applyAlignment="1">
      <alignment horizontal="center" vertical="center" wrapText="1"/>
    </xf>
    <xf numFmtId="0" fontId="14" fillId="3" borderId="7" xfId="1" applyFont="1" applyFill="1" applyBorder="1" applyAlignment="1">
      <alignment horizontal="left" vertical="center" wrapText="1"/>
    </xf>
    <xf numFmtId="4" fontId="14" fillId="3" borderId="7" xfId="1" applyNumberFormat="1" applyFont="1" applyFill="1" applyBorder="1" applyAlignment="1">
      <alignment horizontal="right" vertical="center" wrapText="1"/>
    </xf>
    <xf numFmtId="4" fontId="14" fillId="3" borderId="7" xfId="1" applyNumberFormat="1" applyFont="1" applyFill="1" applyBorder="1" applyAlignment="1">
      <alignment horizontal="center" vertical="center" wrapText="1"/>
    </xf>
    <xf numFmtId="0" fontId="29" fillId="0" borderId="0" xfId="7" applyFont="1"/>
    <xf numFmtId="0" fontId="11" fillId="7" borderId="0" xfId="5" applyFont="1" applyFill="1" applyAlignment="1">
      <alignment vertical="center" wrapText="1"/>
    </xf>
    <xf numFmtId="0" fontId="8" fillId="7" borderId="0" xfId="5" applyFont="1" applyFill="1" applyAlignment="1">
      <alignment vertical="center"/>
    </xf>
    <xf numFmtId="2" fontId="10" fillId="4" borderId="0" xfId="2" applyNumberFormat="1" applyFont="1" applyFill="1" applyAlignment="1">
      <alignment vertical="center" wrapText="1"/>
    </xf>
    <xf numFmtId="2" fontId="12" fillId="4" borderId="0" xfId="2" applyNumberFormat="1" applyFont="1" applyFill="1" applyAlignment="1">
      <alignment vertical="center" wrapText="1"/>
    </xf>
    <xf numFmtId="2" fontId="7" fillId="4" borderId="0" xfId="2" applyNumberFormat="1" applyFont="1" applyFill="1" applyAlignment="1">
      <alignment vertical="center" wrapText="1"/>
    </xf>
    <xf numFmtId="0" fontId="30" fillId="11" borderId="4" xfId="7" applyFont="1" applyFill="1" applyBorder="1" applyAlignment="1" applyProtection="1">
      <alignment horizontal="center" wrapText="1"/>
      <protection locked="0"/>
    </xf>
    <xf numFmtId="164" fontId="32" fillId="0" borderId="4" xfId="7" applyNumberFormat="1" applyFont="1" applyBorder="1" applyAlignment="1">
      <alignment horizontal="right" vertical="center" wrapText="1"/>
    </xf>
    <xf numFmtId="0" fontId="29" fillId="0" borderId="4" xfId="7" applyFont="1" applyBorder="1" applyAlignment="1" applyProtection="1">
      <alignment wrapText="1"/>
      <protection locked="0"/>
    </xf>
    <xf numFmtId="0" fontId="32" fillId="0" borderId="4" xfId="7" applyFont="1" applyBorder="1" applyAlignment="1">
      <alignment horizontal="right" vertical="center" wrapText="1"/>
    </xf>
    <xf numFmtId="0" fontId="29" fillId="3" borderId="0" xfId="7" applyFont="1" applyFill="1"/>
    <xf numFmtId="0" fontId="13" fillId="3" borderId="0" xfId="1" applyFont="1" applyFill="1" applyAlignment="1" applyProtection="1">
      <alignment horizontal="center" vertical="center" wrapText="1"/>
      <protection locked="0"/>
    </xf>
    <xf numFmtId="0" fontId="13" fillId="3" borderId="0" xfId="1" applyFont="1" applyFill="1" applyAlignment="1" applyProtection="1">
      <alignment wrapText="1"/>
      <protection locked="0"/>
    </xf>
    <xf numFmtId="164" fontId="14" fillId="3" borderId="7" xfId="1" applyNumberFormat="1" applyFont="1" applyFill="1" applyBorder="1" applyAlignment="1">
      <alignment horizontal="right" vertical="center" wrapText="1"/>
    </xf>
    <xf numFmtId="0" fontId="13" fillId="3" borderId="0" xfId="1" applyFont="1" applyFill="1" applyAlignment="1">
      <alignment horizontal="center" vertical="center"/>
    </xf>
    <xf numFmtId="0" fontId="13" fillId="3" borderId="0" xfId="1" applyFont="1" applyFill="1"/>
    <xf numFmtId="164" fontId="32" fillId="6" borderId="4" xfId="7" applyNumberFormat="1" applyFont="1" applyFill="1" applyBorder="1" applyAlignment="1">
      <alignment horizontal="right" vertical="center" wrapText="1"/>
    </xf>
    <xf numFmtId="10" fontId="32" fillId="6" borderId="4" xfId="6" applyNumberFormat="1" applyFont="1" applyFill="1" applyBorder="1" applyAlignment="1">
      <alignment horizontal="right" vertical="center" wrapText="1"/>
    </xf>
    <xf numFmtId="4" fontId="26" fillId="12" borderId="7" xfId="7" applyNumberFormat="1" applyFont="1" applyFill="1" applyBorder="1" applyAlignment="1">
      <alignment horizontal="right" vertical="center" wrapText="1"/>
    </xf>
    <xf numFmtId="0" fontId="5" fillId="12" borderId="7" xfId="7" applyFill="1" applyBorder="1" applyAlignment="1" applyProtection="1">
      <alignment wrapText="1"/>
      <protection locked="0"/>
    </xf>
    <xf numFmtId="0" fontId="27" fillId="12" borderId="13" xfId="7" applyFont="1" applyFill="1" applyBorder="1" applyAlignment="1">
      <alignment horizontal="left" vertical="top" wrapText="1"/>
    </xf>
    <xf numFmtId="4" fontId="26" fillId="12" borderId="10" xfId="7" applyNumberFormat="1" applyFont="1" applyFill="1" applyBorder="1" applyAlignment="1">
      <alignment horizontal="right" vertical="top" wrapText="1"/>
    </xf>
    <xf numFmtId="4" fontId="27" fillId="0" borderId="10" xfId="7" applyNumberFormat="1" applyFont="1" applyBorder="1" applyAlignment="1">
      <alignment horizontal="right" vertical="top" wrapText="1"/>
    </xf>
    <xf numFmtId="0" fontId="27" fillId="11" borderId="10" xfId="7" applyFont="1" applyFill="1" applyBorder="1" applyAlignment="1">
      <alignment horizontal="left" vertical="top" wrapText="1"/>
    </xf>
    <xf numFmtId="0" fontId="26" fillId="12" borderId="15" xfId="7" applyFont="1" applyFill="1" applyBorder="1" applyAlignment="1">
      <alignment horizontal="center" vertical="center" wrapText="1"/>
    </xf>
    <xf numFmtId="0" fontId="38" fillId="6" borderId="4" xfId="7" applyFont="1" applyFill="1" applyBorder="1" applyAlignment="1">
      <alignment horizontal="left" vertical="top" wrapText="1"/>
    </xf>
    <xf numFmtId="166" fontId="38" fillId="6" borderId="4" xfId="7" applyNumberFormat="1" applyFont="1" applyFill="1" applyBorder="1" applyAlignment="1">
      <alignment horizontal="right" vertical="top" wrapText="1"/>
    </xf>
    <xf numFmtId="0" fontId="37" fillId="12" borderId="15" xfId="7" applyFont="1" applyFill="1" applyBorder="1" applyAlignment="1">
      <alignment horizontal="center" vertical="center" wrapText="1"/>
    </xf>
    <xf numFmtId="2" fontId="22" fillId="7" borderId="4" xfId="8" applyNumberFormat="1" applyFont="1" applyFill="1" applyBorder="1" applyAlignment="1">
      <alignment vertical="center" wrapText="1"/>
    </xf>
    <xf numFmtId="2" fontId="32" fillId="7" borderId="4" xfId="8" applyNumberFormat="1" applyFont="1" applyFill="1" applyBorder="1" applyAlignment="1">
      <alignment vertical="center" wrapText="1"/>
    </xf>
    <xf numFmtId="0" fontId="5" fillId="0" borderId="0" xfId="9"/>
    <xf numFmtId="0" fontId="32" fillId="4" borderId="4" xfId="2" applyFont="1" applyFill="1" applyBorder="1" applyAlignment="1">
      <alignment horizontal="left" vertical="center"/>
    </xf>
    <xf numFmtId="0" fontId="32" fillId="4" borderId="4" xfId="2" applyFont="1" applyFill="1" applyBorder="1" applyAlignment="1">
      <alignment horizontal="left" vertical="center" wrapText="1"/>
    </xf>
    <xf numFmtId="10" fontId="34" fillId="3" borderId="4" xfId="9" applyNumberFormat="1" applyFont="1" applyFill="1" applyBorder="1" applyAlignment="1">
      <alignment horizontal="center" vertical="center" wrapText="1"/>
    </xf>
    <xf numFmtId="0" fontId="31" fillId="0" borderId="4" xfId="9" applyFont="1" applyBorder="1" applyAlignment="1">
      <alignment horizontal="center" vertical="center"/>
    </xf>
    <xf numFmtId="0" fontId="31" fillId="0" borderId="4" xfId="9" applyFont="1" applyBorder="1" applyAlignment="1">
      <alignment horizontal="left" vertical="center"/>
    </xf>
    <xf numFmtId="10" fontId="31" fillId="3" borderId="4" xfId="9" applyNumberFormat="1" applyFont="1" applyFill="1" applyBorder="1" applyAlignment="1">
      <alignment horizontal="center" vertical="center"/>
    </xf>
    <xf numFmtId="10" fontId="31" fillId="0" borderId="4" xfId="9" applyNumberFormat="1" applyFont="1" applyBorder="1" applyAlignment="1">
      <alignment horizontal="center" vertical="center"/>
    </xf>
    <xf numFmtId="0" fontId="32" fillId="0" borderId="4" xfId="9" applyFont="1" applyBorder="1" applyAlignment="1">
      <alignment horizontal="center" vertical="center"/>
    </xf>
    <xf numFmtId="10" fontId="32" fillId="3" borderId="4" xfId="9" applyNumberFormat="1" applyFont="1" applyFill="1" applyBorder="1" applyAlignment="1">
      <alignment horizontal="center" vertical="center"/>
    </xf>
    <xf numFmtId="0" fontId="29" fillId="0" borderId="4" xfId="9" applyFont="1" applyBorder="1" applyAlignment="1">
      <alignment horizontal="center"/>
    </xf>
    <xf numFmtId="10" fontId="29" fillId="0" borderId="4" xfId="9" applyNumberFormat="1" applyFont="1" applyBorder="1" applyAlignment="1">
      <alignment horizontal="center"/>
    </xf>
    <xf numFmtId="10" fontId="32" fillId="0" borderId="4" xfId="9" applyNumberFormat="1" applyFont="1" applyBorder="1" applyAlignment="1">
      <alignment horizontal="center" vertical="center"/>
    </xf>
    <xf numFmtId="0" fontId="31" fillId="3" borderId="4" xfId="9" applyFont="1" applyFill="1" applyBorder="1" applyAlignment="1">
      <alignment horizontal="center" vertical="center"/>
    </xf>
    <xf numFmtId="0" fontId="31" fillId="3" borderId="4" xfId="9" applyFont="1" applyFill="1" applyBorder="1" applyAlignment="1">
      <alignment horizontal="left" vertical="center"/>
    </xf>
    <xf numFmtId="10" fontId="29" fillId="0" borderId="4" xfId="9" applyNumberFormat="1" applyFont="1" applyBorder="1" applyAlignment="1">
      <alignment horizontal="center" vertical="center"/>
    </xf>
    <xf numFmtId="0" fontId="31" fillId="3" borderId="4" xfId="9" applyFont="1" applyFill="1" applyBorder="1" applyAlignment="1">
      <alignment horizontal="justify" vertical="center"/>
    </xf>
    <xf numFmtId="10" fontId="30" fillId="13" borderId="4" xfId="9" applyNumberFormat="1" applyFont="1" applyFill="1" applyBorder="1" applyAlignment="1">
      <alignment horizontal="center"/>
    </xf>
    <xf numFmtId="0" fontId="29" fillId="0" borderId="0" xfId="9" applyFont="1"/>
    <xf numFmtId="2" fontId="10" fillId="7" borderId="0" xfId="8" applyNumberFormat="1" applyFont="1" applyFill="1" applyAlignment="1">
      <alignment vertical="center" wrapText="1"/>
    </xf>
    <xf numFmtId="2" fontId="31" fillId="7" borderId="0" xfId="8" applyNumberFormat="1" applyFont="1" applyFill="1" applyAlignment="1">
      <alignment vertical="center" wrapText="1"/>
    </xf>
    <xf numFmtId="0" fontId="32" fillId="4" borderId="4" xfId="2" applyFont="1" applyFill="1" applyBorder="1" applyAlignment="1">
      <alignment vertical="center" wrapText="1"/>
    </xf>
    <xf numFmtId="0" fontId="31" fillId="4" borderId="4" xfId="2" applyFont="1" applyFill="1" applyBorder="1" applyAlignment="1">
      <alignment vertical="center" wrapText="1"/>
    </xf>
    <xf numFmtId="14" fontId="31" fillId="4" borderId="4" xfId="2" applyNumberFormat="1" applyFont="1" applyFill="1" applyBorder="1" applyAlignment="1">
      <alignment horizontal="left" vertical="center" wrapText="1"/>
    </xf>
    <xf numFmtId="0" fontId="11" fillId="4" borderId="4" xfId="2" applyFont="1" applyFill="1" applyBorder="1" applyAlignment="1">
      <alignment vertical="center" wrapText="1"/>
    </xf>
    <xf numFmtId="0" fontId="22" fillId="7" borderId="4" xfId="8" applyFont="1" applyFill="1" applyBorder="1" applyAlignment="1">
      <alignment vertical="center" wrapText="1"/>
    </xf>
    <xf numFmtId="0" fontId="10" fillId="0" borderId="0" xfId="7" applyFont="1" applyAlignment="1">
      <alignment horizontal="left" vertical="top" wrapText="1"/>
    </xf>
    <xf numFmtId="0" fontId="21" fillId="7" borderId="4" xfId="8" applyFont="1" applyFill="1" applyBorder="1" applyAlignment="1">
      <alignment horizontal="left" vertical="center" wrapText="1"/>
    </xf>
    <xf numFmtId="14" fontId="21" fillId="7" borderId="4" xfId="8" applyNumberFormat="1" applyFont="1" applyFill="1" applyBorder="1" applyAlignment="1">
      <alignment horizontal="left" vertical="center" wrapText="1"/>
    </xf>
    <xf numFmtId="0" fontId="20" fillId="9" borderId="7" xfId="0" applyFont="1" applyFill="1" applyBorder="1" applyAlignment="1">
      <alignment horizontal="center" vertical="center" wrapText="1"/>
    </xf>
    <xf numFmtId="0" fontId="21" fillId="0" borderId="7" xfId="0" applyFont="1" applyBorder="1" applyAlignment="1">
      <alignment horizontal="center" vertical="top" wrapText="1"/>
    </xf>
    <xf numFmtId="164" fontId="21" fillId="0" borderId="7" xfId="0" applyNumberFormat="1" applyFont="1" applyBorder="1" applyAlignment="1">
      <alignment horizontal="right" vertical="top" wrapText="1"/>
    </xf>
    <xf numFmtId="0" fontId="44" fillId="0" borderId="0" xfId="0" applyFont="1" applyAlignment="1" applyProtection="1">
      <alignment wrapText="1"/>
      <protection locked="0"/>
    </xf>
    <xf numFmtId="164" fontId="20" fillId="0" borderId="7" xfId="0" applyNumberFormat="1" applyFont="1" applyBorder="1" applyAlignment="1">
      <alignment horizontal="right" vertical="top" wrapText="1"/>
    </xf>
    <xf numFmtId="0" fontId="4" fillId="0" borderId="0" xfId="14"/>
    <xf numFmtId="0" fontId="21" fillId="16" borderId="4" xfId="14" applyFont="1" applyFill="1" applyBorder="1" applyAlignment="1">
      <alignment horizontal="center" vertical="top" wrapText="1"/>
    </xf>
    <xf numFmtId="0" fontId="21" fillId="16" borderId="4" xfId="14" applyFont="1" applyFill="1" applyBorder="1" applyAlignment="1">
      <alignment horizontal="left" vertical="top" wrapText="1"/>
    </xf>
    <xf numFmtId="164" fontId="21" fillId="16" borderId="4" xfId="14" applyNumberFormat="1" applyFont="1" applyFill="1" applyBorder="1" applyAlignment="1">
      <alignment horizontal="right" vertical="top" wrapText="1"/>
    </xf>
    <xf numFmtId="4" fontId="21" fillId="16" borderId="4" xfId="14" applyNumberFormat="1" applyFont="1" applyFill="1" applyBorder="1" applyAlignment="1">
      <alignment horizontal="center" vertical="top" wrapText="1"/>
    </xf>
    <xf numFmtId="0" fontId="21" fillId="14" borderId="4" xfId="14" applyFont="1" applyFill="1" applyBorder="1" applyAlignment="1">
      <alignment horizontal="center" vertical="top" wrapText="1"/>
    </xf>
    <xf numFmtId="0" fontId="21" fillId="14" borderId="4" xfId="14" applyFont="1" applyFill="1" applyBorder="1" applyAlignment="1">
      <alignment horizontal="left" vertical="top" wrapText="1"/>
    </xf>
    <xf numFmtId="164" fontId="21" fillId="14" borderId="4" xfId="14" applyNumberFormat="1" applyFont="1" applyFill="1" applyBorder="1" applyAlignment="1">
      <alignment horizontal="right" vertical="top" wrapText="1"/>
    </xf>
    <xf numFmtId="4" fontId="21" fillId="14" borderId="4" xfId="14" applyNumberFormat="1" applyFont="1" applyFill="1" applyBorder="1" applyAlignment="1">
      <alignment horizontal="center" vertical="top" wrapText="1"/>
    </xf>
    <xf numFmtId="0" fontId="22" fillId="15" borderId="17" xfId="14" applyFont="1" applyFill="1" applyBorder="1" applyAlignment="1">
      <alignment horizontal="center" vertical="center" wrapText="1"/>
    </xf>
    <xf numFmtId="0" fontId="22" fillId="15" borderId="17" xfId="14" applyFont="1" applyFill="1" applyBorder="1" applyAlignment="1">
      <alignment horizontal="left" vertical="center" wrapText="1"/>
    </xf>
    <xf numFmtId="0" fontId="4" fillId="3" borderId="0" xfId="14" applyFill="1" applyAlignment="1" applyProtection="1">
      <alignment wrapText="1"/>
      <protection locked="0"/>
    </xf>
    <xf numFmtId="164" fontId="42" fillId="0" borderId="7" xfId="14" applyNumberFormat="1" applyFont="1" applyBorder="1" applyAlignment="1">
      <alignment horizontal="right" vertical="center" wrapText="1"/>
    </xf>
    <xf numFmtId="0" fontId="4" fillId="0" borderId="15" xfId="14" applyBorder="1" applyAlignment="1" applyProtection="1">
      <alignment wrapText="1"/>
      <protection locked="0"/>
    </xf>
    <xf numFmtId="167" fontId="28" fillId="0" borderId="10" xfId="14" applyNumberFormat="1" applyFont="1" applyBorder="1" applyAlignment="1">
      <alignment horizontal="right" vertical="center" wrapText="1"/>
    </xf>
    <xf numFmtId="167" fontId="43" fillId="0" borderId="10" xfId="14" applyNumberFormat="1" applyFont="1" applyBorder="1" applyAlignment="1">
      <alignment horizontal="right" vertical="center" wrapText="1"/>
    </xf>
    <xf numFmtId="0" fontId="4" fillId="0" borderId="10" xfId="14" applyBorder="1" applyAlignment="1" applyProtection="1">
      <alignment wrapText="1"/>
      <protection locked="0"/>
    </xf>
    <xf numFmtId="164" fontId="45" fillId="6" borderId="7" xfId="14" applyNumberFormat="1" applyFont="1" applyFill="1" applyBorder="1" applyAlignment="1">
      <alignment horizontal="right" vertical="center" wrapText="1"/>
    </xf>
    <xf numFmtId="0" fontId="4" fillId="6" borderId="12" xfId="14" applyFill="1" applyBorder="1" applyAlignment="1" applyProtection="1">
      <alignment wrapText="1"/>
      <protection locked="0"/>
    </xf>
    <xf numFmtId="164" fontId="45" fillId="6" borderId="10" xfId="14" applyNumberFormat="1" applyFont="1" applyFill="1" applyBorder="1" applyAlignment="1">
      <alignment horizontal="right" vertical="center" wrapText="1"/>
    </xf>
    <xf numFmtId="0" fontId="4" fillId="6" borderId="8" xfId="14" applyFill="1" applyBorder="1" applyAlignment="1" applyProtection="1">
      <alignment wrapText="1"/>
      <protection locked="0"/>
    </xf>
    <xf numFmtId="2" fontId="32" fillId="4" borderId="6" xfId="2" applyNumberFormat="1" applyFont="1" applyFill="1" applyBorder="1" applyAlignment="1">
      <alignment vertical="center" wrapText="1"/>
    </xf>
    <xf numFmtId="0" fontId="4" fillId="6" borderId="9" xfId="14" applyFill="1" applyBorder="1" applyAlignment="1" applyProtection="1">
      <alignment horizontal="center" wrapText="1"/>
      <protection locked="0"/>
    </xf>
    <xf numFmtId="0" fontId="4" fillId="6" borderId="14" xfId="14" applyFill="1" applyBorder="1" applyAlignment="1" applyProtection="1">
      <alignment wrapText="1"/>
      <protection locked="0"/>
    </xf>
    <xf numFmtId="0" fontId="32" fillId="6" borderId="4" xfId="7" applyFont="1" applyFill="1" applyBorder="1" applyAlignment="1">
      <alignment horizontal="center" vertical="center" wrapText="1"/>
    </xf>
    <xf numFmtId="0" fontId="30" fillId="0" borderId="4" xfId="1" applyFont="1" applyBorder="1" applyAlignment="1">
      <alignment vertical="center" wrapText="1"/>
    </xf>
    <xf numFmtId="0" fontId="30" fillId="0" borderId="4" xfId="1" applyFont="1" applyBorder="1" applyAlignment="1">
      <alignment horizontal="left" vertical="center" wrapText="1"/>
    </xf>
    <xf numFmtId="0" fontId="30" fillId="0" borderId="4" xfId="1" applyFont="1" applyBorder="1"/>
    <xf numFmtId="0" fontId="14" fillId="2" borderId="15" xfId="1" applyFont="1" applyFill="1" applyBorder="1" applyAlignment="1">
      <alignment horizontal="center" vertical="center" wrapText="1"/>
    </xf>
    <xf numFmtId="0" fontId="48" fillId="2" borderId="15" xfId="14" applyFont="1" applyFill="1" applyBorder="1" applyAlignment="1">
      <alignment horizontal="center" vertical="center" wrapText="1"/>
    </xf>
    <xf numFmtId="0" fontId="26" fillId="0" borderId="0" xfId="7" applyFont="1" applyAlignment="1">
      <alignment horizontal="left" vertical="top" wrapText="1"/>
    </xf>
    <xf numFmtId="0" fontId="3" fillId="0" borderId="0" xfId="1" applyFont="1"/>
    <xf numFmtId="4" fontId="50" fillId="17" borderId="19" xfId="15" applyNumberFormat="1" applyFont="1" applyFill="1" applyBorder="1" applyAlignment="1">
      <alignment horizontal="center" vertical="center"/>
    </xf>
    <xf numFmtId="4" fontId="6" fillId="0" borderId="0" xfId="1" applyNumberFormat="1"/>
    <xf numFmtId="4" fontId="13" fillId="3" borderId="0" xfId="1" applyNumberFormat="1" applyFont="1" applyFill="1" applyAlignment="1" applyProtection="1">
      <alignment wrapText="1"/>
      <protection locked="0"/>
    </xf>
    <xf numFmtId="164" fontId="6" fillId="0" borderId="0" xfId="1" applyNumberFormat="1"/>
    <xf numFmtId="4" fontId="50" fillId="0" borderId="0" xfId="0" applyNumberFormat="1" applyFont="1" applyAlignment="1">
      <alignment horizontal="center" vertical="center"/>
    </xf>
    <xf numFmtId="4" fontId="5" fillId="0" borderId="0" xfId="7" applyNumberFormat="1"/>
    <xf numFmtId="164" fontId="45" fillId="0" borderId="15" xfId="14" applyNumberFormat="1" applyFont="1" applyBorder="1" applyAlignment="1">
      <alignment horizontal="right" vertical="center" wrapText="1"/>
    </xf>
    <xf numFmtId="164" fontId="45" fillId="6" borderId="11" xfId="14" applyNumberFormat="1" applyFont="1" applyFill="1" applyBorder="1" applyAlignment="1">
      <alignment vertical="center" wrapText="1"/>
    </xf>
    <xf numFmtId="44" fontId="28" fillId="0" borderId="10" xfId="13" applyFont="1" applyBorder="1" applyAlignment="1">
      <alignment horizontal="right" vertical="center" wrapText="1"/>
    </xf>
    <xf numFmtId="0" fontId="21" fillId="0" borderId="11" xfId="0" applyFont="1" applyBorder="1" applyAlignment="1">
      <alignment horizontal="center" vertical="top" wrapText="1"/>
    </xf>
    <xf numFmtId="0" fontId="20" fillId="9" borderId="13" xfId="7" applyFont="1" applyFill="1" applyBorder="1" applyAlignment="1">
      <alignment horizontal="center" vertical="center" wrapText="1"/>
    </xf>
    <xf numFmtId="0" fontId="5" fillId="0" borderId="0" xfId="7" applyAlignment="1">
      <alignment horizontal="center"/>
    </xf>
    <xf numFmtId="0" fontId="51" fillId="0" borderId="26" xfId="0" applyFont="1" applyBorder="1" applyAlignment="1" applyProtection="1">
      <alignment wrapText="1"/>
      <protection locked="0"/>
    </xf>
    <xf numFmtId="0" fontId="51" fillId="0" borderId="0" xfId="0" applyFont="1" applyAlignment="1" applyProtection="1">
      <alignment wrapText="1"/>
      <protection locked="0"/>
    </xf>
    <xf numFmtId="0" fontId="21" fillId="0" borderId="0" xfId="0" applyFont="1" applyAlignment="1">
      <alignment horizontal="center" vertical="top" wrapText="1"/>
    </xf>
    <xf numFmtId="165" fontId="21" fillId="0" borderId="13" xfId="0" applyNumberFormat="1" applyFont="1" applyBorder="1" applyAlignment="1">
      <alignment vertical="top" wrapText="1"/>
    </xf>
    <xf numFmtId="0" fontId="20" fillId="9" borderId="10" xfId="7" applyFont="1" applyFill="1" applyBorder="1" applyAlignment="1">
      <alignment horizontal="center" vertical="center" wrapText="1"/>
    </xf>
    <xf numFmtId="0" fontId="20" fillId="9" borderId="3" xfId="7" applyFont="1" applyFill="1" applyBorder="1" applyAlignment="1">
      <alignment horizontal="center" vertical="center" wrapText="1"/>
    </xf>
    <xf numFmtId="0" fontId="21" fillId="0" borderId="14" xfId="0" applyFont="1" applyBorder="1" applyAlignment="1">
      <alignment horizontal="center" vertical="top" wrapText="1"/>
    </xf>
    <xf numFmtId="0" fontId="21" fillId="0" borderId="16" xfId="0" applyFont="1" applyBorder="1" applyAlignment="1">
      <alignment horizontal="center" vertical="top" wrapText="1"/>
    </xf>
    <xf numFmtId="0" fontId="20" fillId="9" borderId="4" xfId="7" applyFont="1" applyFill="1" applyBorder="1" applyAlignment="1">
      <alignment horizontal="center" vertical="center" wrapText="1"/>
    </xf>
    <xf numFmtId="0" fontId="21" fillId="0" borderId="3" xfId="0" applyFont="1" applyBorder="1" applyAlignment="1">
      <alignment vertical="top" wrapText="1"/>
    </xf>
    <xf numFmtId="0" fontId="20" fillId="0" borderId="0" xfId="0" applyFont="1" applyAlignment="1">
      <alignment horizontal="right" vertical="top" wrapText="1"/>
    </xf>
    <xf numFmtId="164" fontId="20" fillId="0" borderId="0" xfId="0" applyNumberFormat="1" applyFont="1" applyAlignment="1">
      <alignment horizontal="right" vertical="top" wrapText="1"/>
    </xf>
    <xf numFmtId="10" fontId="4" fillId="0" borderId="0" xfId="6" applyNumberFormat="1" applyFont="1"/>
    <xf numFmtId="10" fontId="4" fillId="0" borderId="0" xfId="14" applyNumberFormat="1"/>
    <xf numFmtId="4" fontId="51" fillId="0" borderId="0" xfId="1" applyNumberFormat="1" applyFont="1"/>
    <xf numFmtId="2" fontId="20" fillId="0" borderId="7" xfId="0" applyNumberFormat="1" applyFont="1" applyBorder="1" applyAlignment="1">
      <alignment horizontal="right" vertical="top" wrapText="1"/>
    </xf>
    <xf numFmtId="44" fontId="52" fillId="0" borderId="0" xfId="13" applyFont="1"/>
    <xf numFmtId="44" fontId="53" fillId="0" borderId="0" xfId="13" applyFont="1"/>
    <xf numFmtId="44" fontId="52" fillId="0" borderId="0" xfId="13" applyFont="1" applyAlignment="1">
      <alignment vertical="top"/>
    </xf>
    <xf numFmtId="0" fontId="21" fillId="0" borderId="10" xfId="7" applyFont="1" applyBorder="1" applyAlignment="1">
      <alignment horizontal="center" vertical="top" wrapText="1"/>
    </xf>
    <xf numFmtId="0" fontId="52" fillId="0" borderId="0" xfId="14" applyFont="1"/>
    <xf numFmtId="4" fontId="52" fillId="0" borderId="0" xfId="14" applyNumberFormat="1" applyFont="1"/>
    <xf numFmtId="10" fontId="52" fillId="0" borderId="0" xfId="6" applyNumberFormat="1" applyFont="1" applyAlignment="1">
      <alignment horizontal="center"/>
    </xf>
    <xf numFmtId="0" fontId="55" fillId="0" borderId="0" xfId="7" applyFont="1"/>
    <xf numFmtId="0" fontId="1" fillId="0" borderId="0" xfId="7" quotePrefix="1" applyFont="1"/>
    <xf numFmtId="0" fontId="13" fillId="0" borderId="0" xfId="7" applyFont="1"/>
    <xf numFmtId="4" fontId="15" fillId="0" borderId="7" xfId="1" applyNumberFormat="1" applyFont="1" applyBorder="1" applyAlignment="1">
      <alignment horizontal="center" vertical="center" wrapText="1"/>
    </xf>
    <xf numFmtId="165" fontId="21" fillId="0" borderId="27" xfId="0" applyNumberFormat="1" applyFont="1" applyBorder="1" applyAlignment="1">
      <alignment vertical="top" wrapText="1"/>
    </xf>
    <xf numFmtId="165" fontId="21" fillId="0" borderId="28" xfId="0" applyNumberFormat="1" applyFont="1" applyBorder="1" applyAlignment="1">
      <alignment vertical="top" wrapText="1"/>
    </xf>
    <xf numFmtId="168" fontId="21" fillId="0" borderId="14" xfId="0" applyNumberFormat="1" applyFont="1" applyBorder="1" applyAlignment="1">
      <alignment horizontal="center" vertical="top" wrapText="1"/>
    </xf>
    <xf numFmtId="4" fontId="21" fillId="16" borderId="4" xfId="14" applyNumberFormat="1" applyFont="1" applyFill="1" applyBorder="1" applyAlignment="1">
      <alignment horizontal="right" vertical="top" wrapText="1"/>
    </xf>
    <xf numFmtId="4" fontId="21" fillId="14" borderId="4" xfId="14" applyNumberFormat="1" applyFont="1" applyFill="1" applyBorder="1" applyAlignment="1">
      <alignment horizontal="right" vertical="top" wrapText="1"/>
    </xf>
    <xf numFmtId="164" fontId="34" fillId="6" borderId="4" xfId="17" applyNumberFormat="1" applyFont="1" applyFill="1" applyBorder="1" applyAlignment="1">
      <alignment horizontal="right" vertical="center" wrapText="1"/>
    </xf>
    <xf numFmtId="164" fontId="34" fillId="0" borderId="4" xfId="17" applyNumberFormat="1" applyFont="1" applyBorder="1" applyAlignment="1">
      <alignment horizontal="right" vertical="center" wrapText="1"/>
    </xf>
    <xf numFmtId="4" fontId="4" fillId="0" borderId="0" xfId="14" applyNumberFormat="1"/>
    <xf numFmtId="2" fontId="33" fillId="4" borderId="4" xfId="2" applyNumberFormat="1" applyFont="1" applyFill="1" applyBorder="1" applyAlignment="1">
      <alignment horizontal="left" vertical="center" wrapText="1"/>
    </xf>
    <xf numFmtId="0" fontId="29" fillId="7" borderId="4" xfId="5" applyFont="1" applyFill="1" applyBorder="1" applyAlignment="1">
      <alignment horizontal="center"/>
    </xf>
    <xf numFmtId="0" fontId="30" fillId="7" borderId="4" xfId="5" applyFont="1" applyFill="1" applyBorder="1" applyAlignment="1">
      <alignment horizontal="center" vertical="center"/>
    </xf>
    <xf numFmtId="0" fontId="32" fillId="7" borderId="4" xfId="5" applyFont="1" applyFill="1" applyBorder="1" applyAlignment="1">
      <alignment horizontal="center" vertical="center" wrapText="1"/>
    </xf>
    <xf numFmtId="2" fontId="31" fillId="4" borderId="4" xfId="2" applyNumberFormat="1" applyFont="1" applyFill="1" applyBorder="1" applyAlignment="1">
      <alignment horizontal="left" vertical="center" wrapText="1"/>
    </xf>
    <xf numFmtId="0" fontId="29" fillId="3" borderId="0" xfId="7" applyFont="1" applyFill="1" applyAlignment="1">
      <alignment horizontal="center"/>
    </xf>
    <xf numFmtId="0" fontId="30" fillId="11" borderId="4" xfId="7" applyFont="1" applyFill="1" applyBorder="1" applyAlignment="1" applyProtection="1">
      <alignment horizontal="center" wrapText="1"/>
      <protection locked="0"/>
    </xf>
    <xf numFmtId="0" fontId="32" fillId="6" borderId="4" xfId="7" applyFont="1" applyFill="1" applyBorder="1" applyAlignment="1">
      <alignment horizontal="left" vertical="center" wrapText="1"/>
    </xf>
    <xf numFmtId="0" fontId="30" fillId="11" borderId="1" xfId="7" applyFont="1" applyFill="1" applyBorder="1" applyAlignment="1" applyProtection="1">
      <alignment horizontal="center" wrapText="1"/>
      <protection locked="0"/>
    </xf>
    <xf numFmtId="0" fontId="30" fillId="11" borderId="3" xfId="7" applyFont="1" applyFill="1" applyBorder="1" applyAlignment="1" applyProtection="1">
      <alignment horizontal="center" wrapText="1"/>
      <protection locked="0"/>
    </xf>
    <xf numFmtId="0" fontId="30" fillId="11" borderId="2" xfId="7" applyFont="1" applyFill="1" applyBorder="1" applyAlignment="1" applyProtection="1">
      <alignment horizontal="center" wrapText="1"/>
      <protection locked="0"/>
    </xf>
    <xf numFmtId="2" fontId="29" fillId="4" borderId="4" xfId="2" applyNumberFormat="1" applyFont="1" applyFill="1" applyBorder="1" applyAlignment="1">
      <alignment horizontal="left" vertical="center" wrapText="1"/>
    </xf>
    <xf numFmtId="0" fontId="10" fillId="4" borderId="1" xfId="2" applyFont="1" applyFill="1" applyBorder="1" applyAlignment="1">
      <alignment horizontal="left" vertical="center" wrapText="1"/>
    </xf>
    <xf numFmtId="0" fontId="10" fillId="4" borderId="3" xfId="2" applyFont="1" applyFill="1" applyBorder="1" applyAlignment="1">
      <alignment horizontal="left" vertical="center" wrapText="1"/>
    </xf>
    <xf numFmtId="0" fontId="10" fillId="4" borderId="2" xfId="2" applyFont="1" applyFill="1" applyBorder="1" applyAlignment="1">
      <alignment horizontal="left" vertical="center" wrapText="1"/>
    </xf>
    <xf numFmtId="2" fontId="12" fillId="4" borderId="1" xfId="2" applyNumberFormat="1" applyFont="1" applyFill="1" applyBorder="1" applyAlignment="1">
      <alignment horizontal="left" vertical="center" wrapText="1"/>
    </xf>
    <xf numFmtId="2" fontId="12" fillId="4" borderId="3" xfId="2" applyNumberFormat="1" applyFont="1" applyFill="1" applyBorder="1" applyAlignment="1">
      <alignment horizontal="left" vertical="center" wrapText="1"/>
    </xf>
    <xf numFmtId="2" fontId="12" fillId="4" borderId="2" xfId="2" applyNumberFormat="1" applyFont="1" applyFill="1" applyBorder="1" applyAlignment="1">
      <alignment horizontal="left" vertical="center" wrapText="1"/>
    </xf>
    <xf numFmtId="0" fontId="7" fillId="7" borderId="4" xfId="5" applyFont="1" applyFill="1" applyBorder="1"/>
    <xf numFmtId="0" fontId="12" fillId="0" borderId="4" xfId="5" applyFont="1" applyBorder="1"/>
    <xf numFmtId="0" fontId="8" fillId="7" borderId="4" xfId="5" applyFont="1" applyFill="1" applyBorder="1" applyAlignment="1">
      <alignment horizontal="center" vertical="center"/>
    </xf>
    <xf numFmtId="0" fontId="11" fillId="7" borderId="4" xfId="5" applyFont="1" applyFill="1" applyBorder="1" applyAlignment="1">
      <alignment horizontal="center" vertical="center" wrapText="1"/>
    </xf>
    <xf numFmtId="2" fontId="10" fillId="4" borderId="1" xfId="2" applyNumberFormat="1" applyFont="1" applyFill="1" applyBorder="1" applyAlignment="1">
      <alignment horizontal="left" vertical="center" wrapText="1"/>
    </xf>
    <xf numFmtId="2" fontId="10" fillId="4" borderId="3" xfId="2" applyNumberFormat="1" applyFont="1" applyFill="1" applyBorder="1" applyAlignment="1">
      <alignment horizontal="left" vertical="center" wrapText="1"/>
    </xf>
    <xf numFmtId="2" fontId="10" fillId="4" borderId="2" xfId="2" applyNumberFormat="1" applyFont="1" applyFill="1" applyBorder="1" applyAlignment="1">
      <alignment horizontal="left" vertical="center" wrapText="1"/>
    </xf>
    <xf numFmtId="14" fontId="10" fillId="4" borderId="1" xfId="2" applyNumberFormat="1" applyFont="1" applyFill="1" applyBorder="1" applyAlignment="1">
      <alignment horizontal="left" vertical="center" wrapText="1"/>
    </xf>
    <xf numFmtId="14" fontId="10" fillId="4" borderId="3" xfId="2" applyNumberFormat="1" applyFont="1" applyFill="1" applyBorder="1" applyAlignment="1">
      <alignment horizontal="left" vertical="center" wrapText="1"/>
    </xf>
    <xf numFmtId="14" fontId="10" fillId="4" borderId="2" xfId="2" applyNumberFormat="1" applyFont="1" applyFill="1" applyBorder="1" applyAlignment="1">
      <alignment horizontal="left" vertical="center" wrapText="1"/>
    </xf>
    <xf numFmtId="2" fontId="29" fillId="4" borderId="1" xfId="2" applyNumberFormat="1" applyFont="1" applyFill="1" applyBorder="1" applyAlignment="1">
      <alignment horizontal="center" vertical="center" wrapText="1"/>
    </xf>
    <xf numFmtId="2" fontId="29" fillId="4" borderId="3" xfId="2" applyNumberFormat="1" applyFont="1" applyFill="1" applyBorder="1" applyAlignment="1">
      <alignment horizontal="center" vertical="center" wrapText="1"/>
    </xf>
    <xf numFmtId="2" fontId="29" fillId="4" borderId="2" xfId="2" applyNumberFormat="1" applyFont="1" applyFill="1" applyBorder="1" applyAlignment="1">
      <alignment horizontal="center" vertical="center" wrapText="1"/>
    </xf>
    <xf numFmtId="0" fontId="11" fillId="8" borderId="1" xfId="2" applyFont="1" applyFill="1" applyBorder="1" applyAlignment="1">
      <alignment horizontal="center" vertical="center" wrapText="1"/>
    </xf>
    <xf numFmtId="0" fontId="11" fillId="8" borderId="3" xfId="2" applyFont="1" applyFill="1" applyBorder="1" applyAlignment="1">
      <alignment horizontal="center" vertical="center" wrapText="1"/>
    </xf>
    <xf numFmtId="0" fontId="11" fillId="8" borderId="2" xfId="2" applyFont="1" applyFill="1" applyBorder="1" applyAlignment="1">
      <alignment horizontal="center" vertical="center" wrapText="1"/>
    </xf>
    <xf numFmtId="0" fontId="14" fillId="3" borderId="7" xfId="1" applyFont="1" applyFill="1" applyBorder="1" applyAlignment="1">
      <alignment horizontal="right" vertical="center" wrapText="1"/>
    </xf>
    <xf numFmtId="0" fontId="13" fillId="3" borderId="0" xfId="1" applyFont="1" applyFill="1" applyAlignment="1">
      <alignment horizontal="center" vertical="center"/>
    </xf>
    <xf numFmtId="0" fontId="13" fillId="0" borderId="0" xfId="1" applyFont="1" applyAlignment="1">
      <alignment horizontal="center" vertical="center"/>
    </xf>
    <xf numFmtId="2" fontId="7" fillId="4" borderId="1" xfId="2" applyNumberFormat="1" applyFont="1" applyFill="1" applyBorder="1" applyAlignment="1">
      <alignment horizontal="left" vertical="center" wrapText="1"/>
    </xf>
    <xf numFmtId="2" fontId="7" fillId="4" borderId="3" xfId="2" applyNumberFormat="1" applyFont="1" applyFill="1" applyBorder="1" applyAlignment="1">
      <alignment horizontal="left" vertical="center" wrapText="1"/>
    </xf>
    <xf numFmtId="2" fontId="7" fillId="4" borderId="2" xfId="2" applyNumberFormat="1" applyFont="1" applyFill="1" applyBorder="1" applyAlignment="1">
      <alignment horizontal="left" vertical="center" wrapText="1"/>
    </xf>
    <xf numFmtId="164" fontId="21" fillId="0" borderId="11" xfId="0" applyNumberFormat="1" applyFont="1" applyBorder="1" applyAlignment="1">
      <alignment horizontal="center" vertical="top" wrapText="1"/>
    </xf>
    <xf numFmtId="164" fontId="21" fillId="0" borderId="13" xfId="0" applyNumberFormat="1" applyFont="1" applyBorder="1" applyAlignment="1">
      <alignment horizontal="center" vertical="top" wrapText="1"/>
    </xf>
    <xf numFmtId="0" fontId="20" fillId="0" borderId="7" xfId="0" applyFont="1" applyBorder="1" applyAlignment="1">
      <alignment horizontal="right" vertical="top" wrapText="1"/>
    </xf>
    <xf numFmtId="0" fontId="19" fillId="2" borderId="7" xfId="0" applyFont="1" applyFill="1" applyBorder="1" applyAlignment="1">
      <alignment horizontal="left" vertical="center" wrapText="1"/>
    </xf>
    <xf numFmtId="0" fontId="21" fillId="0" borderId="11" xfId="0" applyFont="1" applyBorder="1" applyAlignment="1">
      <alignment horizontal="center" vertical="top" wrapText="1"/>
    </xf>
    <xf numFmtId="0" fontId="21" fillId="0" borderId="13" xfId="0" applyFont="1" applyBorder="1" applyAlignment="1">
      <alignment horizontal="center" vertical="top" wrapText="1"/>
    </xf>
    <xf numFmtId="0" fontId="21" fillId="0" borderId="21" xfId="0" applyFont="1" applyBorder="1" applyAlignment="1">
      <alignment horizontal="center" vertical="top" wrapText="1"/>
    </xf>
    <xf numFmtId="0" fontId="20" fillId="9" borderId="11" xfId="7" applyFont="1" applyFill="1" applyBorder="1" applyAlignment="1">
      <alignment horizontal="center" vertical="center" wrapText="1"/>
    </xf>
    <xf numFmtId="0" fontId="20" fillId="9" borderId="13" xfId="7" applyFont="1" applyFill="1" applyBorder="1" applyAlignment="1">
      <alignment horizontal="center" vertical="center" wrapText="1"/>
    </xf>
    <xf numFmtId="165" fontId="21" fillId="0" borderId="11" xfId="0" applyNumberFormat="1" applyFont="1" applyBorder="1" applyAlignment="1">
      <alignment horizontal="center" vertical="top" wrapText="1"/>
    </xf>
    <xf numFmtId="165" fontId="21" fillId="0" borderId="13" xfId="0" applyNumberFormat="1" applyFont="1" applyBorder="1" applyAlignment="1">
      <alignment horizontal="center" vertical="top" wrapText="1"/>
    </xf>
    <xf numFmtId="0" fontId="21" fillId="0" borderId="11" xfId="0" applyFont="1" applyBorder="1" applyAlignment="1">
      <alignment horizontal="left" vertical="center" wrapText="1"/>
    </xf>
    <xf numFmtId="0" fontId="21" fillId="0" borderId="21" xfId="0" applyFont="1" applyBorder="1" applyAlignment="1">
      <alignment horizontal="left" vertical="center" wrapText="1"/>
    </xf>
    <xf numFmtId="0" fontId="21" fillId="0" borderId="13" xfId="0" applyFont="1" applyBorder="1" applyAlignment="1">
      <alignment horizontal="left" vertical="center" wrapText="1"/>
    </xf>
    <xf numFmtId="0" fontId="20" fillId="9" borderId="7" xfId="7" applyFont="1" applyFill="1" applyBorder="1" applyAlignment="1">
      <alignment horizontal="center" vertical="center" wrapText="1"/>
    </xf>
    <xf numFmtId="0" fontId="21" fillId="0" borderId="7" xfId="0" applyFont="1" applyBorder="1" applyAlignment="1">
      <alignment horizontal="center" vertical="top" wrapText="1"/>
    </xf>
    <xf numFmtId="0" fontId="21" fillId="0" borderId="7" xfId="0" applyFont="1" applyBorder="1" applyAlignment="1">
      <alignment horizontal="justify" vertical="top" wrapText="1"/>
    </xf>
    <xf numFmtId="165" fontId="21" fillId="0" borderId="7" xfId="0" applyNumberFormat="1" applyFont="1" applyBorder="1" applyAlignment="1">
      <alignment horizontal="right" vertical="top" wrapText="1"/>
    </xf>
    <xf numFmtId="164" fontId="21" fillId="0" borderId="7" xfId="0" applyNumberFormat="1" applyFont="1" applyBorder="1" applyAlignment="1">
      <alignment horizontal="right" vertical="top" wrapText="1"/>
    </xf>
    <xf numFmtId="0" fontId="21" fillId="0" borderId="7" xfId="7" applyFont="1" applyBorder="1" applyAlignment="1">
      <alignment horizontal="justify" vertical="top" wrapText="1"/>
    </xf>
    <xf numFmtId="165" fontId="21" fillId="0" borderId="7" xfId="7" applyNumberFormat="1" applyFont="1" applyBorder="1" applyAlignment="1">
      <alignment horizontal="right" vertical="top" wrapText="1"/>
    </xf>
    <xf numFmtId="164" fontId="21" fillId="0" borderId="7" xfId="7" applyNumberFormat="1" applyFont="1" applyBorder="1" applyAlignment="1">
      <alignment horizontal="right" vertical="top" wrapText="1"/>
    </xf>
    <xf numFmtId="0" fontId="21" fillId="0" borderId="10" xfId="7" applyFont="1" applyBorder="1" applyAlignment="1">
      <alignment horizontal="justify" vertical="top" wrapText="1"/>
    </xf>
    <xf numFmtId="0" fontId="21" fillId="0" borderId="10" xfId="0" applyFont="1" applyBorder="1" applyAlignment="1">
      <alignment horizontal="center" vertical="top" wrapText="1"/>
    </xf>
    <xf numFmtId="0" fontId="20" fillId="9" borderId="7" xfId="0" applyFont="1" applyFill="1" applyBorder="1" applyAlignment="1">
      <alignment horizontal="center" vertical="center" wrapText="1"/>
    </xf>
    <xf numFmtId="0" fontId="18" fillId="0" borderId="0" xfId="7" applyFont="1" applyAlignment="1">
      <alignment horizontal="center"/>
    </xf>
    <xf numFmtId="0" fontId="22" fillId="7" borderId="4" xfId="8" applyFont="1" applyFill="1" applyBorder="1" applyAlignment="1">
      <alignment horizontal="left" vertical="center" wrapText="1"/>
    </xf>
    <xf numFmtId="0" fontId="24" fillId="0" borderId="4" xfId="8" applyFont="1" applyBorder="1"/>
    <xf numFmtId="0" fontId="21" fillId="7" borderId="4" xfId="8" applyFont="1" applyFill="1" applyBorder="1" applyAlignment="1">
      <alignment horizontal="left" vertical="center" wrapText="1"/>
    </xf>
    <xf numFmtId="2" fontId="21" fillId="7" borderId="4" xfId="8" applyNumberFormat="1" applyFont="1" applyFill="1" applyBorder="1" applyAlignment="1">
      <alignment horizontal="left" vertical="center" wrapText="1"/>
    </xf>
    <xf numFmtId="0" fontId="24" fillId="0" borderId="4" xfId="8" applyFont="1" applyBorder="1" applyAlignment="1">
      <alignment horizontal="left"/>
    </xf>
    <xf numFmtId="14" fontId="21" fillId="7" borderId="4" xfId="8" applyNumberFormat="1" applyFont="1" applyFill="1" applyBorder="1" applyAlignment="1">
      <alignment horizontal="left" vertical="center" wrapText="1"/>
    </xf>
    <xf numFmtId="0" fontId="10" fillId="0" borderId="0" xfId="7" applyFont="1" applyAlignment="1">
      <alignment horizontal="left" vertical="top" wrapText="1"/>
    </xf>
    <xf numFmtId="0" fontId="20" fillId="0" borderId="13" xfId="7" applyFont="1" applyBorder="1" applyAlignment="1">
      <alignment horizontal="right" vertical="top" wrapText="1"/>
    </xf>
    <xf numFmtId="0" fontId="20" fillId="0" borderId="7" xfId="7" applyFont="1" applyBorder="1" applyAlignment="1">
      <alignment horizontal="right" vertical="top" wrapText="1"/>
    </xf>
    <xf numFmtId="0" fontId="54" fillId="0" borderId="1" xfId="7" applyFont="1" applyBorder="1" applyAlignment="1" applyProtection="1">
      <alignment horizontal="left" vertical="top" wrapText="1"/>
      <protection locked="0"/>
    </xf>
    <xf numFmtId="0" fontId="54" fillId="0" borderId="3" xfId="7" applyFont="1" applyBorder="1" applyAlignment="1" applyProtection="1">
      <alignment horizontal="left" vertical="top" wrapText="1"/>
      <protection locked="0"/>
    </xf>
    <xf numFmtId="0" fontId="54" fillId="0" borderId="2" xfId="7" applyFont="1" applyBorder="1" applyAlignment="1" applyProtection="1">
      <alignment horizontal="left" vertical="top" wrapText="1"/>
      <protection locked="0"/>
    </xf>
    <xf numFmtId="0" fontId="25" fillId="10" borderId="1" xfId="8" applyFont="1" applyFill="1" applyBorder="1" applyAlignment="1">
      <alignment horizontal="center" vertical="center"/>
    </xf>
    <xf numFmtId="0" fontId="24" fillId="3" borderId="3" xfId="8" applyFont="1" applyFill="1" applyBorder="1"/>
    <xf numFmtId="0" fontId="24" fillId="3" borderId="2" xfId="8" applyFont="1" applyFill="1" applyBorder="1"/>
    <xf numFmtId="0" fontId="19" fillId="2" borderId="15" xfId="7" applyFont="1" applyFill="1" applyBorder="1" applyAlignment="1">
      <alignment horizontal="left" vertical="center" wrapText="1"/>
    </xf>
    <xf numFmtId="0" fontId="23" fillId="7" borderId="4" xfId="8" applyFont="1" applyFill="1" applyBorder="1" applyAlignment="1">
      <alignment horizontal="center"/>
    </xf>
    <xf numFmtId="0" fontId="25" fillId="7" borderId="4" xfId="8" applyFont="1" applyFill="1" applyBorder="1" applyAlignment="1">
      <alignment horizontal="center" vertical="center" wrapText="1"/>
    </xf>
    <xf numFmtId="0" fontId="24" fillId="0" borderId="4" xfId="8" applyFont="1" applyBorder="1" applyAlignment="1">
      <alignment wrapText="1"/>
    </xf>
    <xf numFmtId="49" fontId="25" fillId="7" borderId="4" xfId="8" applyNumberFormat="1" applyFont="1" applyFill="1" applyBorder="1" applyAlignment="1">
      <alignment horizontal="center" vertical="center" wrapText="1"/>
    </xf>
    <xf numFmtId="0" fontId="21" fillId="0" borderId="34" xfId="0" applyFont="1" applyBorder="1" applyAlignment="1">
      <alignment horizontal="center" vertical="top" wrapText="1"/>
    </xf>
    <xf numFmtId="0" fontId="21" fillId="0" borderId="20" xfId="0" applyFont="1" applyBorder="1" applyAlignment="1">
      <alignment horizontal="center" vertical="top" wrapText="1"/>
    </xf>
    <xf numFmtId="0" fontId="21" fillId="0" borderId="35" xfId="0" applyFont="1" applyBorder="1" applyAlignment="1">
      <alignment horizontal="center" vertical="top" wrapText="1"/>
    </xf>
    <xf numFmtId="0" fontId="20" fillId="9" borderId="21" xfId="7" applyFont="1" applyFill="1" applyBorder="1" applyAlignment="1">
      <alignment horizontal="center" vertical="center" wrapText="1"/>
    </xf>
    <xf numFmtId="0" fontId="20" fillId="9" borderId="11" xfId="0" applyFont="1" applyFill="1" applyBorder="1" applyAlignment="1">
      <alignment horizontal="center" vertical="center" wrapText="1"/>
    </xf>
    <xf numFmtId="0" fontId="20" fillId="9" borderId="13" xfId="0" applyFont="1" applyFill="1" applyBorder="1" applyAlignment="1">
      <alignment horizontal="center" vertical="center" wrapText="1"/>
    </xf>
    <xf numFmtId="0" fontId="21" fillId="0" borderId="38" xfId="0" applyFont="1" applyBorder="1" applyAlignment="1">
      <alignment horizontal="center" vertical="top" wrapText="1"/>
    </xf>
    <xf numFmtId="0" fontId="21" fillId="0" borderId="8" xfId="0" applyFont="1" applyBorder="1" applyAlignment="1">
      <alignment horizontal="center" vertical="top" wrapText="1"/>
    </xf>
    <xf numFmtId="0" fontId="21" fillId="0" borderId="37" xfId="0" applyFont="1" applyBorder="1" applyAlignment="1">
      <alignment horizontal="center" vertical="top" wrapText="1"/>
    </xf>
    <xf numFmtId="169" fontId="21" fillId="0" borderId="11" xfId="0" applyNumberFormat="1" applyFont="1" applyBorder="1" applyAlignment="1">
      <alignment horizontal="center" vertical="top" wrapText="1"/>
    </xf>
    <xf numFmtId="169" fontId="21" fillId="0" borderId="13" xfId="0" applyNumberFormat="1" applyFont="1" applyBorder="1" applyAlignment="1">
      <alignment horizontal="center" vertical="top" wrapText="1"/>
    </xf>
    <xf numFmtId="0" fontId="20" fillId="9" borderId="1" xfId="7" applyFont="1" applyFill="1" applyBorder="1" applyAlignment="1">
      <alignment horizontal="center" vertical="center" wrapText="1"/>
    </xf>
    <xf numFmtId="0" fontId="20" fillId="9" borderId="3" xfId="7" applyFont="1" applyFill="1" applyBorder="1" applyAlignment="1">
      <alignment horizontal="center" vertical="center" wrapText="1"/>
    </xf>
    <xf numFmtId="0" fontId="20" fillId="9" borderId="2" xfId="7" applyFont="1" applyFill="1" applyBorder="1" applyAlignment="1">
      <alignment horizontal="center" vertical="center" wrapText="1"/>
    </xf>
    <xf numFmtId="0" fontId="21" fillId="0" borderId="24" xfId="0" applyFont="1" applyBorder="1" applyAlignment="1">
      <alignment horizontal="center" vertical="top" wrapText="1"/>
    </xf>
    <xf numFmtId="0" fontId="21" fillId="0" borderId="0" xfId="0" applyFont="1" applyAlignment="1">
      <alignment horizontal="center" vertical="top" wrapText="1"/>
    </xf>
    <xf numFmtId="0" fontId="21" fillId="0" borderId="25" xfId="0" applyFont="1" applyBorder="1" applyAlignment="1">
      <alignment horizontal="center" vertical="top" wrapText="1"/>
    </xf>
    <xf numFmtId="0" fontId="20" fillId="9" borderId="29" xfId="7" applyFont="1" applyFill="1" applyBorder="1" applyAlignment="1">
      <alignment horizontal="center" vertical="center" wrapText="1"/>
    </xf>
    <xf numFmtId="0" fontId="20" fillId="9" borderId="6" xfId="7" applyFont="1" applyFill="1" applyBorder="1" applyAlignment="1">
      <alignment horizontal="center" vertical="center" wrapText="1"/>
    </xf>
    <xf numFmtId="0" fontId="21" fillId="0" borderId="36" xfId="0" applyFont="1" applyBorder="1" applyAlignment="1">
      <alignment horizontal="center" vertical="top" wrapText="1"/>
    </xf>
    <xf numFmtId="0" fontId="21" fillId="0" borderId="23" xfId="0" applyFont="1" applyBorder="1" applyAlignment="1">
      <alignment horizontal="center" vertical="top" wrapText="1"/>
    </xf>
    <xf numFmtId="0" fontId="20" fillId="9" borderId="9" xfId="7" applyFont="1" applyFill="1" applyBorder="1" applyAlignment="1">
      <alignment horizontal="center" vertical="center" wrapText="1"/>
    </xf>
    <xf numFmtId="0" fontId="20" fillId="9" borderId="12" xfId="7" applyFont="1" applyFill="1" applyBorder="1" applyAlignment="1">
      <alignment horizontal="center" vertical="center" wrapText="1"/>
    </xf>
    <xf numFmtId="0" fontId="20" fillId="9" borderId="14" xfId="7" applyFont="1" applyFill="1" applyBorder="1" applyAlignment="1">
      <alignment horizontal="center" vertical="center" wrapText="1"/>
    </xf>
    <xf numFmtId="0" fontId="20" fillId="9" borderId="8" xfId="7" applyFont="1" applyFill="1" applyBorder="1" applyAlignment="1">
      <alignment horizontal="center" vertical="center" wrapText="1"/>
    </xf>
    <xf numFmtId="0" fontId="20" fillId="9" borderId="5" xfId="7" applyFont="1" applyFill="1" applyBorder="1" applyAlignment="1">
      <alignment horizontal="center" vertical="center" wrapText="1"/>
    </xf>
    <xf numFmtId="0" fontId="20" fillId="9" borderId="32" xfId="7" applyFont="1" applyFill="1" applyBorder="1" applyAlignment="1">
      <alignment horizontal="center" vertical="center" wrapText="1"/>
    </xf>
    <xf numFmtId="0" fontId="20" fillId="9" borderId="33" xfId="7" applyFont="1" applyFill="1" applyBorder="1" applyAlignment="1">
      <alignment horizontal="center" vertical="center" wrapText="1"/>
    </xf>
    <xf numFmtId="0" fontId="20" fillId="9" borderId="34" xfId="7" applyFont="1" applyFill="1" applyBorder="1" applyAlignment="1">
      <alignment horizontal="center" vertical="center" wrapText="1"/>
    </xf>
    <xf numFmtId="0" fontId="20" fillId="9" borderId="35" xfId="7" applyFont="1" applyFill="1" applyBorder="1" applyAlignment="1">
      <alignment horizontal="center" vertical="center" wrapText="1"/>
    </xf>
    <xf numFmtId="0" fontId="20" fillId="9" borderId="30" xfId="7" applyFont="1" applyFill="1" applyBorder="1" applyAlignment="1">
      <alignment horizontal="center" vertical="center" wrapText="1"/>
    </xf>
    <xf numFmtId="0" fontId="20" fillId="9" borderId="31" xfId="7" applyFont="1" applyFill="1" applyBorder="1" applyAlignment="1">
      <alignment horizontal="center" vertical="center" wrapText="1"/>
    </xf>
    <xf numFmtId="0" fontId="21" fillId="0" borderId="1" xfId="0" applyFont="1" applyBorder="1" applyAlignment="1">
      <alignment horizontal="center" vertical="top" wrapText="1"/>
    </xf>
    <xf numFmtId="0" fontId="21" fillId="0" borderId="3" xfId="0" applyFont="1" applyBorder="1" applyAlignment="1">
      <alignment horizontal="center" vertical="top" wrapText="1"/>
    </xf>
    <xf numFmtId="0" fontId="21" fillId="0" borderId="2" xfId="0" applyFont="1" applyBorder="1" applyAlignment="1">
      <alignment horizontal="center" vertical="top" wrapText="1"/>
    </xf>
    <xf numFmtId="0" fontId="20" fillId="9" borderId="18" xfId="7" applyFont="1" applyFill="1" applyBorder="1" applyAlignment="1">
      <alignment horizontal="center" vertical="center" wrapText="1"/>
    </xf>
    <xf numFmtId="165" fontId="21" fillId="0" borderId="21" xfId="0" applyNumberFormat="1" applyFont="1" applyBorder="1" applyAlignment="1">
      <alignment horizontal="center" vertical="top" wrapText="1"/>
    </xf>
    <xf numFmtId="44" fontId="21" fillId="0" borderId="11" xfId="13" applyFont="1" applyFill="1" applyBorder="1" applyAlignment="1">
      <alignment horizontal="center" vertical="top" wrapText="1"/>
    </xf>
    <xf numFmtId="44" fontId="21" fillId="0" borderId="13" xfId="13" applyFont="1" applyFill="1" applyBorder="1" applyAlignment="1">
      <alignment horizontal="center" vertical="top" wrapText="1"/>
    </xf>
    <xf numFmtId="0" fontId="20" fillId="9" borderId="16" xfId="7" applyFont="1" applyFill="1" applyBorder="1" applyAlignment="1">
      <alignment horizontal="center" vertical="center" wrapText="1"/>
    </xf>
    <xf numFmtId="0" fontId="21" fillId="0" borderId="14" xfId="0" applyFont="1" applyBorder="1" applyAlignment="1">
      <alignment horizontal="center" vertical="top" wrapText="1"/>
    </xf>
    <xf numFmtId="0" fontId="21" fillId="0" borderId="16" xfId="0" applyFont="1" applyBorder="1" applyAlignment="1">
      <alignment horizontal="center" vertical="top" wrapText="1"/>
    </xf>
    <xf numFmtId="0" fontId="26" fillId="0" borderId="0" xfId="7" applyFont="1" applyAlignment="1">
      <alignment horizontal="left" vertical="top" wrapText="1"/>
    </xf>
    <xf numFmtId="0" fontId="27" fillId="11" borderId="11" xfId="7" applyFont="1" applyFill="1" applyBorder="1" applyAlignment="1">
      <alignment horizontal="center" vertical="top" wrapText="1"/>
    </xf>
    <xf numFmtId="0" fontId="27" fillId="11" borderId="21" xfId="7" applyFont="1" applyFill="1" applyBorder="1" applyAlignment="1">
      <alignment horizontal="center" vertical="top" wrapText="1"/>
    </xf>
    <xf numFmtId="0" fontId="27" fillId="11" borderId="13" xfId="7" applyFont="1" applyFill="1" applyBorder="1" applyAlignment="1">
      <alignment horizontal="center" vertical="top" wrapText="1"/>
    </xf>
    <xf numFmtId="0" fontId="38" fillId="2" borderId="4" xfId="7" applyFont="1" applyFill="1" applyBorder="1" applyAlignment="1">
      <alignment horizontal="left" vertical="top" wrapText="1"/>
    </xf>
    <xf numFmtId="0" fontId="5" fillId="0" borderId="0" xfId="7" applyAlignment="1" applyProtection="1">
      <alignment wrapText="1"/>
      <protection locked="0"/>
    </xf>
    <xf numFmtId="0" fontId="38" fillId="2" borderId="0" xfId="7" applyFont="1" applyFill="1" applyAlignment="1">
      <alignment horizontal="left" vertical="top" wrapText="1"/>
    </xf>
    <xf numFmtId="0" fontId="27" fillId="11" borderId="9" xfId="7" applyFont="1" applyFill="1" applyBorder="1" applyAlignment="1">
      <alignment horizontal="left" vertical="top" wrapText="1"/>
    </xf>
    <xf numFmtId="0" fontId="27" fillId="12" borderId="11" xfId="7" applyFont="1" applyFill="1" applyBorder="1" applyAlignment="1">
      <alignment horizontal="left" vertical="top" wrapText="1"/>
    </xf>
    <xf numFmtId="0" fontId="38" fillId="6" borderId="4" xfId="7" applyFont="1" applyFill="1" applyBorder="1" applyAlignment="1">
      <alignment horizontal="left" vertical="top" wrapText="1"/>
    </xf>
    <xf numFmtId="0" fontId="26" fillId="0" borderId="0" xfId="7" applyFont="1" applyAlignment="1">
      <alignment horizontal="left" vertical="center" wrapText="1"/>
    </xf>
    <xf numFmtId="0" fontId="27" fillId="11" borderId="11" xfId="7" applyFont="1" applyFill="1" applyBorder="1" applyAlignment="1">
      <alignment horizontal="left" vertical="top" wrapText="1"/>
    </xf>
    <xf numFmtId="0" fontId="27" fillId="11" borderId="13" xfId="7" applyFont="1" applyFill="1" applyBorder="1" applyAlignment="1">
      <alignment horizontal="left" vertical="top" wrapText="1"/>
    </xf>
    <xf numFmtId="0" fontId="38" fillId="6" borderId="1" xfId="7" applyFont="1" applyFill="1" applyBorder="1" applyAlignment="1">
      <alignment horizontal="left" vertical="top" wrapText="1"/>
    </xf>
    <xf numFmtId="0" fontId="38" fillId="6" borderId="3" xfId="7" applyFont="1" applyFill="1" applyBorder="1" applyAlignment="1">
      <alignment horizontal="left" vertical="top" wrapText="1"/>
    </xf>
    <xf numFmtId="0" fontId="38" fillId="6" borderId="2" xfId="7" applyFont="1" applyFill="1" applyBorder="1" applyAlignment="1">
      <alignment horizontal="left" vertical="top" wrapText="1"/>
    </xf>
    <xf numFmtId="0" fontId="27" fillId="12" borderId="21" xfId="7" applyFont="1" applyFill="1" applyBorder="1" applyAlignment="1">
      <alignment horizontal="left" vertical="top" wrapText="1"/>
    </xf>
    <xf numFmtId="0" fontId="5" fillId="0" borderId="12" xfId="7" applyBorder="1" applyAlignment="1" applyProtection="1">
      <alignment wrapText="1"/>
      <protection locked="0"/>
    </xf>
    <xf numFmtId="0" fontId="26" fillId="0" borderId="20" xfId="7" applyFont="1" applyBorder="1" applyAlignment="1">
      <alignment horizontal="left" vertical="top" wrapText="1"/>
    </xf>
    <xf numFmtId="0" fontId="26" fillId="0" borderId="22" xfId="7" applyFont="1" applyBorder="1" applyAlignment="1">
      <alignment horizontal="left" vertical="center" wrapText="1"/>
    </xf>
    <xf numFmtId="0" fontId="26" fillId="0" borderId="23" xfId="7" applyFont="1" applyBorder="1" applyAlignment="1">
      <alignment horizontal="left" vertical="center" wrapText="1"/>
    </xf>
    <xf numFmtId="0" fontId="38" fillId="2" borderId="1" xfId="7" applyFont="1" applyFill="1" applyBorder="1" applyAlignment="1">
      <alignment horizontal="left" vertical="top" wrapText="1"/>
    </xf>
    <xf numFmtId="0" fontId="38" fillId="2" borderId="3" xfId="7" applyFont="1" applyFill="1" applyBorder="1" applyAlignment="1">
      <alignment horizontal="left" vertical="top" wrapText="1"/>
    </xf>
    <xf numFmtId="0" fontId="38" fillId="2" borderId="2" xfId="7" applyFont="1" applyFill="1" applyBorder="1" applyAlignment="1">
      <alignment horizontal="left" vertical="top" wrapText="1"/>
    </xf>
    <xf numFmtId="0" fontId="5" fillId="0" borderId="0" xfId="7" applyAlignment="1">
      <alignment horizontal="center"/>
    </xf>
    <xf numFmtId="0" fontId="31" fillId="4" borderId="1" xfId="2" applyFont="1" applyFill="1" applyBorder="1" applyAlignment="1">
      <alignment horizontal="left" vertical="center" wrapText="1"/>
    </xf>
    <xf numFmtId="0" fontId="31" fillId="4" borderId="3" xfId="2" applyFont="1" applyFill="1" applyBorder="1" applyAlignment="1">
      <alignment horizontal="left" vertical="center" wrapText="1"/>
    </xf>
    <xf numFmtId="0" fontId="31" fillId="4" borderId="2" xfId="2" applyFont="1" applyFill="1" applyBorder="1" applyAlignment="1">
      <alignment horizontal="left" vertical="center" wrapText="1"/>
    </xf>
    <xf numFmtId="14" fontId="31" fillId="4" borderId="1" xfId="2" applyNumberFormat="1" applyFont="1" applyFill="1" applyBorder="1" applyAlignment="1">
      <alignment horizontal="left" vertical="center" wrapText="1"/>
    </xf>
    <xf numFmtId="14" fontId="31" fillId="4" borderId="3" xfId="2" applyNumberFormat="1" applyFont="1" applyFill="1" applyBorder="1" applyAlignment="1">
      <alignment horizontal="left" vertical="center" wrapText="1"/>
    </xf>
    <xf numFmtId="14" fontId="31" fillId="4" borderId="2" xfId="2" applyNumberFormat="1" applyFont="1" applyFill="1" applyBorder="1" applyAlignment="1">
      <alignment horizontal="left" vertical="center" wrapText="1"/>
    </xf>
    <xf numFmtId="0" fontId="30" fillId="0" borderId="0" xfId="7" applyFont="1" applyAlignment="1" applyProtection="1">
      <alignment horizontal="center" wrapText="1"/>
      <protection locked="0"/>
    </xf>
    <xf numFmtId="0" fontId="29" fillId="7" borderId="4" xfId="5" applyFont="1" applyFill="1" applyBorder="1"/>
    <xf numFmtId="0" fontId="33" fillId="0" borderId="4" xfId="5" applyFont="1" applyBorder="1"/>
    <xf numFmtId="0" fontId="33" fillId="0" borderId="4" xfId="1" applyFont="1" applyBorder="1"/>
    <xf numFmtId="0" fontId="29" fillId="0" borderId="1" xfId="1" applyFont="1" applyBorder="1"/>
    <xf numFmtId="0" fontId="29" fillId="0" borderId="3" xfId="1" applyFont="1" applyBorder="1"/>
    <xf numFmtId="0" fontId="29" fillId="0" borderId="2" xfId="1" applyFont="1" applyBorder="1"/>
    <xf numFmtId="0" fontId="31" fillId="0" borderId="4" xfId="1" applyFont="1" applyBorder="1" applyAlignment="1">
      <alignment horizontal="center" vertical="center" wrapText="1"/>
    </xf>
    <xf numFmtId="0" fontId="34" fillId="0" borderId="1" xfId="1" applyFont="1" applyBorder="1"/>
    <xf numFmtId="0" fontId="34" fillId="0" borderId="3" xfId="1" applyFont="1" applyBorder="1"/>
    <xf numFmtId="0" fontId="34" fillId="0" borderId="2" xfId="1" applyFont="1" applyBorder="1"/>
    <xf numFmtId="0" fontId="29" fillId="0" borderId="4" xfId="1" applyFont="1" applyBorder="1"/>
    <xf numFmtId="0" fontId="33" fillId="0" borderId="4" xfId="1" applyFont="1" applyBorder="1" applyAlignment="1">
      <alignment horizontal="justify"/>
    </xf>
    <xf numFmtId="10" fontId="33" fillId="0" borderId="1" xfId="4" applyNumberFormat="1" applyFont="1" applyBorder="1" applyAlignment="1" applyProtection="1">
      <alignment horizontal="center" wrapText="1"/>
      <protection hidden="1"/>
    </xf>
    <xf numFmtId="10" fontId="33" fillId="0" borderId="3" xfId="4" applyNumberFormat="1" applyFont="1" applyBorder="1" applyAlignment="1" applyProtection="1">
      <alignment horizontal="center" wrapText="1"/>
      <protection hidden="1"/>
    </xf>
    <xf numFmtId="10" fontId="33" fillId="0" borderId="2" xfId="4" applyNumberFormat="1" applyFont="1" applyBorder="1" applyAlignment="1" applyProtection="1">
      <alignment horizontal="center" wrapText="1"/>
      <protection hidden="1"/>
    </xf>
    <xf numFmtId="0" fontId="34" fillId="5" borderId="4" xfId="1" applyFont="1" applyFill="1" applyBorder="1" applyAlignment="1">
      <alignment horizontal="right" wrapText="1"/>
    </xf>
    <xf numFmtId="0" fontId="36" fillId="0" borderId="4" xfId="1" applyFont="1" applyBorder="1" applyAlignment="1">
      <alignment horizontal="justify" vertical="center" wrapText="1"/>
    </xf>
    <xf numFmtId="10" fontId="34" fillId="2" borderId="4" xfId="3" applyNumberFormat="1" applyFont="1" applyFill="1" applyBorder="1" applyAlignment="1" applyProtection="1">
      <alignment horizontal="center" vertical="justify"/>
      <protection hidden="1"/>
    </xf>
    <xf numFmtId="0" fontId="34" fillId="5" borderId="4" xfId="1" applyFont="1" applyFill="1" applyBorder="1" applyAlignment="1">
      <alignment horizontal="center" vertical="center" wrapText="1"/>
    </xf>
    <xf numFmtId="0" fontId="34" fillId="5" borderId="4" xfId="1" applyFont="1" applyFill="1" applyBorder="1" applyAlignment="1">
      <alignment horizontal="center" wrapText="1"/>
    </xf>
    <xf numFmtId="0" fontId="33" fillId="0" borderId="4" xfId="1" applyFont="1" applyBorder="1" applyAlignment="1">
      <alignment horizontal="left" vertical="justify"/>
    </xf>
    <xf numFmtId="0" fontId="29" fillId="3" borderId="4" xfId="1" applyFont="1" applyFill="1" applyBorder="1"/>
    <xf numFmtId="0" fontId="30" fillId="3" borderId="4" xfId="1" applyFont="1" applyFill="1" applyBorder="1" applyAlignment="1">
      <alignment horizontal="center" vertical="center" wrapText="1"/>
    </xf>
    <xf numFmtId="0" fontId="29" fillId="0" borderId="4" xfId="1" applyFont="1" applyBorder="1" applyAlignment="1">
      <alignment vertical="center" wrapText="1"/>
    </xf>
    <xf numFmtId="0" fontId="29" fillId="0" borderId="4" xfId="1" applyFont="1" applyBorder="1" applyAlignment="1">
      <alignment horizontal="left" vertical="center" wrapText="1"/>
    </xf>
    <xf numFmtId="0" fontId="29" fillId="0" borderId="4" xfId="1" applyFont="1" applyBorder="1" applyAlignment="1">
      <alignment wrapText="1"/>
    </xf>
    <xf numFmtId="0" fontId="34" fillId="3" borderId="4" xfId="1" applyFont="1" applyFill="1" applyBorder="1" applyAlignment="1">
      <alignment horizontal="center"/>
    </xf>
    <xf numFmtId="0" fontId="29" fillId="5" borderId="1" xfId="1" applyFont="1" applyFill="1" applyBorder="1" applyAlignment="1">
      <alignment vertical="center" wrapText="1"/>
    </xf>
    <xf numFmtId="0" fontId="29" fillId="5" borderId="3" xfId="1" applyFont="1" applyFill="1" applyBorder="1" applyAlignment="1">
      <alignment vertical="center" wrapText="1"/>
    </xf>
    <xf numFmtId="0" fontId="29" fillId="5" borderId="2" xfId="1" applyFont="1" applyFill="1" applyBorder="1" applyAlignment="1">
      <alignment vertical="center" wrapText="1"/>
    </xf>
    <xf numFmtId="0" fontId="34" fillId="0" borderId="5" xfId="1" applyFont="1" applyBorder="1" applyAlignment="1">
      <alignment horizontal="right" vertical="center"/>
    </xf>
    <xf numFmtId="0" fontId="34" fillId="0" borderId="6" xfId="1" applyFont="1" applyBorder="1" applyAlignment="1">
      <alignment horizontal="right" vertical="center"/>
    </xf>
    <xf numFmtId="0" fontId="33" fillId="5" borderId="4" xfId="1" applyFont="1" applyFill="1" applyBorder="1" applyAlignment="1" applyProtection="1">
      <alignment horizontal="left" vertical="center"/>
      <protection locked="0"/>
    </xf>
    <xf numFmtId="2" fontId="34" fillId="0" borderId="4" xfId="1" applyNumberFormat="1" applyFont="1" applyBorder="1" applyAlignment="1" applyProtection="1">
      <alignment horizontal="center" wrapText="1"/>
      <protection hidden="1"/>
    </xf>
    <xf numFmtId="2" fontId="33" fillId="0" borderId="4" xfId="1" applyNumberFormat="1" applyFont="1" applyBorder="1" applyAlignment="1" applyProtection="1">
      <alignment horizontal="center" vertical="center" wrapText="1"/>
      <protection hidden="1"/>
    </xf>
    <xf numFmtId="0" fontId="4" fillId="0" borderId="14" xfId="14" applyBorder="1" applyAlignment="1" applyProtection="1">
      <alignment horizontal="center" wrapText="1"/>
      <protection locked="0"/>
    </xf>
    <xf numFmtId="0" fontId="4" fillId="0" borderId="16" xfId="14" applyBorder="1" applyAlignment="1" applyProtection="1">
      <alignment horizontal="center" wrapText="1"/>
      <protection locked="0"/>
    </xf>
    <xf numFmtId="0" fontId="4" fillId="0" borderId="9" xfId="14" applyBorder="1" applyAlignment="1" applyProtection="1">
      <alignment horizontal="center" wrapText="1"/>
      <protection locked="0"/>
    </xf>
    <xf numFmtId="0" fontId="4" fillId="0" borderId="18" xfId="14" applyBorder="1" applyAlignment="1" applyProtection="1">
      <alignment horizontal="center" wrapText="1"/>
      <protection locked="0"/>
    </xf>
    <xf numFmtId="0" fontId="48" fillId="2" borderId="14" xfId="14" applyFont="1" applyFill="1" applyBorder="1" applyAlignment="1">
      <alignment horizontal="center" vertical="center" wrapText="1"/>
    </xf>
    <xf numFmtId="0" fontId="48" fillId="2" borderId="16" xfId="14" applyFont="1" applyFill="1" applyBorder="1" applyAlignment="1">
      <alignment horizontal="center" vertical="center" wrapText="1"/>
    </xf>
    <xf numFmtId="167" fontId="43" fillId="0" borderId="11" xfId="14" applyNumberFormat="1" applyFont="1" applyBorder="1" applyAlignment="1">
      <alignment horizontal="center" vertical="center" wrapText="1"/>
    </xf>
    <xf numFmtId="167" fontId="43" fillId="0" borderId="13" xfId="14" applyNumberFormat="1" applyFont="1" applyBorder="1" applyAlignment="1">
      <alignment horizontal="center" vertical="center" wrapText="1"/>
    </xf>
    <xf numFmtId="164" fontId="45" fillId="6" borderId="11" xfId="14" applyNumberFormat="1" applyFont="1" applyFill="1" applyBorder="1" applyAlignment="1">
      <alignment horizontal="center" vertical="center" wrapText="1"/>
    </xf>
    <xf numFmtId="164" fontId="45" fillId="6" borderId="13" xfId="14" applyNumberFormat="1" applyFont="1" applyFill="1" applyBorder="1" applyAlignment="1">
      <alignment horizontal="center" vertical="center" wrapText="1"/>
    </xf>
    <xf numFmtId="167" fontId="43" fillId="0" borderId="11" xfId="14" applyNumberFormat="1" applyFont="1" applyBorder="1" applyAlignment="1">
      <alignment horizontal="right" vertical="center" wrapText="1"/>
    </xf>
    <xf numFmtId="167" fontId="43" fillId="0" borderId="13" xfId="14" applyNumberFormat="1" applyFont="1" applyBorder="1" applyAlignment="1">
      <alignment horizontal="right" vertical="center" wrapText="1"/>
    </xf>
    <xf numFmtId="167" fontId="43" fillId="0" borderId="9" xfId="14" applyNumberFormat="1" applyFont="1" applyBorder="1" applyAlignment="1">
      <alignment horizontal="right" vertical="center" wrapText="1"/>
    </xf>
    <xf numFmtId="167" fontId="43" fillId="0" borderId="18" xfId="14" applyNumberFormat="1" applyFont="1" applyBorder="1" applyAlignment="1">
      <alignment horizontal="right" vertical="center" wrapText="1"/>
    </xf>
    <xf numFmtId="164" fontId="45" fillId="0" borderId="14" xfId="14" applyNumberFormat="1" applyFont="1" applyBorder="1" applyAlignment="1">
      <alignment horizontal="right" vertical="center" wrapText="1"/>
    </xf>
    <xf numFmtId="164" fontId="45" fillId="0" borderId="16" xfId="14" applyNumberFormat="1" applyFont="1" applyBorder="1" applyAlignment="1">
      <alignment horizontal="right" vertical="center" wrapText="1"/>
    </xf>
    <xf numFmtId="0" fontId="4" fillId="0" borderId="24" xfId="14" applyBorder="1" applyAlignment="1" applyProtection="1">
      <alignment horizontal="center" wrapText="1"/>
      <protection locked="0"/>
    </xf>
    <xf numFmtId="0" fontId="4" fillId="0" borderId="25" xfId="14" applyBorder="1" applyAlignment="1" applyProtection="1">
      <alignment horizontal="center" wrapText="1"/>
      <protection locked="0"/>
    </xf>
    <xf numFmtId="167" fontId="43" fillId="0" borderId="9" xfId="14" applyNumberFormat="1" applyFont="1" applyBorder="1" applyAlignment="1">
      <alignment horizontal="center" vertical="center" wrapText="1"/>
    </xf>
    <xf numFmtId="167" fontId="43" fillId="0" borderId="18" xfId="14" applyNumberFormat="1" applyFont="1" applyBorder="1" applyAlignment="1">
      <alignment horizontal="center" vertical="center" wrapText="1"/>
    </xf>
    <xf numFmtId="164" fontId="45" fillId="0" borderId="14" xfId="14" applyNumberFormat="1" applyFont="1" applyBorder="1" applyAlignment="1">
      <alignment horizontal="center" vertical="center" wrapText="1"/>
    </xf>
    <xf numFmtId="164" fontId="45" fillId="0" borderId="16" xfId="14" applyNumberFormat="1" applyFont="1" applyBorder="1" applyAlignment="1">
      <alignment horizontal="center" vertical="center" wrapText="1"/>
    </xf>
    <xf numFmtId="0" fontId="4" fillId="0" borderId="0" xfId="14" applyAlignment="1">
      <alignment horizontal="center"/>
    </xf>
    <xf numFmtId="0" fontId="30" fillId="0" borderId="1" xfId="14" applyFont="1" applyBorder="1" applyAlignment="1">
      <alignment horizontal="center"/>
    </xf>
    <xf numFmtId="0" fontId="30" fillId="0" borderId="3" xfId="14" applyFont="1" applyBorder="1" applyAlignment="1">
      <alignment horizontal="center"/>
    </xf>
    <xf numFmtId="0" fontId="30" fillId="0" borderId="2" xfId="14" applyFont="1" applyBorder="1" applyAlignment="1">
      <alignment horizontal="center"/>
    </xf>
    <xf numFmtId="0" fontId="31" fillId="4" borderId="4" xfId="2" applyFont="1" applyFill="1" applyBorder="1" applyAlignment="1">
      <alignment horizontal="left" vertical="center" wrapText="1"/>
    </xf>
    <xf numFmtId="14" fontId="31" fillId="4" borderId="4" xfId="2" applyNumberFormat="1" applyFont="1" applyFill="1" applyBorder="1" applyAlignment="1">
      <alignment horizontal="left" vertical="center" wrapText="1"/>
    </xf>
    <xf numFmtId="0" fontId="47" fillId="0" borderId="7" xfId="14" applyFont="1" applyBorder="1" applyAlignment="1">
      <alignment horizontal="center" vertical="center" wrapText="1"/>
    </xf>
    <xf numFmtId="0" fontId="42" fillId="0" borderId="7" xfId="14" applyFont="1" applyBorder="1" applyAlignment="1">
      <alignment horizontal="left" vertical="center" wrapText="1"/>
    </xf>
    <xf numFmtId="164" fontId="42" fillId="0" borderId="7" xfId="14" applyNumberFormat="1" applyFont="1" applyBorder="1" applyAlignment="1">
      <alignment horizontal="right" vertical="center" wrapText="1"/>
    </xf>
    <xf numFmtId="0" fontId="46" fillId="0" borderId="7" xfId="14" applyFont="1" applyBorder="1" applyAlignment="1">
      <alignment horizontal="center" vertical="center" wrapText="1"/>
    </xf>
    <xf numFmtId="0" fontId="45" fillId="0" borderId="7" xfId="14" applyFont="1" applyBorder="1" applyAlignment="1">
      <alignment horizontal="left" vertical="center" wrapText="1"/>
    </xf>
    <xf numFmtId="164" fontId="45" fillId="0" borderId="7" xfId="14" applyNumberFormat="1" applyFont="1" applyBorder="1" applyAlignment="1">
      <alignment horizontal="right" vertical="center" wrapText="1"/>
    </xf>
    <xf numFmtId="0" fontId="19" fillId="0" borderId="7" xfId="14" applyFont="1" applyBorder="1" applyAlignment="1">
      <alignment horizontal="center" vertical="center" wrapText="1"/>
    </xf>
    <xf numFmtId="164" fontId="27" fillId="6" borderId="13" xfId="14" applyNumberFormat="1" applyFont="1" applyFill="1" applyBorder="1" applyAlignment="1">
      <alignment horizontal="right" vertical="center" wrapText="1"/>
    </xf>
    <xf numFmtId="164" fontId="45" fillId="6" borderId="7" xfId="14" applyNumberFormat="1" applyFont="1" applyFill="1" applyBorder="1" applyAlignment="1">
      <alignment horizontal="right" vertical="center" wrapText="1"/>
    </xf>
    <xf numFmtId="164" fontId="45" fillId="6" borderId="11" xfId="14" applyNumberFormat="1" applyFont="1" applyFill="1" applyBorder="1" applyAlignment="1">
      <alignment horizontal="right" vertical="center" wrapText="1"/>
    </xf>
    <xf numFmtId="164" fontId="45" fillId="6" borderId="13" xfId="14" applyNumberFormat="1" applyFont="1" applyFill="1" applyBorder="1" applyAlignment="1">
      <alignment horizontal="right" vertical="center" wrapText="1"/>
    </xf>
    <xf numFmtId="0" fontId="42" fillId="3" borderId="4" xfId="14" applyFont="1" applyFill="1" applyBorder="1" applyAlignment="1">
      <alignment horizontal="right" vertical="center" wrapText="1"/>
    </xf>
    <xf numFmtId="164" fontId="45" fillId="3" borderId="4" xfId="14" applyNumberFormat="1" applyFont="1" applyFill="1" applyBorder="1" applyAlignment="1">
      <alignment horizontal="right" vertical="center" wrapText="1"/>
    </xf>
    <xf numFmtId="2" fontId="21" fillId="7" borderId="4" xfId="8" applyNumberFormat="1" applyFont="1" applyFill="1" applyBorder="1" applyAlignment="1">
      <alignment horizontal="left" vertical="center"/>
    </xf>
    <xf numFmtId="0" fontId="22" fillId="0" borderId="4" xfId="9" applyFont="1" applyBorder="1" applyAlignment="1">
      <alignment horizontal="center" vertical="top" wrapText="1"/>
    </xf>
    <xf numFmtId="0" fontId="30" fillId="0" borderId="4" xfId="9" applyFont="1" applyBorder="1" applyAlignment="1">
      <alignment horizontal="left" vertical="center" wrapText="1"/>
    </xf>
    <xf numFmtId="2" fontId="31" fillId="7" borderId="4" xfId="8" applyNumberFormat="1" applyFont="1" applyFill="1" applyBorder="1" applyAlignment="1">
      <alignment horizontal="left" vertical="center" wrapText="1"/>
    </xf>
    <xf numFmtId="0" fontId="29" fillId="0" borderId="4" xfId="9" applyFont="1" applyBorder="1" applyAlignment="1">
      <alignment horizontal="center"/>
    </xf>
    <xf numFmtId="0" fontId="30" fillId="0" borderId="4" xfId="9" applyFont="1" applyBorder="1" applyAlignment="1">
      <alignment horizontal="center"/>
    </xf>
    <xf numFmtId="0" fontId="29" fillId="4" borderId="4" xfId="2" applyFont="1" applyFill="1" applyBorder="1" applyAlignment="1">
      <alignment horizontal="left" vertical="center" wrapText="1"/>
    </xf>
    <xf numFmtId="0" fontId="30" fillId="13" borderId="4" xfId="9" applyFont="1" applyFill="1" applyBorder="1" applyAlignment="1">
      <alignment horizontal="center"/>
    </xf>
    <xf numFmtId="0" fontId="31" fillId="0" borderId="1" xfId="9" applyFont="1" applyBorder="1" applyAlignment="1">
      <alignment horizontal="center" wrapText="1"/>
    </xf>
    <xf numFmtId="0" fontId="31" fillId="0" borderId="3" xfId="9" applyFont="1" applyBorder="1" applyAlignment="1">
      <alignment horizontal="center" wrapText="1"/>
    </xf>
    <xf numFmtId="0" fontId="31" fillId="0" borderId="2" xfId="9" applyFont="1" applyBorder="1" applyAlignment="1">
      <alignment horizontal="center" wrapText="1"/>
    </xf>
    <xf numFmtId="14" fontId="31" fillId="4" borderId="4" xfId="2" applyNumberFormat="1" applyFont="1" applyFill="1" applyBorder="1" applyAlignment="1">
      <alignment horizontal="left" vertical="center"/>
    </xf>
    <xf numFmtId="0" fontId="31" fillId="4" borderId="4" xfId="2" applyFont="1" applyFill="1" applyBorder="1" applyAlignment="1">
      <alignment horizontal="left" vertical="center"/>
    </xf>
    <xf numFmtId="0" fontId="29" fillId="0" borderId="4" xfId="9" applyFont="1" applyBorder="1"/>
    <xf numFmtId="43" fontId="41" fillId="3" borderId="4" xfId="12" applyFont="1" applyFill="1" applyBorder="1" applyAlignment="1">
      <alignment horizontal="center" vertical="center"/>
    </xf>
    <xf numFmtId="43" fontId="41" fillId="0" borderId="5" xfId="12" applyFont="1" applyBorder="1" applyAlignment="1">
      <alignment horizontal="center" vertical="center"/>
    </xf>
    <xf numFmtId="43" fontId="41" fillId="0" borderId="6" xfId="12" applyFont="1" applyBorder="1" applyAlignment="1">
      <alignment horizontal="center" vertical="center"/>
    </xf>
    <xf numFmtId="0" fontId="32" fillId="13" borderId="4" xfId="9" applyFont="1" applyFill="1" applyBorder="1" applyAlignment="1">
      <alignment horizontal="center" vertical="center"/>
    </xf>
  </cellXfs>
  <cellStyles count="18">
    <cellStyle name="Moeda" xfId="13" builtinId="4"/>
    <cellStyle name="Normal" xfId="0" builtinId="0"/>
    <cellStyle name="Normal 16" xfId="9" xr:uid="{00000000-0005-0000-0000-000002000000}"/>
    <cellStyle name="Normal 2" xfId="7" xr:uid="{00000000-0005-0000-0000-000003000000}"/>
    <cellStyle name="Normal 2 2" xfId="10" xr:uid="{00000000-0005-0000-0000-000004000000}"/>
    <cellStyle name="Normal 2 3" xfId="17" xr:uid="{00000000-0005-0000-0000-000005000000}"/>
    <cellStyle name="Normal 3" xfId="1" xr:uid="{00000000-0005-0000-0000-000006000000}"/>
    <cellStyle name="Normal 3 2" xfId="11" xr:uid="{00000000-0005-0000-0000-000007000000}"/>
    <cellStyle name="Normal 36" xfId="5" xr:uid="{00000000-0005-0000-0000-000008000000}"/>
    <cellStyle name="Normal 4" xfId="14" xr:uid="{00000000-0005-0000-0000-000009000000}"/>
    <cellStyle name="Normal 6" xfId="8" xr:uid="{00000000-0005-0000-0000-00000A000000}"/>
    <cellStyle name="Normal 6 2" xfId="16" xr:uid="{00000000-0005-0000-0000-00000B000000}"/>
    <cellStyle name="Normal 63" xfId="2" xr:uid="{00000000-0005-0000-0000-00000C000000}"/>
    <cellStyle name="Normal_cronograma 6 meses 2" xfId="15" xr:uid="{00000000-0005-0000-0000-00000D000000}"/>
    <cellStyle name="Porcentagem" xfId="6" builtinId="5"/>
    <cellStyle name="Porcentagem 2" xfId="4" xr:uid="{00000000-0005-0000-0000-00000F000000}"/>
    <cellStyle name="Vírgula 2" xfId="3" xr:uid="{00000000-0005-0000-0000-000010000000}"/>
    <cellStyle name="Vírgula 2 2" xfId="12" xr:uid="{00000000-0005-0000-0000-000011000000}"/>
  </cellStyles>
  <dxfs count="0"/>
  <tableStyles count="0" defaultTableStyle="TableStyleMedium2" defaultPivotStyle="PivotStyleLight16"/>
  <colors>
    <mruColors>
      <color rgb="FFC5D9F1"/>
      <color rgb="FF4F81BD"/>
      <color rgb="FFF8F8F8"/>
      <color rgb="FF16365C"/>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29766</xdr:colOff>
      <xdr:row>1</xdr:row>
      <xdr:rowOff>187325</xdr:rowOff>
    </xdr:from>
    <xdr:ext cx="2530456" cy="596503"/>
    <xdr:pic>
      <xdr:nvPicPr>
        <xdr:cNvPr id="2" name="Figura 1">
          <a:extLst>
            <a:ext uri="{FF2B5EF4-FFF2-40B4-BE49-F238E27FC236}">
              <a16:creationId xmlns:a16="http://schemas.microsoft.com/office/drawing/2014/main" id="{17F6CC11-9E31-4CEB-83D0-D53632971940}"/>
            </a:ext>
          </a:extLst>
        </xdr:cNvPr>
        <xdr:cNvPicPr>
          <a:picLocks noChangeAspect="1"/>
        </xdr:cNvPicPr>
      </xdr:nvPicPr>
      <xdr:blipFill>
        <a:blip xmlns:r="http://schemas.openxmlformats.org/officeDocument/2006/relationships" r:embed="rId1">
          <a:lum/>
          <a:alphaModFix/>
        </a:blip>
        <a:srcRect/>
        <a:stretch>
          <a:fillRect/>
        </a:stretch>
      </xdr:blipFill>
      <xdr:spPr>
        <a:xfrm>
          <a:off x="29766" y="377825"/>
          <a:ext cx="2530456" cy="596503"/>
        </a:xfrm>
        <a:prstGeom prst="rect">
          <a:avLst/>
        </a:prstGeom>
        <a:noFill/>
        <a:ln>
          <a:noFill/>
        </a:ln>
      </xdr:spPr>
    </xdr:pic>
    <xdr:clientData/>
  </xdr:oneCellAnchor>
  <xdr:twoCellAnchor>
    <xdr:from>
      <xdr:col>1</xdr:col>
      <xdr:colOff>811610</xdr:colOff>
      <xdr:row>17</xdr:row>
      <xdr:rowOff>628254</xdr:rowOff>
    </xdr:from>
    <xdr:to>
      <xdr:col>2</xdr:col>
      <xdr:colOff>883048</xdr:colOff>
      <xdr:row>17</xdr:row>
      <xdr:rowOff>1095376</xdr:rowOff>
    </xdr:to>
    <xdr:sp macro="" textlink="">
      <xdr:nvSpPr>
        <xdr:cNvPr id="4" name="Retângulo 3">
          <a:extLst>
            <a:ext uri="{FF2B5EF4-FFF2-40B4-BE49-F238E27FC236}">
              <a16:creationId xmlns:a16="http://schemas.microsoft.com/office/drawing/2014/main" id="{E465E59A-8B82-4FFF-8D8B-A735BD6BA2AA}"/>
            </a:ext>
          </a:extLst>
        </xdr:cNvPr>
        <xdr:cNvSpPr/>
      </xdr:nvSpPr>
      <xdr:spPr>
        <a:xfrm>
          <a:off x="1811735" y="6019404"/>
          <a:ext cx="3405188" cy="467122"/>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endParaRPr lang="pt-BR" sz="800">
            <a:effectLst/>
            <a:latin typeface="SansSerif" panose="00000400000000000000" pitchFamily="2" charset="2"/>
          </a:endParaRPr>
        </a:p>
        <a:p>
          <a:pPr algn="ctr"/>
          <a:r>
            <a:rPr lang="pt-BR" sz="800">
              <a:solidFill>
                <a:schemeClr val="dk1"/>
              </a:solidFill>
              <a:effectLst/>
              <a:latin typeface="SansSerif" panose="00000400000000000000" pitchFamily="2" charset="2"/>
              <a:ea typeface="+mn-ea"/>
              <a:cs typeface="+mn-cs"/>
            </a:rPr>
            <a:t>RESPONSÁVEL TÉCNICO </a:t>
          </a:r>
          <a:endParaRPr lang="pt-BR" sz="800">
            <a:effectLst/>
            <a:latin typeface="SansSerif" panose="00000400000000000000" pitchFamily="2" charset="2"/>
          </a:endParaRPr>
        </a:p>
      </xdr:txBody>
    </xdr:sp>
    <xdr:clientData/>
  </xdr:twoCellAnchor>
  <xdr:twoCellAnchor editAs="oneCell">
    <xdr:from>
      <xdr:col>1</xdr:col>
      <xdr:colOff>1676401</xdr:colOff>
      <xdr:row>1</xdr:row>
      <xdr:rowOff>171451</xdr:rowOff>
    </xdr:from>
    <xdr:to>
      <xdr:col>1</xdr:col>
      <xdr:colOff>2895601</xdr:colOff>
      <xdr:row>1</xdr:row>
      <xdr:rowOff>659131</xdr:rowOff>
    </xdr:to>
    <xdr:pic>
      <xdr:nvPicPr>
        <xdr:cNvPr id="6" name="Imagem 5">
          <a:extLst>
            <a:ext uri="{FF2B5EF4-FFF2-40B4-BE49-F238E27FC236}">
              <a16:creationId xmlns:a16="http://schemas.microsoft.com/office/drawing/2014/main" id="{EC96C91A-39D1-8D27-F638-DB920EA17B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76526" y="361951"/>
          <a:ext cx="1219200" cy="4876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29766</xdr:colOff>
      <xdr:row>1</xdr:row>
      <xdr:rowOff>187325</xdr:rowOff>
    </xdr:from>
    <xdr:ext cx="2530456" cy="596503"/>
    <xdr:pic>
      <xdr:nvPicPr>
        <xdr:cNvPr id="3" name="Figura 1">
          <a:extLst>
            <a:ext uri="{FF2B5EF4-FFF2-40B4-BE49-F238E27FC236}">
              <a16:creationId xmlns:a16="http://schemas.microsoft.com/office/drawing/2014/main" id="{4674BE4F-17E9-42E5-97EC-167CDE0F3311}"/>
            </a:ext>
          </a:extLst>
        </xdr:cNvPr>
        <xdr:cNvPicPr>
          <a:picLocks noChangeAspect="1"/>
        </xdr:cNvPicPr>
      </xdr:nvPicPr>
      <xdr:blipFill>
        <a:blip xmlns:r="http://schemas.openxmlformats.org/officeDocument/2006/relationships" r:embed="rId1">
          <a:lum/>
          <a:alphaModFix/>
        </a:blip>
        <a:srcRect/>
        <a:stretch>
          <a:fillRect/>
        </a:stretch>
      </xdr:blipFill>
      <xdr:spPr>
        <a:xfrm>
          <a:off x="29766" y="375841"/>
          <a:ext cx="2530456" cy="596503"/>
        </a:xfrm>
        <a:prstGeom prst="rect">
          <a:avLst/>
        </a:prstGeom>
        <a:noFill/>
        <a:ln>
          <a:noFill/>
        </a:ln>
      </xdr:spPr>
    </xdr:pic>
    <xdr:clientData/>
  </xdr:oneCellAnchor>
  <xdr:twoCellAnchor>
    <xdr:from>
      <xdr:col>1</xdr:col>
      <xdr:colOff>1055026</xdr:colOff>
      <xdr:row>16</xdr:row>
      <xdr:rowOff>794412</xdr:rowOff>
    </xdr:from>
    <xdr:to>
      <xdr:col>2</xdr:col>
      <xdr:colOff>1126464</xdr:colOff>
      <xdr:row>16</xdr:row>
      <xdr:rowOff>1259418</xdr:rowOff>
    </xdr:to>
    <xdr:sp macro="" textlink="">
      <xdr:nvSpPr>
        <xdr:cNvPr id="5" name="Retângulo 4">
          <a:extLst>
            <a:ext uri="{FF2B5EF4-FFF2-40B4-BE49-F238E27FC236}">
              <a16:creationId xmlns:a16="http://schemas.microsoft.com/office/drawing/2014/main" id="{C00AA7EB-6FA0-4448-BC48-25EFBFF85A67}"/>
            </a:ext>
          </a:extLst>
        </xdr:cNvPr>
        <xdr:cNvSpPr/>
      </xdr:nvSpPr>
      <xdr:spPr>
        <a:xfrm>
          <a:off x="2060443" y="6001412"/>
          <a:ext cx="3405188" cy="465006"/>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a:p>
          <a:pPr algn="ctr"/>
          <a:endParaRPr lang="pt-BR" sz="800">
            <a:effectLst/>
            <a:latin typeface="SansSerif" panose="00000400000000000000" pitchFamily="2" charset="2"/>
          </a:endParaRPr>
        </a:p>
      </xdr:txBody>
    </xdr:sp>
    <xdr:clientData/>
  </xdr:twoCellAnchor>
  <xdr:twoCellAnchor editAs="oneCell">
    <xdr:from>
      <xdr:col>1</xdr:col>
      <xdr:colOff>1672166</xdr:colOff>
      <xdr:row>1</xdr:row>
      <xdr:rowOff>211667</xdr:rowOff>
    </xdr:from>
    <xdr:to>
      <xdr:col>1</xdr:col>
      <xdr:colOff>2891366</xdr:colOff>
      <xdr:row>1</xdr:row>
      <xdr:rowOff>699347</xdr:rowOff>
    </xdr:to>
    <xdr:pic>
      <xdr:nvPicPr>
        <xdr:cNvPr id="2" name="Imagem 1">
          <a:extLst>
            <a:ext uri="{FF2B5EF4-FFF2-40B4-BE49-F238E27FC236}">
              <a16:creationId xmlns:a16="http://schemas.microsoft.com/office/drawing/2014/main" id="{920E3BD1-C498-4ABC-B00C-F9373E7809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77583" y="402167"/>
          <a:ext cx="1219200" cy="4876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66675</xdr:colOff>
      <xdr:row>1</xdr:row>
      <xdr:rowOff>196850</xdr:rowOff>
    </xdr:from>
    <xdr:ext cx="2672555" cy="630000"/>
    <xdr:pic>
      <xdr:nvPicPr>
        <xdr:cNvPr id="2" name="Figura 1">
          <a:extLst>
            <a:ext uri="{FF2B5EF4-FFF2-40B4-BE49-F238E27FC236}">
              <a16:creationId xmlns:a16="http://schemas.microsoft.com/office/drawing/2014/main" id="{69724B8C-CC81-44F9-9CC5-63B9D9679E55}"/>
            </a:ext>
          </a:extLst>
        </xdr:cNvPr>
        <xdr:cNvPicPr>
          <a:picLocks noChangeAspect="1"/>
        </xdr:cNvPicPr>
      </xdr:nvPicPr>
      <xdr:blipFill>
        <a:blip xmlns:r="http://schemas.openxmlformats.org/officeDocument/2006/relationships" r:embed="rId1">
          <a:lum/>
          <a:alphaModFix/>
        </a:blip>
        <a:srcRect/>
        <a:stretch>
          <a:fillRect/>
        </a:stretch>
      </xdr:blipFill>
      <xdr:spPr>
        <a:xfrm>
          <a:off x="66675" y="387350"/>
          <a:ext cx="2672555" cy="630000"/>
        </a:xfrm>
        <a:prstGeom prst="rect">
          <a:avLst/>
        </a:prstGeom>
        <a:noFill/>
        <a:ln>
          <a:noFill/>
        </a:ln>
      </xdr:spPr>
    </xdr:pic>
    <xdr:clientData/>
  </xdr:oneCellAnchor>
  <xdr:twoCellAnchor>
    <xdr:from>
      <xdr:col>2</xdr:col>
      <xdr:colOff>1672167</xdr:colOff>
      <xdr:row>51</xdr:row>
      <xdr:rowOff>666750</xdr:rowOff>
    </xdr:from>
    <xdr:to>
      <xdr:col>4</xdr:col>
      <xdr:colOff>103188</xdr:colOff>
      <xdr:row>51</xdr:row>
      <xdr:rowOff>1121834</xdr:rowOff>
    </xdr:to>
    <xdr:sp macro="" textlink="">
      <xdr:nvSpPr>
        <xdr:cNvPr id="4" name="Retângulo 3">
          <a:extLst>
            <a:ext uri="{FF2B5EF4-FFF2-40B4-BE49-F238E27FC236}">
              <a16:creationId xmlns:a16="http://schemas.microsoft.com/office/drawing/2014/main" id="{E44483CE-E37F-4614-AF89-0456389C23F0}"/>
            </a:ext>
          </a:extLst>
        </xdr:cNvPr>
        <xdr:cNvSpPr/>
      </xdr:nvSpPr>
      <xdr:spPr>
        <a:xfrm>
          <a:off x="3524250" y="12319000"/>
          <a:ext cx="3405188" cy="455084"/>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xdr:txBody>
    </xdr:sp>
    <xdr:clientData/>
  </xdr:twoCellAnchor>
  <xdr:twoCellAnchor editAs="oneCell">
    <xdr:from>
      <xdr:col>2</xdr:col>
      <xdr:colOff>1862666</xdr:colOff>
      <xdr:row>1</xdr:row>
      <xdr:rowOff>179916</xdr:rowOff>
    </xdr:from>
    <xdr:to>
      <xdr:col>2</xdr:col>
      <xdr:colOff>3312583</xdr:colOff>
      <xdr:row>1</xdr:row>
      <xdr:rowOff>759883</xdr:rowOff>
    </xdr:to>
    <xdr:pic>
      <xdr:nvPicPr>
        <xdr:cNvPr id="5" name="Imagem 4">
          <a:extLst>
            <a:ext uri="{FF2B5EF4-FFF2-40B4-BE49-F238E27FC236}">
              <a16:creationId xmlns:a16="http://schemas.microsoft.com/office/drawing/2014/main" id="{C9548F34-13B7-4465-90B7-23A404B700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14749" y="370416"/>
          <a:ext cx="1449917" cy="5799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66675</xdr:colOff>
      <xdr:row>1</xdr:row>
      <xdr:rowOff>196850</xdr:rowOff>
    </xdr:from>
    <xdr:ext cx="2672555" cy="630000"/>
    <xdr:pic>
      <xdr:nvPicPr>
        <xdr:cNvPr id="2" name="Figura 1">
          <a:extLst>
            <a:ext uri="{FF2B5EF4-FFF2-40B4-BE49-F238E27FC236}">
              <a16:creationId xmlns:a16="http://schemas.microsoft.com/office/drawing/2014/main" id="{5BA95742-7AC6-4510-AFAE-C0016E147042}"/>
            </a:ext>
          </a:extLst>
        </xdr:cNvPr>
        <xdr:cNvPicPr>
          <a:picLocks noChangeAspect="1"/>
        </xdr:cNvPicPr>
      </xdr:nvPicPr>
      <xdr:blipFill>
        <a:blip xmlns:r="http://schemas.openxmlformats.org/officeDocument/2006/relationships" r:embed="rId1">
          <a:lum/>
          <a:alphaModFix/>
        </a:blip>
        <a:srcRect/>
        <a:stretch>
          <a:fillRect/>
        </a:stretch>
      </xdr:blipFill>
      <xdr:spPr>
        <a:xfrm>
          <a:off x="66675" y="587375"/>
          <a:ext cx="2672555" cy="630000"/>
        </a:xfrm>
        <a:prstGeom prst="rect">
          <a:avLst/>
        </a:prstGeom>
        <a:noFill/>
        <a:ln>
          <a:noFill/>
        </a:ln>
      </xdr:spPr>
    </xdr:pic>
    <xdr:clientData/>
  </xdr:oneCellAnchor>
  <xdr:twoCellAnchor>
    <xdr:from>
      <xdr:col>2</xdr:col>
      <xdr:colOff>1989667</xdr:colOff>
      <xdr:row>90</xdr:row>
      <xdr:rowOff>978026</xdr:rowOff>
    </xdr:from>
    <xdr:to>
      <xdr:col>4</xdr:col>
      <xdr:colOff>420688</xdr:colOff>
      <xdr:row>90</xdr:row>
      <xdr:rowOff>1480858</xdr:rowOff>
    </xdr:to>
    <xdr:sp macro="" textlink="">
      <xdr:nvSpPr>
        <xdr:cNvPr id="4" name="Retângulo 3">
          <a:extLst>
            <a:ext uri="{FF2B5EF4-FFF2-40B4-BE49-F238E27FC236}">
              <a16:creationId xmlns:a16="http://schemas.microsoft.com/office/drawing/2014/main" id="{12EB59F6-9005-4D97-A863-9784F433D63A}"/>
            </a:ext>
          </a:extLst>
        </xdr:cNvPr>
        <xdr:cNvSpPr/>
      </xdr:nvSpPr>
      <xdr:spPr>
        <a:xfrm>
          <a:off x="3838638" y="47392791"/>
          <a:ext cx="3406432" cy="502832"/>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xdr:txBody>
    </xdr:sp>
    <xdr:clientData/>
  </xdr:twoCellAnchor>
  <xdr:twoCellAnchor editAs="oneCell">
    <xdr:from>
      <xdr:col>2</xdr:col>
      <xdr:colOff>2053166</xdr:colOff>
      <xdr:row>1</xdr:row>
      <xdr:rowOff>179917</xdr:rowOff>
    </xdr:from>
    <xdr:to>
      <xdr:col>2</xdr:col>
      <xdr:colOff>3503083</xdr:colOff>
      <xdr:row>1</xdr:row>
      <xdr:rowOff>759884</xdr:rowOff>
    </xdr:to>
    <xdr:pic>
      <xdr:nvPicPr>
        <xdr:cNvPr id="6" name="Imagem 5">
          <a:extLst>
            <a:ext uri="{FF2B5EF4-FFF2-40B4-BE49-F238E27FC236}">
              <a16:creationId xmlns:a16="http://schemas.microsoft.com/office/drawing/2014/main" id="{6934C96B-F49F-4958-A847-E5DE00408F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05249" y="370417"/>
          <a:ext cx="1449917" cy="57996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34420</xdr:colOff>
      <xdr:row>1</xdr:row>
      <xdr:rowOff>222971</xdr:rowOff>
    </xdr:from>
    <xdr:ext cx="1965830" cy="573665"/>
    <xdr:pic>
      <xdr:nvPicPr>
        <xdr:cNvPr id="2" name="image15.png">
          <a:extLst>
            <a:ext uri="{FF2B5EF4-FFF2-40B4-BE49-F238E27FC236}">
              <a16:creationId xmlns:a16="http://schemas.microsoft.com/office/drawing/2014/main" id="{E3C46991-521A-4F3E-A88A-FD238B0A3A68}"/>
            </a:ext>
          </a:extLst>
        </xdr:cNvPr>
        <xdr:cNvPicPr preferRelativeResize="0"/>
      </xdr:nvPicPr>
      <xdr:blipFill>
        <a:blip xmlns:r="http://schemas.openxmlformats.org/officeDocument/2006/relationships" r:embed="rId1" cstate="print"/>
        <a:stretch>
          <a:fillRect/>
        </a:stretch>
      </xdr:blipFill>
      <xdr:spPr>
        <a:xfrm>
          <a:off x="34420" y="413471"/>
          <a:ext cx="1965830" cy="573665"/>
        </a:xfrm>
        <a:prstGeom prst="rect">
          <a:avLst/>
        </a:prstGeom>
        <a:noFill/>
      </xdr:spPr>
    </xdr:pic>
    <xdr:clientData fLocksWithSheet="0"/>
  </xdr:oneCellAnchor>
  <xdr:twoCellAnchor>
    <xdr:from>
      <xdr:col>1</xdr:col>
      <xdr:colOff>1090380</xdr:colOff>
      <xdr:row>27</xdr:row>
      <xdr:rowOff>381074</xdr:rowOff>
    </xdr:from>
    <xdr:to>
      <xdr:col>8</xdr:col>
      <xdr:colOff>27477</xdr:colOff>
      <xdr:row>27</xdr:row>
      <xdr:rowOff>879231</xdr:rowOff>
    </xdr:to>
    <xdr:sp macro="" textlink="">
      <xdr:nvSpPr>
        <xdr:cNvPr id="5" name="Retângulo 4">
          <a:extLst>
            <a:ext uri="{FF2B5EF4-FFF2-40B4-BE49-F238E27FC236}">
              <a16:creationId xmlns:a16="http://schemas.microsoft.com/office/drawing/2014/main" id="{47F7D85E-4CC2-4FBB-8609-40BF9FEF83AD}"/>
            </a:ext>
          </a:extLst>
        </xdr:cNvPr>
        <xdr:cNvSpPr/>
      </xdr:nvSpPr>
      <xdr:spPr>
        <a:xfrm>
          <a:off x="1639899" y="10887882"/>
          <a:ext cx="3399193" cy="498157"/>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a:p>
          <a:pPr algn="ctr"/>
          <a:endParaRPr lang="pt-BR" sz="800">
            <a:effectLst/>
            <a:latin typeface="SansSerif" panose="00000400000000000000" pitchFamily="2" charset="2"/>
          </a:endParaRPr>
        </a:p>
      </xdr:txBody>
    </xdr:sp>
    <xdr:clientData/>
  </xdr:twoCellAnchor>
  <xdr:twoCellAnchor editAs="oneCell">
    <xdr:from>
      <xdr:col>1</xdr:col>
      <xdr:colOff>1752600</xdr:colOff>
      <xdr:row>1</xdr:row>
      <xdr:rowOff>247650</xdr:rowOff>
    </xdr:from>
    <xdr:to>
      <xdr:col>5</xdr:col>
      <xdr:colOff>28575</xdr:colOff>
      <xdr:row>1</xdr:row>
      <xdr:rowOff>735330</xdr:rowOff>
    </xdr:to>
    <xdr:pic>
      <xdr:nvPicPr>
        <xdr:cNvPr id="3" name="Imagem 2">
          <a:extLst>
            <a:ext uri="{FF2B5EF4-FFF2-40B4-BE49-F238E27FC236}">
              <a16:creationId xmlns:a16="http://schemas.microsoft.com/office/drawing/2014/main" id="{E71A3F3F-F2E8-4449-9F94-A54BBE15587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05050" y="438150"/>
          <a:ext cx="1219200" cy="4876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34420</xdr:colOff>
      <xdr:row>1</xdr:row>
      <xdr:rowOff>222971</xdr:rowOff>
    </xdr:from>
    <xdr:ext cx="1965830" cy="573665"/>
    <xdr:pic>
      <xdr:nvPicPr>
        <xdr:cNvPr id="2" name="image15.png">
          <a:extLst>
            <a:ext uri="{FF2B5EF4-FFF2-40B4-BE49-F238E27FC236}">
              <a16:creationId xmlns:a16="http://schemas.microsoft.com/office/drawing/2014/main" id="{B4179695-17FE-4A1C-A5F8-4BE17D885C2F}"/>
            </a:ext>
          </a:extLst>
        </xdr:cNvPr>
        <xdr:cNvPicPr preferRelativeResize="0"/>
      </xdr:nvPicPr>
      <xdr:blipFill>
        <a:blip xmlns:r="http://schemas.openxmlformats.org/officeDocument/2006/relationships" r:embed="rId1" cstate="print"/>
        <a:stretch>
          <a:fillRect/>
        </a:stretch>
      </xdr:blipFill>
      <xdr:spPr>
        <a:xfrm>
          <a:off x="34420" y="413471"/>
          <a:ext cx="1965830" cy="573665"/>
        </a:xfrm>
        <a:prstGeom prst="rect">
          <a:avLst/>
        </a:prstGeom>
        <a:noFill/>
      </xdr:spPr>
    </xdr:pic>
    <xdr:clientData fLocksWithSheet="0"/>
  </xdr:oneCellAnchor>
  <xdr:twoCellAnchor>
    <xdr:from>
      <xdr:col>1</xdr:col>
      <xdr:colOff>1009785</xdr:colOff>
      <xdr:row>106</xdr:row>
      <xdr:rowOff>161272</xdr:rowOff>
    </xdr:from>
    <xdr:to>
      <xdr:col>7</xdr:col>
      <xdr:colOff>283920</xdr:colOff>
      <xdr:row>106</xdr:row>
      <xdr:rowOff>164129</xdr:rowOff>
    </xdr:to>
    <xdr:sp macro="" textlink="">
      <xdr:nvSpPr>
        <xdr:cNvPr id="3" name="Retângulo 2">
          <a:extLst>
            <a:ext uri="{FF2B5EF4-FFF2-40B4-BE49-F238E27FC236}">
              <a16:creationId xmlns:a16="http://schemas.microsoft.com/office/drawing/2014/main" id="{4F46DCE3-96DF-47D5-8F6F-1432BB59258E}"/>
            </a:ext>
          </a:extLst>
        </xdr:cNvPr>
        <xdr:cNvSpPr/>
      </xdr:nvSpPr>
      <xdr:spPr>
        <a:xfrm>
          <a:off x="1559304" y="22310560"/>
          <a:ext cx="3523751" cy="2857"/>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a:p>
          <a:pPr algn="ctr"/>
          <a:endParaRPr lang="pt-BR" sz="800">
            <a:effectLst/>
            <a:latin typeface="SansSerif" panose="00000400000000000000" pitchFamily="2" charset="2"/>
          </a:endParaRPr>
        </a:p>
      </xdr:txBody>
    </xdr:sp>
    <xdr:clientData/>
  </xdr:twoCellAnchor>
  <xdr:twoCellAnchor editAs="oneCell">
    <xdr:from>
      <xdr:col>1</xdr:col>
      <xdr:colOff>1752600</xdr:colOff>
      <xdr:row>1</xdr:row>
      <xdr:rowOff>247650</xdr:rowOff>
    </xdr:from>
    <xdr:to>
      <xdr:col>5</xdr:col>
      <xdr:colOff>28575</xdr:colOff>
      <xdr:row>1</xdr:row>
      <xdr:rowOff>735330</xdr:rowOff>
    </xdr:to>
    <xdr:pic>
      <xdr:nvPicPr>
        <xdr:cNvPr id="4" name="Imagem 3">
          <a:extLst>
            <a:ext uri="{FF2B5EF4-FFF2-40B4-BE49-F238E27FC236}">
              <a16:creationId xmlns:a16="http://schemas.microsoft.com/office/drawing/2014/main" id="{429F7621-AB4C-459D-BFA8-942884750D8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05050" y="438150"/>
          <a:ext cx="1219200" cy="487680"/>
        </a:xfrm>
        <a:prstGeom prst="rect">
          <a:avLst/>
        </a:prstGeom>
      </xdr:spPr>
    </xdr:pic>
    <xdr:clientData/>
  </xdr:twoCellAnchor>
  <xdr:twoCellAnchor>
    <xdr:from>
      <xdr:col>1</xdr:col>
      <xdr:colOff>1003789</xdr:colOff>
      <xdr:row>107</xdr:row>
      <xdr:rowOff>36634</xdr:rowOff>
    </xdr:from>
    <xdr:to>
      <xdr:col>7</xdr:col>
      <xdr:colOff>153366</xdr:colOff>
      <xdr:row>109</xdr:row>
      <xdr:rowOff>153791</xdr:rowOff>
    </xdr:to>
    <xdr:sp macro="" textlink="">
      <xdr:nvSpPr>
        <xdr:cNvPr id="6" name="Retângulo 5">
          <a:extLst>
            <a:ext uri="{FF2B5EF4-FFF2-40B4-BE49-F238E27FC236}">
              <a16:creationId xmlns:a16="http://schemas.microsoft.com/office/drawing/2014/main" id="{C1D8C223-6E5D-4C79-A597-C86AC751A817}"/>
            </a:ext>
          </a:extLst>
        </xdr:cNvPr>
        <xdr:cNvSpPr/>
      </xdr:nvSpPr>
      <xdr:spPr>
        <a:xfrm>
          <a:off x="1553308" y="22757422"/>
          <a:ext cx="3399193" cy="498157"/>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a:p>
          <a:pPr algn="ctr"/>
          <a:endParaRPr lang="pt-BR" sz="800">
            <a:effectLst/>
            <a:latin typeface="SansSerif" panose="00000400000000000000" pitchFamily="2" charset="2"/>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38100</xdr:colOff>
      <xdr:row>1</xdr:row>
      <xdr:rowOff>463550</xdr:rowOff>
    </xdr:from>
    <xdr:ext cx="1508509" cy="355600"/>
    <xdr:pic>
      <xdr:nvPicPr>
        <xdr:cNvPr id="3" name="Figura 1">
          <a:extLst>
            <a:ext uri="{FF2B5EF4-FFF2-40B4-BE49-F238E27FC236}">
              <a16:creationId xmlns:a16="http://schemas.microsoft.com/office/drawing/2014/main" id="{6AECBB2B-6992-4E18-8908-10135A20095D}"/>
            </a:ext>
          </a:extLst>
        </xdr:cNvPr>
        <xdr:cNvPicPr>
          <a:picLocks noChangeAspect="1"/>
        </xdr:cNvPicPr>
      </xdr:nvPicPr>
      <xdr:blipFill>
        <a:blip xmlns:r="http://schemas.openxmlformats.org/officeDocument/2006/relationships" r:embed="rId1">
          <a:lum/>
          <a:alphaModFix/>
        </a:blip>
        <a:srcRect/>
        <a:stretch>
          <a:fillRect/>
        </a:stretch>
      </xdr:blipFill>
      <xdr:spPr>
        <a:xfrm>
          <a:off x="38100" y="654050"/>
          <a:ext cx="1508509" cy="355600"/>
        </a:xfrm>
        <a:prstGeom prst="rect">
          <a:avLst/>
        </a:prstGeom>
        <a:noFill/>
        <a:ln>
          <a:noFill/>
        </a:ln>
      </xdr:spPr>
    </xdr:pic>
    <xdr:clientData/>
  </xdr:oneCellAnchor>
  <xdr:twoCellAnchor>
    <xdr:from>
      <xdr:col>2</xdr:col>
      <xdr:colOff>420566</xdr:colOff>
      <xdr:row>387</xdr:row>
      <xdr:rowOff>768596</xdr:rowOff>
    </xdr:from>
    <xdr:to>
      <xdr:col>7</xdr:col>
      <xdr:colOff>253879</xdr:colOff>
      <xdr:row>387</xdr:row>
      <xdr:rowOff>1245578</xdr:rowOff>
    </xdr:to>
    <xdr:sp macro="" textlink="">
      <xdr:nvSpPr>
        <xdr:cNvPr id="5" name="Retângulo 4">
          <a:extLst>
            <a:ext uri="{FF2B5EF4-FFF2-40B4-BE49-F238E27FC236}">
              <a16:creationId xmlns:a16="http://schemas.microsoft.com/office/drawing/2014/main" id="{133BD7A7-AE1E-456C-B55E-7B3FD27C0A23}"/>
            </a:ext>
          </a:extLst>
        </xdr:cNvPr>
        <xdr:cNvSpPr/>
      </xdr:nvSpPr>
      <xdr:spPr>
        <a:xfrm>
          <a:off x="1995854" y="112599423"/>
          <a:ext cx="3518756" cy="476982"/>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xdr:txBody>
    </xdr:sp>
    <xdr:clientData/>
  </xdr:twoCellAnchor>
  <xdr:twoCellAnchor editAs="oneCell">
    <xdr:from>
      <xdr:col>2</xdr:col>
      <xdr:colOff>142874</xdr:colOff>
      <xdr:row>1</xdr:row>
      <xdr:rowOff>426720</xdr:rowOff>
    </xdr:from>
    <xdr:to>
      <xdr:col>3</xdr:col>
      <xdr:colOff>145072</xdr:colOff>
      <xdr:row>1</xdr:row>
      <xdr:rowOff>811530</xdr:rowOff>
    </xdr:to>
    <xdr:pic>
      <xdr:nvPicPr>
        <xdr:cNvPr id="2" name="Imagem 1">
          <a:extLst>
            <a:ext uri="{FF2B5EF4-FFF2-40B4-BE49-F238E27FC236}">
              <a16:creationId xmlns:a16="http://schemas.microsoft.com/office/drawing/2014/main" id="{3A690064-EA4B-4BD9-93C3-37237187508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14499" y="617220"/>
          <a:ext cx="962025" cy="3848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1152525</xdr:colOff>
      <xdr:row>29</xdr:row>
      <xdr:rowOff>125730</xdr:rowOff>
    </xdr:from>
    <xdr:to>
      <xdr:col>3</xdr:col>
      <xdr:colOff>476250</xdr:colOff>
      <xdr:row>32</xdr:row>
      <xdr:rowOff>30480</xdr:rowOff>
    </xdr:to>
    <xdr:pic>
      <xdr:nvPicPr>
        <xdr:cNvPr id="2" name="Picture 19">
          <a:extLst>
            <a:ext uri="{FF2B5EF4-FFF2-40B4-BE49-F238E27FC236}">
              <a16:creationId xmlns:a16="http://schemas.microsoft.com/office/drawing/2014/main" id="{A47F7E29-C994-45C8-9B58-A6714DC61E99}"/>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10231755"/>
          <a:ext cx="5153025" cy="3905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140971</xdr:colOff>
      <xdr:row>0</xdr:row>
      <xdr:rowOff>301467</xdr:rowOff>
    </xdr:from>
    <xdr:ext cx="2141220" cy="630000"/>
    <xdr:pic>
      <xdr:nvPicPr>
        <xdr:cNvPr id="3" name="Figura 1">
          <a:extLst>
            <a:ext uri="{FF2B5EF4-FFF2-40B4-BE49-F238E27FC236}">
              <a16:creationId xmlns:a16="http://schemas.microsoft.com/office/drawing/2014/main" id="{62F1C635-5F40-4905-BF57-6C4B98CEF1F6}"/>
            </a:ext>
          </a:extLst>
        </xdr:cNvPr>
        <xdr:cNvPicPr>
          <a:picLocks noChangeAspect="1"/>
        </xdr:cNvPicPr>
      </xdr:nvPicPr>
      <xdr:blipFill>
        <a:blip xmlns:r="http://schemas.openxmlformats.org/officeDocument/2006/relationships" r:embed="rId2">
          <a:lum/>
          <a:alphaModFix/>
        </a:blip>
        <a:srcRect/>
        <a:stretch>
          <a:fillRect/>
        </a:stretch>
      </xdr:blipFill>
      <xdr:spPr>
        <a:xfrm>
          <a:off x="140971" y="301467"/>
          <a:ext cx="2141220" cy="630000"/>
        </a:xfrm>
        <a:prstGeom prst="rect">
          <a:avLst/>
        </a:prstGeom>
        <a:noFill/>
        <a:ln>
          <a:noFill/>
        </a:ln>
      </xdr:spPr>
    </xdr:pic>
    <xdr:clientData/>
  </xdr:oneCellAnchor>
  <xdr:twoCellAnchor>
    <xdr:from>
      <xdr:col>0</xdr:col>
      <xdr:colOff>2309813</xdr:colOff>
      <xdr:row>39</xdr:row>
      <xdr:rowOff>650081</xdr:rowOff>
    </xdr:from>
    <xdr:to>
      <xdr:col>2</xdr:col>
      <xdr:colOff>1035845</xdr:colOff>
      <xdr:row>39</xdr:row>
      <xdr:rowOff>1143000</xdr:rowOff>
    </xdr:to>
    <xdr:sp macro="" textlink="">
      <xdr:nvSpPr>
        <xdr:cNvPr id="4" name="Retângulo 3">
          <a:extLst>
            <a:ext uri="{FF2B5EF4-FFF2-40B4-BE49-F238E27FC236}">
              <a16:creationId xmlns:a16="http://schemas.microsoft.com/office/drawing/2014/main" id="{8F75C3C5-C6B6-4EDE-A336-D3CA2DB4BEC7}"/>
            </a:ext>
          </a:extLst>
        </xdr:cNvPr>
        <xdr:cNvSpPr/>
      </xdr:nvSpPr>
      <xdr:spPr>
        <a:xfrm>
          <a:off x="2309813" y="12575381"/>
          <a:ext cx="3402807" cy="492919"/>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xdr:txBody>
    </xdr:sp>
    <xdr:clientData/>
  </xdr:twoCellAnchor>
  <xdr:twoCellAnchor editAs="oneCell">
    <xdr:from>
      <xdr:col>0</xdr:col>
      <xdr:colOff>2881313</xdr:colOff>
      <xdr:row>0</xdr:row>
      <xdr:rowOff>309563</xdr:rowOff>
    </xdr:from>
    <xdr:to>
      <xdr:col>1</xdr:col>
      <xdr:colOff>611982</xdr:colOff>
      <xdr:row>0</xdr:row>
      <xdr:rowOff>797243</xdr:rowOff>
    </xdr:to>
    <xdr:pic>
      <xdr:nvPicPr>
        <xdr:cNvPr id="5" name="Imagem 4">
          <a:extLst>
            <a:ext uri="{FF2B5EF4-FFF2-40B4-BE49-F238E27FC236}">
              <a16:creationId xmlns:a16="http://schemas.microsoft.com/office/drawing/2014/main" id="{B951FA4D-9777-4B2B-8114-F8D0001D2DD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81313" y="309563"/>
          <a:ext cx="1216819" cy="48768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1152525</xdr:colOff>
      <xdr:row>29</xdr:row>
      <xdr:rowOff>125730</xdr:rowOff>
    </xdr:from>
    <xdr:to>
      <xdr:col>3</xdr:col>
      <xdr:colOff>476250</xdr:colOff>
      <xdr:row>32</xdr:row>
      <xdr:rowOff>30480</xdr:rowOff>
    </xdr:to>
    <xdr:pic>
      <xdr:nvPicPr>
        <xdr:cNvPr id="2" name="Picture 19">
          <a:extLst>
            <a:ext uri="{FF2B5EF4-FFF2-40B4-BE49-F238E27FC236}">
              <a16:creationId xmlns:a16="http://schemas.microsoft.com/office/drawing/2014/main" id="{348104BC-D911-484F-B9E2-E1DE5BFB0AFF}"/>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11412855"/>
          <a:ext cx="5153025" cy="3905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140971</xdr:colOff>
      <xdr:row>0</xdr:row>
      <xdr:rowOff>301467</xdr:rowOff>
    </xdr:from>
    <xdr:ext cx="2141220" cy="630000"/>
    <xdr:pic>
      <xdr:nvPicPr>
        <xdr:cNvPr id="3" name="Figura 1">
          <a:extLst>
            <a:ext uri="{FF2B5EF4-FFF2-40B4-BE49-F238E27FC236}">
              <a16:creationId xmlns:a16="http://schemas.microsoft.com/office/drawing/2014/main" id="{5FC380ED-09A6-4D5B-B66B-D3B063F3AF32}"/>
            </a:ext>
          </a:extLst>
        </xdr:cNvPr>
        <xdr:cNvPicPr>
          <a:picLocks noChangeAspect="1"/>
        </xdr:cNvPicPr>
      </xdr:nvPicPr>
      <xdr:blipFill>
        <a:blip xmlns:r="http://schemas.openxmlformats.org/officeDocument/2006/relationships" r:embed="rId2">
          <a:lum/>
          <a:alphaModFix/>
        </a:blip>
        <a:srcRect/>
        <a:stretch>
          <a:fillRect/>
        </a:stretch>
      </xdr:blipFill>
      <xdr:spPr>
        <a:xfrm>
          <a:off x="140971" y="301467"/>
          <a:ext cx="2141220" cy="630000"/>
        </a:xfrm>
        <a:prstGeom prst="rect">
          <a:avLst/>
        </a:prstGeom>
        <a:noFill/>
        <a:ln>
          <a:noFill/>
        </a:ln>
      </xdr:spPr>
    </xdr:pic>
    <xdr:clientData/>
  </xdr:oneCellAnchor>
  <xdr:twoCellAnchor>
    <xdr:from>
      <xdr:col>0</xdr:col>
      <xdr:colOff>2309813</xdr:colOff>
      <xdr:row>39</xdr:row>
      <xdr:rowOff>650081</xdr:rowOff>
    </xdr:from>
    <xdr:to>
      <xdr:col>2</xdr:col>
      <xdr:colOff>1035845</xdr:colOff>
      <xdr:row>39</xdr:row>
      <xdr:rowOff>1143000</xdr:rowOff>
    </xdr:to>
    <xdr:sp macro="" textlink="">
      <xdr:nvSpPr>
        <xdr:cNvPr id="7" name="Retângulo 6">
          <a:extLst>
            <a:ext uri="{FF2B5EF4-FFF2-40B4-BE49-F238E27FC236}">
              <a16:creationId xmlns:a16="http://schemas.microsoft.com/office/drawing/2014/main" id="{80BE607C-C173-4339-BF5B-25BF484B5048}"/>
            </a:ext>
          </a:extLst>
        </xdr:cNvPr>
        <xdr:cNvSpPr/>
      </xdr:nvSpPr>
      <xdr:spPr>
        <a:xfrm>
          <a:off x="2309813" y="12575381"/>
          <a:ext cx="3402807" cy="492919"/>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xdr:txBody>
    </xdr:sp>
    <xdr:clientData/>
  </xdr:twoCellAnchor>
  <xdr:twoCellAnchor editAs="oneCell">
    <xdr:from>
      <xdr:col>0</xdr:col>
      <xdr:colOff>2881313</xdr:colOff>
      <xdr:row>0</xdr:row>
      <xdr:rowOff>309563</xdr:rowOff>
    </xdr:from>
    <xdr:to>
      <xdr:col>1</xdr:col>
      <xdr:colOff>611982</xdr:colOff>
      <xdr:row>0</xdr:row>
      <xdr:rowOff>797243</xdr:rowOff>
    </xdr:to>
    <xdr:pic>
      <xdr:nvPicPr>
        <xdr:cNvPr id="4" name="Imagem 3">
          <a:extLst>
            <a:ext uri="{FF2B5EF4-FFF2-40B4-BE49-F238E27FC236}">
              <a16:creationId xmlns:a16="http://schemas.microsoft.com/office/drawing/2014/main" id="{994DDD61-2220-42E2-AA57-36E754FA053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81313" y="309563"/>
          <a:ext cx="1219200" cy="48768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142875</xdr:colOff>
      <xdr:row>1</xdr:row>
      <xdr:rowOff>342900</xdr:rowOff>
    </xdr:from>
    <xdr:ext cx="1697073" cy="400050"/>
    <xdr:pic>
      <xdr:nvPicPr>
        <xdr:cNvPr id="3" name="Figura 1">
          <a:extLst>
            <a:ext uri="{FF2B5EF4-FFF2-40B4-BE49-F238E27FC236}">
              <a16:creationId xmlns:a16="http://schemas.microsoft.com/office/drawing/2014/main" id="{72F4175A-86F9-42D8-B899-883FD97A9DE3}"/>
            </a:ext>
          </a:extLst>
        </xdr:cNvPr>
        <xdr:cNvPicPr>
          <a:picLocks noChangeAspect="1"/>
        </xdr:cNvPicPr>
      </xdr:nvPicPr>
      <xdr:blipFill>
        <a:blip xmlns:r="http://schemas.openxmlformats.org/officeDocument/2006/relationships" r:embed="rId1">
          <a:lum/>
          <a:alphaModFix/>
        </a:blip>
        <a:srcRect/>
        <a:stretch>
          <a:fillRect/>
        </a:stretch>
      </xdr:blipFill>
      <xdr:spPr>
        <a:xfrm>
          <a:off x="142875" y="533400"/>
          <a:ext cx="1697073" cy="400050"/>
        </a:xfrm>
        <a:prstGeom prst="rect">
          <a:avLst/>
        </a:prstGeom>
        <a:noFill/>
        <a:ln>
          <a:noFill/>
        </a:ln>
      </xdr:spPr>
    </xdr:pic>
    <xdr:clientData/>
  </xdr:oneCellAnchor>
  <xdr:twoCellAnchor>
    <xdr:from>
      <xdr:col>1</xdr:col>
      <xdr:colOff>1784838</xdr:colOff>
      <xdr:row>53</xdr:row>
      <xdr:rowOff>570767</xdr:rowOff>
    </xdr:from>
    <xdr:to>
      <xdr:col>6</xdr:col>
      <xdr:colOff>494201</xdr:colOff>
      <xdr:row>53</xdr:row>
      <xdr:rowOff>1033096</xdr:rowOff>
    </xdr:to>
    <xdr:sp macro="" textlink="">
      <xdr:nvSpPr>
        <xdr:cNvPr id="5" name="Retângulo 4">
          <a:extLst>
            <a:ext uri="{FF2B5EF4-FFF2-40B4-BE49-F238E27FC236}">
              <a16:creationId xmlns:a16="http://schemas.microsoft.com/office/drawing/2014/main" id="{1631F69A-A423-4C2F-83BC-A5BE847B55FB}"/>
            </a:ext>
          </a:extLst>
        </xdr:cNvPr>
        <xdr:cNvSpPr/>
      </xdr:nvSpPr>
      <xdr:spPr>
        <a:xfrm>
          <a:off x="2678723" y="10821132"/>
          <a:ext cx="3618401" cy="462329"/>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xdr:txBody>
    </xdr:sp>
    <xdr:clientData/>
  </xdr:twoCellAnchor>
  <xdr:twoCellAnchor editAs="oneCell">
    <xdr:from>
      <xdr:col>1</xdr:col>
      <xdr:colOff>1381125</xdr:colOff>
      <xdr:row>1</xdr:row>
      <xdr:rowOff>180975</xdr:rowOff>
    </xdr:from>
    <xdr:to>
      <xdr:col>2</xdr:col>
      <xdr:colOff>742950</xdr:colOff>
      <xdr:row>1</xdr:row>
      <xdr:rowOff>668655</xdr:rowOff>
    </xdr:to>
    <xdr:pic>
      <xdr:nvPicPr>
        <xdr:cNvPr id="2" name="Imagem 1">
          <a:extLst>
            <a:ext uri="{FF2B5EF4-FFF2-40B4-BE49-F238E27FC236}">
              <a16:creationId xmlns:a16="http://schemas.microsoft.com/office/drawing/2014/main" id="{9A90ABB0-1F67-48AB-8E2C-26303B4322D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6475" y="371475"/>
          <a:ext cx="1219200" cy="4876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177006</xdr:colOff>
      <xdr:row>1</xdr:row>
      <xdr:rowOff>161925</xdr:rowOff>
    </xdr:from>
    <xdr:ext cx="2355056" cy="547687"/>
    <xdr:pic>
      <xdr:nvPicPr>
        <xdr:cNvPr id="3" name="image15.png">
          <a:extLst>
            <a:ext uri="{FF2B5EF4-FFF2-40B4-BE49-F238E27FC236}">
              <a16:creationId xmlns:a16="http://schemas.microsoft.com/office/drawing/2014/main" id="{11718A3D-DE54-40A3-97A6-6DDE1969E77C}"/>
            </a:ext>
          </a:extLst>
        </xdr:cNvPr>
        <xdr:cNvPicPr preferRelativeResize="0"/>
      </xdr:nvPicPr>
      <xdr:blipFill>
        <a:blip xmlns:r="http://schemas.openxmlformats.org/officeDocument/2006/relationships" r:embed="rId1" cstate="print"/>
        <a:stretch>
          <a:fillRect/>
        </a:stretch>
      </xdr:blipFill>
      <xdr:spPr>
        <a:xfrm>
          <a:off x="177006" y="352425"/>
          <a:ext cx="2355056" cy="547687"/>
        </a:xfrm>
        <a:prstGeom prst="rect">
          <a:avLst/>
        </a:prstGeom>
        <a:noFill/>
      </xdr:spPr>
    </xdr:pic>
    <xdr:clientData fLocksWithSheet="0"/>
  </xdr:oneCellAnchor>
  <xdr:twoCellAnchor>
    <xdr:from>
      <xdr:col>1</xdr:col>
      <xdr:colOff>2428875</xdr:colOff>
      <xdr:row>15</xdr:row>
      <xdr:rowOff>529167</xdr:rowOff>
    </xdr:from>
    <xdr:to>
      <xdr:col>5</xdr:col>
      <xdr:colOff>300038</xdr:colOff>
      <xdr:row>15</xdr:row>
      <xdr:rowOff>976312</xdr:rowOff>
    </xdr:to>
    <xdr:sp macro="" textlink="">
      <xdr:nvSpPr>
        <xdr:cNvPr id="5" name="Retângulo 4">
          <a:extLst>
            <a:ext uri="{FF2B5EF4-FFF2-40B4-BE49-F238E27FC236}">
              <a16:creationId xmlns:a16="http://schemas.microsoft.com/office/drawing/2014/main" id="{1A56F2B0-114B-4B11-97BB-920C95F4F7E6}"/>
            </a:ext>
          </a:extLst>
        </xdr:cNvPr>
        <xdr:cNvSpPr/>
      </xdr:nvSpPr>
      <xdr:spPr>
        <a:xfrm>
          <a:off x="3254375" y="6029855"/>
          <a:ext cx="3387726" cy="447145"/>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pt-BR" sz="800">
              <a:solidFill>
                <a:schemeClr val="dk1"/>
              </a:solidFill>
              <a:effectLst/>
              <a:latin typeface="SansSerif" panose="00000400000000000000" pitchFamily="2" charset="2"/>
              <a:ea typeface="+mn-ea"/>
              <a:cs typeface="+mn-cs"/>
            </a:rPr>
            <a:t>ERISTHON HUGO GOMES DA SILVA</a:t>
          </a:r>
        </a:p>
        <a:p>
          <a:pPr algn="ctr"/>
          <a:r>
            <a:rPr lang="pt-BR" sz="800">
              <a:solidFill>
                <a:schemeClr val="dk1"/>
              </a:solidFill>
              <a:effectLst/>
              <a:latin typeface="SansSerif" panose="00000400000000000000" pitchFamily="2" charset="2"/>
              <a:ea typeface="+mn-ea"/>
              <a:cs typeface="+mn-cs"/>
            </a:rPr>
            <a:t>ENGENHEIRO CIVIL - CREA N° 82931 PE</a:t>
          </a:r>
        </a:p>
        <a:p>
          <a:pPr algn="ctr"/>
          <a:r>
            <a:rPr lang="pt-BR" sz="800">
              <a:solidFill>
                <a:schemeClr val="dk1"/>
              </a:solidFill>
              <a:effectLst/>
              <a:latin typeface="SansSerif" panose="00000400000000000000" pitchFamily="2" charset="2"/>
              <a:ea typeface="+mn-ea"/>
              <a:cs typeface="+mn-cs"/>
            </a:rPr>
            <a:t>RESPONSÁVEL TÉCNICO </a:t>
          </a:r>
        </a:p>
        <a:p>
          <a:pPr algn="ctr"/>
          <a:r>
            <a:rPr lang="pt-BR" sz="800">
              <a:solidFill>
                <a:schemeClr val="dk1"/>
              </a:solidFill>
              <a:effectLst/>
              <a:latin typeface="SansSerif" panose="00000400000000000000" pitchFamily="2" charset="2"/>
              <a:ea typeface="+mn-ea"/>
              <a:cs typeface="+mn-cs"/>
            </a:rPr>
            <a:t> </a:t>
          </a:r>
          <a:endParaRPr lang="pt-BR" sz="800">
            <a:effectLst/>
            <a:latin typeface="SansSerif" panose="00000400000000000000" pitchFamily="2" charset="2"/>
          </a:endParaRPr>
        </a:p>
      </xdr:txBody>
    </xdr:sp>
    <xdr:clientData/>
  </xdr:twoCellAnchor>
  <xdr:twoCellAnchor editAs="oneCell">
    <xdr:from>
      <xdr:col>1</xdr:col>
      <xdr:colOff>2238374</xdr:colOff>
      <xdr:row>1</xdr:row>
      <xdr:rowOff>150812</xdr:rowOff>
    </xdr:from>
    <xdr:to>
      <xdr:col>1</xdr:col>
      <xdr:colOff>3457574</xdr:colOff>
      <xdr:row>1</xdr:row>
      <xdr:rowOff>638492</xdr:rowOff>
    </xdr:to>
    <xdr:pic>
      <xdr:nvPicPr>
        <xdr:cNvPr id="2" name="Imagem 1">
          <a:extLst>
            <a:ext uri="{FF2B5EF4-FFF2-40B4-BE49-F238E27FC236}">
              <a16:creationId xmlns:a16="http://schemas.microsoft.com/office/drawing/2014/main" id="{FB9AB2B0-B1DD-469E-B49B-8963FAC484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63874" y="341312"/>
          <a:ext cx="1219200" cy="4876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0</xdr:col>
      <xdr:colOff>95249</xdr:colOff>
      <xdr:row>1</xdr:row>
      <xdr:rowOff>178157</xdr:rowOff>
    </xdr:from>
    <xdr:ext cx="1869282" cy="680443"/>
    <xdr:pic>
      <xdr:nvPicPr>
        <xdr:cNvPr id="2" name="Figura 1">
          <a:extLst>
            <a:ext uri="{FF2B5EF4-FFF2-40B4-BE49-F238E27FC236}">
              <a16:creationId xmlns:a16="http://schemas.microsoft.com/office/drawing/2014/main" id="{6FBFFE81-0938-49CE-B67B-9BB0E8FD984C}"/>
            </a:ext>
          </a:extLst>
        </xdr:cNvPr>
        <xdr:cNvPicPr>
          <a:picLocks noChangeAspect="1"/>
        </xdr:cNvPicPr>
      </xdr:nvPicPr>
      <xdr:blipFill>
        <a:blip xmlns:r="http://schemas.openxmlformats.org/officeDocument/2006/relationships" r:embed="rId1">
          <a:lum/>
          <a:alphaModFix/>
        </a:blip>
        <a:srcRect/>
        <a:stretch>
          <a:fillRect/>
        </a:stretch>
      </xdr:blipFill>
      <xdr:spPr>
        <a:xfrm>
          <a:off x="95249" y="368657"/>
          <a:ext cx="1869282" cy="680443"/>
        </a:xfrm>
        <a:prstGeom prst="rect">
          <a:avLst/>
        </a:prstGeom>
        <a:noFill/>
        <a:ln>
          <a:noFill/>
        </a:ln>
      </xdr:spPr>
    </xdr:pic>
    <xdr:clientData/>
  </xdr:oneCellAnchor>
  <xdr:twoCellAnchor>
    <xdr:from>
      <xdr:col>1</xdr:col>
      <xdr:colOff>1328737</xdr:colOff>
      <xdr:row>44</xdr:row>
      <xdr:rowOff>771526</xdr:rowOff>
    </xdr:from>
    <xdr:to>
      <xdr:col>4</xdr:col>
      <xdr:colOff>460905</xdr:colOff>
      <xdr:row>44</xdr:row>
      <xdr:rowOff>1262063</xdr:rowOff>
    </xdr:to>
    <xdr:sp macro="" textlink="">
      <xdr:nvSpPr>
        <xdr:cNvPr id="5" name="Retângulo 4">
          <a:extLst>
            <a:ext uri="{FF2B5EF4-FFF2-40B4-BE49-F238E27FC236}">
              <a16:creationId xmlns:a16="http://schemas.microsoft.com/office/drawing/2014/main" id="{704A8A33-24BC-431B-A879-CAB6B5C17C36}"/>
            </a:ext>
          </a:extLst>
        </xdr:cNvPr>
        <xdr:cNvSpPr/>
      </xdr:nvSpPr>
      <xdr:spPr>
        <a:xfrm>
          <a:off x="2309812" y="10925176"/>
          <a:ext cx="3504143" cy="490537"/>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pt-BR" sz="1100">
              <a:solidFill>
                <a:schemeClr val="dk1"/>
              </a:solidFill>
              <a:effectLst/>
              <a:latin typeface="+mn-lt"/>
              <a:ea typeface="+mn-ea"/>
              <a:cs typeface="+mn-cs"/>
            </a:rPr>
            <a:t>ERISTHON HUGO GOMES DA SILVA</a:t>
          </a:r>
          <a:endParaRPr lang="pt-BR" sz="800">
            <a:effectLst/>
          </a:endParaRPr>
        </a:p>
        <a:p>
          <a:pPr algn="ctr"/>
          <a:r>
            <a:rPr lang="pt-BR" sz="1100">
              <a:solidFill>
                <a:schemeClr val="dk1"/>
              </a:solidFill>
              <a:effectLst/>
              <a:latin typeface="+mn-lt"/>
              <a:ea typeface="+mn-ea"/>
              <a:cs typeface="+mn-cs"/>
            </a:rPr>
            <a:t>ENGENHEIRO CIVIL - CREA N° 82931 PE</a:t>
          </a:r>
          <a:endParaRPr lang="pt-BR" sz="800">
            <a:effectLst/>
          </a:endParaRPr>
        </a:p>
        <a:p>
          <a:pPr algn="ctr"/>
          <a:r>
            <a:rPr lang="pt-BR" sz="1100">
              <a:solidFill>
                <a:schemeClr val="dk1"/>
              </a:solidFill>
              <a:effectLst/>
              <a:latin typeface="+mn-lt"/>
              <a:ea typeface="+mn-ea"/>
              <a:cs typeface="+mn-cs"/>
            </a:rPr>
            <a:t>RESPONSÁVEL TÉCNICO </a:t>
          </a:r>
          <a:endParaRPr lang="pt-BR" sz="800">
            <a:effectLst/>
          </a:endParaRPr>
        </a:p>
      </xdr:txBody>
    </xdr:sp>
    <xdr:clientData/>
  </xdr:twoCellAnchor>
  <xdr:twoCellAnchor editAs="oneCell">
    <xdr:from>
      <xdr:col>1</xdr:col>
      <xdr:colOff>1452563</xdr:colOff>
      <xdr:row>1</xdr:row>
      <xdr:rowOff>238126</xdr:rowOff>
    </xdr:from>
    <xdr:to>
      <xdr:col>2</xdr:col>
      <xdr:colOff>421482</xdr:colOff>
      <xdr:row>1</xdr:row>
      <xdr:rowOff>725806</xdr:rowOff>
    </xdr:to>
    <xdr:pic>
      <xdr:nvPicPr>
        <xdr:cNvPr id="3" name="Imagem 2">
          <a:extLst>
            <a:ext uri="{FF2B5EF4-FFF2-40B4-BE49-F238E27FC236}">
              <a16:creationId xmlns:a16="http://schemas.microsoft.com/office/drawing/2014/main" id="{AE9FBE2F-E567-46D3-9B9D-0449558C64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05063" y="428626"/>
          <a:ext cx="1219200" cy="4876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ilma/Desktop/PMJA%202024/PAVIMENTA&#199;&#195;O%20PARALELEP&#205;PEDOS%20ESTADO/PENDENCIA/Planilha_Orcamentaria_Salgueiro___Sem_Desoneraca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leber.sbezerra/Downloads/PLANILHAS%20DE%20FREI%20MIGUELINHO/PROJETO%2029%20(%20PAVIMENTA&#199;&#195;O%20DE%20RUAS%20500MIL)/Modelo+BDI+&amp;+ENCARGO+SOCIAL+(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Resumo Comparativa"/>
      <sheetName val="Planilha Resumo"/>
      <sheetName val="Planilha Resumo por Rua"/>
      <sheetName val="Planilha Orçamentária"/>
      <sheetName val="Memória de Cálculo"/>
      <sheetName val="BDI Gerais"/>
      <sheetName val="BDI Preços de Cotação"/>
      <sheetName val="BDI Fornecimento e transp."/>
      <sheetName val="Composições Próprias"/>
      <sheetName val="Composições Auxiliares"/>
      <sheetName val="Cronograma Físico-Financeiro"/>
      <sheetName val="Curva ABC"/>
      <sheetName val="Encargos Sociais"/>
      <sheetName val="Localização do Bota-Fora"/>
      <sheetName val="DMT Bota-Fora"/>
      <sheetName val="Localização da Pedreira"/>
      <sheetName val="DMT Britadei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 Mod. 1"/>
      <sheetName val="dados do BDI modelo 1"/>
      <sheetName val="BDI - Mod. 2 "/>
      <sheetName val="E.S. - Modelo SINAPI SIMPLES"/>
      <sheetName val="E.S. - Modelo SINAPI (2)"/>
      <sheetName val="E.S. - Modelo 1"/>
      <sheetName val="E.S. - Modelo PINI"/>
      <sheetName val="E.S. - Resumo e Definições"/>
      <sheetName val="Tabelas"/>
    </sheetNames>
    <sheetDataSet>
      <sheetData sheetId="0"/>
      <sheetData sheetId="1">
        <row r="1">
          <cell r="A1" t="str">
            <v>Construção de Edifícios</v>
          </cell>
        </row>
        <row r="2">
          <cell r="A2" t="str">
            <v>Construção de Rodovias e Ferrovias</v>
          </cell>
        </row>
        <row r="3">
          <cell r="A3" t="str">
            <v>Construção de Redes de Abastecimento de Água, Coleta de Esgoto e Construções Correlatas</v>
          </cell>
        </row>
        <row r="4">
          <cell r="A4" t="str">
            <v>Construção e Manutenção de Estações e Redes de Distribuição de Energia Elétrica</v>
          </cell>
        </row>
        <row r="5">
          <cell r="A5" t="str">
            <v>Obras Portuárias, Marítimas e Fluviais</v>
          </cell>
        </row>
        <row r="6">
          <cell r="A6" t="str">
            <v>Fornecimento de Materiais e Equipamentos</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outlinePr summaryBelow="0"/>
  </sheetPr>
  <dimension ref="A1:J18"/>
  <sheetViews>
    <sheetView view="pageBreakPreview" zoomScale="115" zoomScaleNormal="100" zoomScaleSheetLayoutView="115" workbookViewId="0">
      <selection activeCell="B22" sqref="B22"/>
    </sheetView>
  </sheetViews>
  <sheetFormatPr defaultColWidth="9.109375" defaultRowHeight="14.4"/>
  <cols>
    <col min="1" max="1" width="15" style="52" customWidth="1"/>
    <col min="2" max="2" width="50" style="52" customWidth="1"/>
    <col min="3" max="3" width="18.33203125" style="52" customWidth="1"/>
    <col min="4" max="4" width="17" style="52" customWidth="1"/>
    <col min="5" max="5" width="15.33203125" style="52" customWidth="1"/>
    <col min="6" max="6" width="9.109375" style="17"/>
    <col min="7" max="7" width="11.33203125" style="17" bestFit="1" customWidth="1"/>
    <col min="8" max="16384" width="9.109375" style="17"/>
  </cols>
  <sheetData>
    <row r="1" spans="1:10">
      <c r="A1" s="196"/>
      <c r="B1" s="196"/>
      <c r="C1" s="197" t="s">
        <v>0</v>
      </c>
      <c r="D1" s="197"/>
      <c r="E1" s="197"/>
      <c r="F1" s="54"/>
      <c r="G1" s="54"/>
      <c r="H1" s="54"/>
      <c r="I1" s="54"/>
    </row>
    <row r="2" spans="1:10" ht="99.75" customHeight="1">
      <c r="A2" s="196"/>
      <c r="B2" s="196"/>
      <c r="C2" s="198" t="s">
        <v>247</v>
      </c>
      <c r="D2" s="198"/>
      <c r="E2" s="198"/>
      <c r="F2" s="53"/>
      <c r="G2" s="53"/>
      <c r="H2" s="53"/>
      <c r="I2" s="53"/>
    </row>
    <row r="3" spans="1:10" ht="24" customHeight="1">
      <c r="A3" s="103" t="s">
        <v>117</v>
      </c>
      <c r="B3" s="104" t="s">
        <v>248</v>
      </c>
      <c r="C3" s="47" t="s">
        <v>2</v>
      </c>
      <c r="D3" s="199" t="s">
        <v>250</v>
      </c>
      <c r="E3" s="199"/>
      <c r="G3" s="55"/>
      <c r="H3" s="55"/>
      <c r="I3" s="55"/>
    </row>
    <row r="4" spans="1:10" ht="21.75" customHeight="1">
      <c r="A4" s="103" t="s">
        <v>118</v>
      </c>
      <c r="B4" s="104" t="s">
        <v>1</v>
      </c>
      <c r="C4" s="47" t="s">
        <v>3</v>
      </c>
      <c r="D4" s="195" t="s">
        <v>495</v>
      </c>
      <c r="E4" s="195"/>
      <c r="G4" s="56"/>
      <c r="H4" s="56"/>
      <c r="I4" s="56"/>
    </row>
    <row r="5" spans="1:10" ht="47.25" customHeight="1">
      <c r="A5" s="103" t="s">
        <v>119</v>
      </c>
      <c r="B5" s="105">
        <v>46001</v>
      </c>
      <c r="C5" s="47" t="s">
        <v>120</v>
      </c>
      <c r="D5" s="195" t="s">
        <v>513</v>
      </c>
      <c r="E5" s="195"/>
      <c r="G5" s="57"/>
      <c r="H5" s="57"/>
      <c r="I5" s="57"/>
    </row>
    <row r="6" spans="1:10">
      <c r="A6" s="201" t="s">
        <v>139</v>
      </c>
      <c r="B6" s="201"/>
      <c r="C6" s="201"/>
      <c r="D6" s="201"/>
      <c r="E6" s="201"/>
    </row>
    <row r="7" spans="1:10" ht="15.75" customHeight="1">
      <c r="A7" s="203"/>
      <c r="B7" s="204"/>
      <c r="C7" s="205"/>
      <c r="D7" s="58" t="s">
        <v>140</v>
      </c>
      <c r="E7" s="58" t="s">
        <v>141</v>
      </c>
    </row>
    <row r="8" spans="1:10" ht="20.100000000000001" customHeight="1">
      <c r="A8" s="140" t="s">
        <v>105</v>
      </c>
      <c r="B8" s="202" t="s">
        <v>104</v>
      </c>
      <c r="C8" s="202"/>
      <c r="D8" s="68">
        <f>'Planilha Orçamentária SEM Des'!I8</f>
        <v>129722.93</v>
      </c>
      <c r="E8" s="192">
        <v>121410.9</v>
      </c>
    </row>
    <row r="9" spans="1:10" ht="20.100000000000001" customHeight="1">
      <c r="A9" s="140" t="s">
        <v>102</v>
      </c>
      <c r="B9" s="202" t="s">
        <v>137</v>
      </c>
      <c r="C9" s="202"/>
      <c r="D9" s="68">
        <f>'Planilha Orçamentária SEM Des'!I10</f>
        <v>3252.06</v>
      </c>
      <c r="E9" s="192">
        <v>3360.32</v>
      </c>
    </row>
    <row r="10" spans="1:10" ht="20.100000000000001" customHeight="1">
      <c r="A10" s="140" t="s">
        <v>99</v>
      </c>
      <c r="B10" s="202" t="s">
        <v>324</v>
      </c>
      <c r="C10" s="202"/>
      <c r="D10" s="68">
        <f>'Planilha Orçamentária SEM Des'!I12</f>
        <v>851097.84000000008</v>
      </c>
      <c r="E10" s="192">
        <v>866755.15</v>
      </c>
    </row>
    <row r="11" spans="1:10" ht="20.100000000000001" customHeight="1">
      <c r="A11" s="140" t="s">
        <v>86</v>
      </c>
      <c r="B11" s="202" t="s">
        <v>327</v>
      </c>
      <c r="C11" s="202"/>
      <c r="D11" s="68">
        <f>'Planilha Orçamentária SEM Des'!I25</f>
        <v>1079392.5499999998</v>
      </c>
      <c r="E11" s="192">
        <v>1099237.75</v>
      </c>
    </row>
    <row r="12" spans="1:10" ht="20.100000000000001" customHeight="1">
      <c r="A12" s="140" t="s">
        <v>73</v>
      </c>
      <c r="B12" s="202" t="s">
        <v>328</v>
      </c>
      <c r="C12" s="202"/>
      <c r="D12" s="68">
        <f>'Planilha Orçamentária SEM Des'!I50</f>
        <v>756323.60999999987</v>
      </c>
      <c r="E12" s="192">
        <v>770153.72</v>
      </c>
    </row>
    <row r="13" spans="1:10" ht="20.100000000000001" customHeight="1">
      <c r="A13" s="140" t="s">
        <v>66</v>
      </c>
      <c r="B13" s="202" t="s">
        <v>329</v>
      </c>
      <c r="C13" s="202"/>
      <c r="D13" s="68">
        <f>'Planilha Orçamentária SEM Des'!I57</f>
        <v>445362.23000000004</v>
      </c>
      <c r="E13" s="192">
        <v>453501.05</v>
      </c>
    </row>
    <row r="14" spans="1:10" ht="20.100000000000001" customHeight="1">
      <c r="A14" s="140" t="s">
        <v>59</v>
      </c>
      <c r="B14" s="202" t="s">
        <v>338</v>
      </c>
      <c r="C14" s="202"/>
      <c r="D14" s="68">
        <f>'Planilha Orçamentária SEM Des'!I64</f>
        <v>1683536.2199999997</v>
      </c>
      <c r="E14" s="192">
        <v>1714317.25</v>
      </c>
    </row>
    <row r="15" spans="1:10" ht="20.100000000000001" customHeight="1">
      <c r="A15" s="140" t="s">
        <v>46</v>
      </c>
      <c r="B15" s="202" t="s">
        <v>344</v>
      </c>
      <c r="C15" s="202"/>
      <c r="D15" s="68">
        <f>'Planilha Orçamentária SEM Des'!I77</f>
        <v>938168.66000000015</v>
      </c>
      <c r="E15" s="192">
        <v>955256.9</v>
      </c>
    </row>
    <row r="16" spans="1:10" ht="15" customHeight="1">
      <c r="A16" s="60"/>
      <c r="B16" s="60"/>
      <c r="C16" s="61" t="s">
        <v>34</v>
      </c>
      <c r="D16" s="59">
        <f>SUM(D8:D15)</f>
        <v>5886856.0999999996</v>
      </c>
      <c r="E16" s="193">
        <f>SUM(E8:E15)</f>
        <v>5983993.04</v>
      </c>
      <c r="F16" s="153"/>
      <c r="G16" s="152"/>
      <c r="J16" s="153"/>
    </row>
    <row r="17" spans="1:8">
      <c r="A17" s="62"/>
      <c r="B17" s="62"/>
      <c r="C17" s="62"/>
      <c r="D17" s="62"/>
      <c r="E17" s="62"/>
      <c r="G17" s="153"/>
    </row>
    <row r="18" spans="1:8" ht="95.25" customHeight="1">
      <c r="A18" s="200"/>
      <c r="B18" s="200"/>
      <c r="C18" s="200"/>
      <c r="D18" s="200"/>
      <c r="E18" s="200"/>
      <c r="G18" s="153"/>
      <c r="H18" s="153"/>
    </row>
  </sheetData>
  <mergeCells count="17">
    <mergeCell ref="A18:E18"/>
    <mergeCell ref="A6:E6"/>
    <mergeCell ref="B8:C8"/>
    <mergeCell ref="B9:C9"/>
    <mergeCell ref="B10:C10"/>
    <mergeCell ref="B11:C11"/>
    <mergeCell ref="B12:C12"/>
    <mergeCell ref="A7:C7"/>
    <mergeCell ref="B13:C13"/>
    <mergeCell ref="B14:C14"/>
    <mergeCell ref="B15:C15"/>
    <mergeCell ref="D5:E5"/>
    <mergeCell ref="A1:B2"/>
    <mergeCell ref="C1:E1"/>
    <mergeCell ref="C2:E2"/>
    <mergeCell ref="D3:E3"/>
    <mergeCell ref="D4:E4"/>
  </mergeCells>
  <pageMargins left="0.5" right="0.5" top="0.5" bottom="0.5" header="0" footer="0"/>
  <pageSetup paperSize="9" scale="7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outlinePr summaryBelow="0"/>
  </sheetPr>
  <dimension ref="A1:I17"/>
  <sheetViews>
    <sheetView view="pageBreakPreview" topLeftCell="A10" zoomScaleNormal="120" zoomScaleSheetLayoutView="100" workbookViewId="0">
      <selection activeCell="D5" sqref="D5:E5"/>
    </sheetView>
  </sheetViews>
  <sheetFormatPr defaultColWidth="9.109375" defaultRowHeight="14.4"/>
  <cols>
    <col min="1" max="1" width="15" style="52" customWidth="1"/>
    <col min="2" max="2" width="50" style="52" customWidth="1"/>
    <col min="3" max="3" width="18.33203125" style="52" customWidth="1"/>
    <col min="4" max="4" width="13.88671875" style="52" customWidth="1"/>
    <col min="5" max="5" width="18.44140625" style="52" customWidth="1"/>
    <col min="6" max="16384" width="9.109375" style="17"/>
  </cols>
  <sheetData>
    <row r="1" spans="1:9" ht="18.75" customHeight="1">
      <c r="A1" s="196"/>
      <c r="B1" s="196"/>
      <c r="C1" s="197" t="s">
        <v>0</v>
      </c>
      <c r="D1" s="197"/>
      <c r="E1" s="197"/>
      <c r="F1" s="54"/>
      <c r="G1" s="54"/>
      <c r="H1" s="54"/>
      <c r="I1" s="54"/>
    </row>
    <row r="2" spans="1:9" ht="99.75" customHeight="1">
      <c r="A2" s="196"/>
      <c r="B2" s="196"/>
      <c r="C2" s="198" t="s">
        <v>247</v>
      </c>
      <c r="D2" s="198"/>
      <c r="E2" s="198"/>
      <c r="F2" s="53"/>
      <c r="G2" s="53"/>
      <c r="H2" s="53"/>
      <c r="I2" s="53"/>
    </row>
    <row r="3" spans="1:9" ht="24" customHeight="1">
      <c r="A3" s="103" t="s">
        <v>117</v>
      </c>
      <c r="B3" s="104" t="s">
        <v>248</v>
      </c>
      <c r="C3" s="47" t="s">
        <v>2</v>
      </c>
      <c r="D3" s="199" t="s">
        <v>250</v>
      </c>
      <c r="E3" s="199"/>
      <c r="G3" s="55"/>
      <c r="H3" s="55"/>
      <c r="I3" s="55"/>
    </row>
    <row r="4" spans="1:9" ht="24" customHeight="1">
      <c r="A4" s="103" t="s">
        <v>118</v>
      </c>
      <c r="B4" s="104" t="s">
        <v>1</v>
      </c>
      <c r="C4" s="47" t="s">
        <v>3</v>
      </c>
      <c r="D4" s="195" t="s">
        <v>495</v>
      </c>
      <c r="E4" s="195"/>
      <c r="G4" s="56"/>
      <c r="H4" s="56"/>
      <c r="I4" s="56"/>
    </row>
    <row r="5" spans="1:9" ht="48" customHeight="1">
      <c r="A5" s="103" t="s">
        <v>119</v>
      </c>
      <c r="B5" s="105">
        <v>46001</v>
      </c>
      <c r="C5" s="47" t="s">
        <v>120</v>
      </c>
      <c r="D5" s="206" t="s">
        <v>512</v>
      </c>
      <c r="E5" s="206"/>
      <c r="G5" s="57"/>
      <c r="H5" s="57"/>
      <c r="I5" s="57"/>
    </row>
    <row r="6" spans="1:9">
      <c r="A6" s="201" t="s">
        <v>139</v>
      </c>
      <c r="B6" s="201"/>
      <c r="C6" s="201"/>
      <c r="D6" s="201"/>
      <c r="E6" s="201"/>
    </row>
    <row r="7" spans="1:9" ht="20.100000000000001" customHeight="1">
      <c r="A7" s="140" t="s">
        <v>105</v>
      </c>
      <c r="B7" s="202" t="s">
        <v>104</v>
      </c>
      <c r="C7" s="202"/>
      <c r="D7" s="68">
        <f>'Planilha Orçamentária SEM Des'!I8</f>
        <v>129722.93</v>
      </c>
      <c r="E7" s="69">
        <f t="shared" ref="E7:E14" si="0">D7/$D$15</f>
        <v>2.2036028704693494E-2</v>
      </c>
    </row>
    <row r="8" spans="1:9" ht="20.100000000000001" customHeight="1">
      <c r="A8" s="140" t="s">
        <v>102</v>
      </c>
      <c r="B8" s="202" t="s">
        <v>137</v>
      </c>
      <c r="C8" s="202"/>
      <c r="D8" s="68">
        <f>'Planilha Orçamentária SEM Des'!I10</f>
        <v>3252.06</v>
      </c>
      <c r="E8" s="69">
        <f t="shared" si="0"/>
        <v>5.5242729646474628E-4</v>
      </c>
    </row>
    <row r="9" spans="1:9" ht="20.100000000000001" customHeight="1">
      <c r="A9" s="140" t="s">
        <v>99</v>
      </c>
      <c r="B9" s="202" t="s">
        <v>324</v>
      </c>
      <c r="C9" s="202"/>
      <c r="D9" s="68">
        <f>'Planilha Orçamentária SEM Des'!I12</f>
        <v>851097.84000000008</v>
      </c>
      <c r="E9" s="69">
        <f t="shared" si="0"/>
        <v>0.14457595455747596</v>
      </c>
    </row>
    <row r="10" spans="1:9" ht="20.100000000000001" customHeight="1">
      <c r="A10" s="140" t="s">
        <v>86</v>
      </c>
      <c r="B10" s="202" t="s">
        <v>327</v>
      </c>
      <c r="C10" s="202"/>
      <c r="D10" s="68">
        <f>'Planilha Orçamentária SEM Des'!I25</f>
        <v>1079392.5499999998</v>
      </c>
      <c r="E10" s="69">
        <f t="shared" si="0"/>
        <v>0.183356367416557</v>
      </c>
    </row>
    <row r="11" spans="1:9" ht="20.100000000000001" customHeight="1">
      <c r="A11" s="140" t="s">
        <v>73</v>
      </c>
      <c r="B11" s="202" t="s">
        <v>328</v>
      </c>
      <c r="C11" s="202"/>
      <c r="D11" s="68">
        <f>'Planilha Orçamentária SEM Des'!I50</f>
        <v>756323.60999999987</v>
      </c>
      <c r="E11" s="69">
        <f t="shared" si="0"/>
        <v>0.12847666006308528</v>
      </c>
    </row>
    <row r="12" spans="1:9" ht="20.100000000000001" customHeight="1">
      <c r="A12" s="140" t="s">
        <v>66</v>
      </c>
      <c r="B12" s="202" t="s">
        <v>329</v>
      </c>
      <c r="C12" s="202"/>
      <c r="D12" s="68">
        <f>'Planilha Orçamentária SEM Des'!I57</f>
        <v>445362.23000000004</v>
      </c>
      <c r="E12" s="69">
        <f t="shared" si="0"/>
        <v>7.5653663421465331E-2</v>
      </c>
    </row>
    <row r="13" spans="1:9" ht="20.100000000000001" customHeight="1">
      <c r="A13" s="140" t="s">
        <v>59</v>
      </c>
      <c r="B13" s="202" t="s">
        <v>338</v>
      </c>
      <c r="C13" s="202"/>
      <c r="D13" s="68">
        <f>'Planilha Orçamentária SEM Des'!I64</f>
        <v>1683536.2199999997</v>
      </c>
      <c r="E13" s="69">
        <f t="shared" si="0"/>
        <v>0.28598222742356483</v>
      </c>
    </row>
    <row r="14" spans="1:9" ht="20.100000000000001" customHeight="1">
      <c r="A14" s="140" t="s">
        <v>46</v>
      </c>
      <c r="B14" s="202" t="s">
        <v>344</v>
      </c>
      <c r="C14" s="202"/>
      <c r="D14" s="68">
        <f>'Planilha Orçamentária SEM Des'!I77</f>
        <v>938168.66000000015</v>
      </c>
      <c r="E14" s="69">
        <f t="shared" si="0"/>
        <v>0.15936667111669336</v>
      </c>
    </row>
    <row r="15" spans="1:9" ht="15" customHeight="1">
      <c r="A15" s="60"/>
      <c r="B15" s="60"/>
      <c r="C15" s="61" t="s">
        <v>34</v>
      </c>
      <c r="D15" s="59">
        <f>SUM(D7:D14)</f>
        <v>5886856.0999999996</v>
      </c>
      <c r="E15" s="60"/>
    </row>
    <row r="16" spans="1:9">
      <c r="A16" s="62"/>
      <c r="B16" s="62"/>
      <c r="C16" s="62"/>
      <c r="D16" s="62"/>
      <c r="E16" s="62"/>
    </row>
    <row r="17" spans="1:5" ht="107.25" customHeight="1">
      <c r="A17" s="200"/>
      <c r="B17" s="200"/>
      <c r="C17" s="200"/>
      <c r="D17" s="200"/>
      <c r="E17" s="200"/>
    </row>
  </sheetData>
  <mergeCells count="16">
    <mergeCell ref="A17:E17"/>
    <mergeCell ref="C1:E1"/>
    <mergeCell ref="A1:B2"/>
    <mergeCell ref="C2:E2"/>
    <mergeCell ref="D3:E3"/>
    <mergeCell ref="D4:E4"/>
    <mergeCell ref="D5:E5"/>
    <mergeCell ref="B12:C12"/>
    <mergeCell ref="B13:C13"/>
    <mergeCell ref="B14:C14"/>
    <mergeCell ref="A6:E6"/>
    <mergeCell ref="B7:C7"/>
    <mergeCell ref="B8:C8"/>
    <mergeCell ref="B9:C9"/>
    <mergeCell ref="B10:C10"/>
    <mergeCell ref="B11:C11"/>
  </mergeCells>
  <pageMargins left="0.5" right="0.5" top="0.5" bottom="0.5" header="0" footer="0"/>
  <pageSetup paperSize="9"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outlinePr summaryBelow="0"/>
    <pageSetUpPr fitToPage="1"/>
  </sheetPr>
  <dimension ref="A1:M52"/>
  <sheetViews>
    <sheetView view="pageBreakPreview" topLeftCell="A33" zoomScaleNormal="100" zoomScaleSheetLayoutView="100" workbookViewId="0">
      <selection activeCell="F50" sqref="F50"/>
    </sheetView>
  </sheetViews>
  <sheetFormatPr defaultColWidth="9.109375" defaultRowHeight="14.4"/>
  <cols>
    <col min="1" max="1" width="14.33203125" style="4" customWidth="1"/>
    <col min="2" max="2" width="13.44140625" style="3" customWidth="1"/>
    <col min="3" max="3" width="65.33203125" style="3" customWidth="1"/>
    <col min="4" max="4" width="9.44140625" style="3" customWidth="1"/>
    <col min="5" max="5" width="16.44140625" style="3" customWidth="1"/>
    <col min="6" max="6" width="5.88671875" style="3" customWidth="1"/>
    <col min="7" max="8" width="11.33203125" style="3" bestFit="1" customWidth="1"/>
    <col min="9" max="9" width="14" style="3" bestFit="1" customWidth="1"/>
    <col min="10" max="10" width="9.109375" style="1"/>
    <col min="11" max="11" width="15.44140625" style="1" bestFit="1" customWidth="1"/>
    <col min="12" max="12" width="11.109375" style="1" bestFit="1" customWidth="1"/>
    <col min="13" max="13" width="12.109375" style="1" customWidth="1"/>
    <col min="14" max="16384" width="9.109375" style="1"/>
  </cols>
  <sheetData>
    <row r="1" spans="1:11" ht="23.25" customHeight="1">
      <c r="A1" s="213"/>
      <c r="B1" s="214"/>
      <c r="C1" s="214"/>
      <c r="D1" s="214"/>
      <c r="E1" s="215" t="s">
        <v>0</v>
      </c>
      <c r="F1" s="215"/>
      <c r="G1" s="215"/>
      <c r="H1" s="215"/>
      <c r="I1" s="215"/>
    </row>
    <row r="2" spans="1:11" ht="95.85" customHeight="1">
      <c r="A2" s="214"/>
      <c r="B2" s="214"/>
      <c r="C2" s="214"/>
      <c r="D2" s="214"/>
      <c r="E2" s="216" t="s">
        <v>247</v>
      </c>
      <c r="F2" s="216"/>
      <c r="G2" s="216"/>
      <c r="H2" s="216"/>
      <c r="I2" s="216"/>
    </row>
    <row r="3" spans="1:11" ht="15" customHeight="1">
      <c r="A3" s="106" t="s">
        <v>117</v>
      </c>
      <c r="B3" s="207" t="s">
        <v>248</v>
      </c>
      <c r="C3" s="208"/>
      <c r="D3" s="209"/>
      <c r="E3" s="16" t="s">
        <v>2</v>
      </c>
      <c r="F3" s="217" t="s">
        <v>250</v>
      </c>
      <c r="G3" s="218"/>
      <c r="H3" s="218"/>
      <c r="I3" s="219"/>
    </row>
    <row r="4" spans="1:11" ht="32.25" customHeight="1">
      <c r="A4" s="106" t="s">
        <v>118</v>
      </c>
      <c r="B4" s="207" t="s">
        <v>1</v>
      </c>
      <c r="C4" s="208"/>
      <c r="D4" s="209"/>
      <c r="E4" s="16" t="s">
        <v>3</v>
      </c>
      <c r="F4" s="210" t="s">
        <v>495</v>
      </c>
      <c r="G4" s="211"/>
      <c r="H4" s="211"/>
      <c r="I4" s="212"/>
    </row>
    <row r="5" spans="1:11" ht="49.5" customHeight="1">
      <c r="A5" s="106" t="s">
        <v>119</v>
      </c>
      <c r="B5" s="220">
        <v>46001</v>
      </c>
      <c r="C5" s="221"/>
      <c r="D5" s="222"/>
      <c r="E5" s="16" t="s">
        <v>120</v>
      </c>
      <c r="F5" s="223" t="s">
        <v>512</v>
      </c>
      <c r="G5" s="224"/>
      <c r="H5" s="224"/>
      <c r="I5" s="225"/>
    </row>
    <row r="6" spans="1:11">
      <c r="A6" s="226" t="s">
        <v>138</v>
      </c>
      <c r="B6" s="227"/>
      <c r="C6" s="227"/>
      <c r="D6" s="227"/>
      <c r="E6" s="227"/>
      <c r="F6" s="227"/>
      <c r="G6" s="227"/>
      <c r="H6" s="227"/>
      <c r="I6" s="228"/>
    </row>
    <row r="7" spans="1:11" ht="34.200000000000003">
      <c r="A7" s="144" t="s">
        <v>114</v>
      </c>
      <c r="B7" s="144" t="s">
        <v>113</v>
      </c>
      <c r="C7" s="144" t="s">
        <v>112</v>
      </c>
      <c r="D7" s="144" t="s">
        <v>111</v>
      </c>
      <c r="E7" s="144" t="s">
        <v>110</v>
      </c>
      <c r="F7" s="144" t="s">
        <v>109</v>
      </c>
      <c r="G7" s="144" t="s">
        <v>108</v>
      </c>
      <c r="H7" s="144" t="s">
        <v>107</v>
      </c>
      <c r="I7" s="144" t="s">
        <v>106</v>
      </c>
    </row>
    <row r="8" spans="1:11">
      <c r="A8" s="8" t="s">
        <v>99</v>
      </c>
      <c r="B8" s="8"/>
      <c r="C8" s="13" t="s">
        <v>324</v>
      </c>
      <c r="D8" s="8"/>
      <c r="E8" s="14"/>
      <c r="F8" s="15"/>
      <c r="G8" s="14"/>
      <c r="H8" s="14"/>
      <c r="I8" s="14">
        <f>SUM(I9,I12)</f>
        <v>851097.84000000008</v>
      </c>
    </row>
    <row r="9" spans="1:11">
      <c r="A9" s="9" t="s">
        <v>98</v>
      </c>
      <c r="B9" s="9"/>
      <c r="C9" s="10" t="s">
        <v>325</v>
      </c>
      <c r="D9" s="9"/>
      <c r="E9" s="11"/>
      <c r="F9" s="12"/>
      <c r="G9" s="11"/>
      <c r="H9" s="11"/>
      <c r="I9" s="11">
        <f>SUM(I10,I11)</f>
        <v>562986.76</v>
      </c>
      <c r="K9" s="149"/>
    </row>
    <row r="10" spans="1:11">
      <c r="A10" s="48" t="s">
        <v>97</v>
      </c>
      <c r="B10" s="48"/>
      <c r="C10" s="49" t="s">
        <v>116</v>
      </c>
      <c r="D10" s="48"/>
      <c r="E10" s="50"/>
      <c r="F10" s="51"/>
      <c r="G10" s="50"/>
      <c r="H10" s="50"/>
      <c r="I10" s="50">
        <f>'Planilha Orçamentária SEM Des'!I14</f>
        <v>560889.32000000007</v>
      </c>
    </row>
    <row r="11" spans="1:11">
      <c r="A11" s="48" t="s">
        <v>94</v>
      </c>
      <c r="B11" s="48"/>
      <c r="C11" s="49" t="s">
        <v>37</v>
      </c>
      <c r="D11" s="48"/>
      <c r="E11" s="50"/>
      <c r="F11" s="51"/>
      <c r="G11" s="50"/>
      <c r="H11" s="50"/>
      <c r="I11" s="50">
        <f>'Planilha Orçamentária SEM Des'!I17</f>
        <v>2097.44</v>
      </c>
    </row>
    <row r="12" spans="1:11">
      <c r="A12" s="9" t="s">
        <v>92</v>
      </c>
      <c r="B12" s="9"/>
      <c r="C12" s="10" t="s">
        <v>326</v>
      </c>
      <c r="D12" s="9"/>
      <c r="E12" s="11"/>
      <c r="F12" s="12"/>
      <c r="G12" s="11"/>
      <c r="H12" s="11"/>
      <c r="I12" s="11">
        <f>SUM(I13,I14)</f>
        <v>288111.08</v>
      </c>
    </row>
    <row r="13" spans="1:11">
      <c r="A13" s="48" t="s">
        <v>91</v>
      </c>
      <c r="B13" s="48"/>
      <c r="C13" s="49" t="s">
        <v>116</v>
      </c>
      <c r="D13" s="48"/>
      <c r="E13" s="50"/>
      <c r="F13" s="51"/>
      <c r="G13" s="50"/>
      <c r="H13" s="50"/>
      <c r="I13" s="50">
        <f>'Planilha Orçamentária SEM Des'!I20</f>
        <v>286013.64</v>
      </c>
    </row>
    <row r="14" spans="1:11">
      <c r="A14" s="48" t="s">
        <v>88</v>
      </c>
      <c r="B14" s="48"/>
      <c r="C14" s="49" t="s">
        <v>37</v>
      </c>
      <c r="D14" s="48"/>
      <c r="E14" s="50"/>
      <c r="F14" s="51"/>
      <c r="G14" s="50"/>
      <c r="H14" s="50"/>
      <c r="I14" s="50">
        <f>'Planilha Orçamentária SEM Des'!I23</f>
        <v>2097.44</v>
      </c>
    </row>
    <row r="15" spans="1:11">
      <c r="A15" s="8" t="s">
        <v>86</v>
      </c>
      <c r="B15" s="8"/>
      <c r="C15" s="13" t="s">
        <v>327</v>
      </c>
      <c r="D15" s="8"/>
      <c r="E15" s="14"/>
      <c r="F15" s="15"/>
      <c r="G15" s="14"/>
      <c r="H15" s="14"/>
      <c r="I15" s="14">
        <f>SUM(I16,I19,I22,I25)</f>
        <v>1079392.5499999998</v>
      </c>
    </row>
    <row r="16" spans="1:11">
      <c r="A16" s="9" t="s">
        <v>85</v>
      </c>
      <c r="B16" s="9"/>
      <c r="C16" s="10" t="s">
        <v>325</v>
      </c>
      <c r="D16" s="9"/>
      <c r="E16" s="11"/>
      <c r="F16" s="12"/>
      <c r="G16" s="11"/>
      <c r="H16" s="11"/>
      <c r="I16" s="11">
        <f>SUM(I17,I18)</f>
        <v>512130.83999999997</v>
      </c>
      <c r="K16" s="149"/>
    </row>
    <row r="17" spans="1:11">
      <c r="A17" s="48" t="s">
        <v>84</v>
      </c>
      <c r="B17" s="48"/>
      <c r="C17" s="49" t="s">
        <v>116</v>
      </c>
      <c r="D17" s="48"/>
      <c r="E17" s="50"/>
      <c r="F17" s="51"/>
      <c r="G17" s="50"/>
      <c r="H17" s="50"/>
      <c r="I17" s="50">
        <f>'Planilha Orçamentária SEM Des'!I27</f>
        <v>510033.39999999997</v>
      </c>
    </row>
    <row r="18" spans="1:11">
      <c r="A18" s="48" t="s">
        <v>81</v>
      </c>
      <c r="B18" s="48"/>
      <c r="C18" s="49" t="s">
        <v>37</v>
      </c>
      <c r="D18" s="48"/>
      <c r="E18" s="50"/>
      <c r="F18" s="51"/>
      <c r="G18" s="50"/>
      <c r="H18" s="50"/>
      <c r="I18" s="50">
        <f>'Planilha Orçamentária SEM Des'!I30</f>
        <v>2097.44</v>
      </c>
    </row>
    <row r="19" spans="1:11">
      <c r="A19" s="9" t="s">
        <v>79</v>
      </c>
      <c r="B19" s="9"/>
      <c r="C19" s="10" t="s">
        <v>326</v>
      </c>
      <c r="D19" s="9"/>
      <c r="E19" s="11"/>
      <c r="F19" s="12"/>
      <c r="G19" s="11"/>
      <c r="H19" s="11"/>
      <c r="I19" s="11">
        <f>SUM(I20,I21)</f>
        <v>154838.22999999998</v>
      </c>
    </row>
    <row r="20" spans="1:11">
      <c r="A20" s="48" t="s">
        <v>78</v>
      </c>
      <c r="B20" s="48"/>
      <c r="C20" s="49" t="s">
        <v>116</v>
      </c>
      <c r="D20" s="48"/>
      <c r="E20" s="50"/>
      <c r="F20" s="51"/>
      <c r="G20" s="50"/>
      <c r="H20" s="50"/>
      <c r="I20" s="50">
        <f>'Planilha Orçamentária SEM Des'!I33</f>
        <v>152740.78999999998</v>
      </c>
    </row>
    <row r="21" spans="1:11">
      <c r="A21" s="48" t="s">
        <v>75</v>
      </c>
      <c r="B21" s="48"/>
      <c r="C21" s="49" t="s">
        <v>37</v>
      </c>
      <c r="D21" s="48"/>
      <c r="E21" s="50"/>
      <c r="F21" s="51"/>
      <c r="G21" s="50"/>
      <c r="H21" s="50"/>
      <c r="I21" s="50">
        <f>'Planilha Orçamentária SEM Des'!I36</f>
        <v>2097.44</v>
      </c>
    </row>
    <row r="22" spans="1:11">
      <c r="A22" s="9" t="s">
        <v>330</v>
      </c>
      <c r="B22" s="9"/>
      <c r="C22" s="10" t="s">
        <v>331</v>
      </c>
      <c r="D22" s="9"/>
      <c r="E22" s="11"/>
      <c r="F22" s="12"/>
      <c r="G22" s="11"/>
      <c r="H22" s="11"/>
      <c r="I22" s="11">
        <f>SUM(I23,I24)</f>
        <v>47063.74</v>
      </c>
    </row>
    <row r="23" spans="1:11">
      <c r="A23" s="48" t="s">
        <v>78</v>
      </c>
      <c r="B23" s="48"/>
      <c r="C23" s="49" t="s">
        <v>116</v>
      </c>
      <c r="D23" s="48"/>
      <c r="E23" s="50"/>
      <c r="F23" s="51"/>
      <c r="G23" s="50"/>
      <c r="H23" s="50"/>
      <c r="I23" s="50">
        <f>'Planilha Orçamentária SEM Des'!I39</f>
        <v>44966.299999999996</v>
      </c>
    </row>
    <row r="24" spans="1:11">
      <c r="A24" s="48" t="s">
        <v>75</v>
      </c>
      <c r="B24" s="48"/>
      <c r="C24" s="49" t="s">
        <v>37</v>
      </c>
      <c r="D24" s="48"/>
      <c r="E24" s="50"/>
      <c r="F24" s="51"/>
      <c r="G24" s="50"/>
      <c r="H24" s="50"/>
      <c r="I24" s="50">
        <f>'Planilha Orçamentária SEM Des'!I42</f>
        <v>2097.44</v>
      </c>
    </row>
    <row r="25" spans="1:11">
      <c r="A25" s="9" t="s">
        <v>335</v>
      </c>
      <c r="B25" s="9"/>
      <c r="C25" s="10" t="s">
        <v>334</v>
      </c>
      <c r="D25" s="9"/>
      <c r="E25" s="11"/>
      <c r="F25" s="12"/>
      <c r="G25" s="11"/>
      <c r="H25" s="11"/>
      <c r="I25" s="11">
        <f>SUM(I26,I27)</f>
        <v>365359.74</v>
      </c>
    </row>
    <row r="26" spans="1:11">
      <c r="A26" s="48" t="s">
        <v>78</v>
      </c>
      <c r="B26" s="48"/>
      <c r="C26" s="49" t="s">
        <v>116</v>
      </c>
      <c r="D26" s="48"/>
      <c r="E26" s="50"/>
      <c r="F26" s="51"/>
      <c r="G26" s="50"/>
      <c r="H26" s="50"/>
      <c r="I26" s="50">
        <f>'Planilha Orçamentária SEM Des'!I45</f>
        <v>363262.3</v>
      </c>
    </row>
    <row r="27" spans="1:11">
      <c r="A27" s="48" t="s">
        <v>75</v>
      </c>
      <c r="B27" s="48"/>
      <c r="C27" s="49" t="s">
        <v>37</v>
      </c>
      <c r="D27" s="48"/>
      <c r="E27" s="50"/>
      <c r="F27" s="51"/>
      <c r="G27" s="50"/>
      <c r="H27" s="50"/>
      <c r="I27" s="50">
        <f>'Planilha Orçamentária SEM Des'!I48</f>
        <v>2097.44</v>
      </c>
    </row>
    <row r="28" spans="1:11">
      <c r="A28" s="8" t="s">
        <v>73</v>
      </c>
      <c r="B28" s="8"/>
      <c r="C28" s="13" t="s">
        <v>328</v>
      </c>
      <c r="D28" s="8"/>
      <c r="E28" s="14"/>
      <c r="F28" s="15"/>
      <c r="G28" s="14"/>
      <c r="H28" s="14"/>
      <c r="I28" s="14">
        <f>SUM(I29)</f>
        <v>756323.60999999987</v>
      </c>
    </row>
    <row r="29" spans="1:11">
      <c r="A29" s="9" t="s">
        <v>72</v>
      </c>
      <c r="B29" s="9"/>
      <c r="C29" s="10" t="s">
        <v>325</v>
      </c>
      <c r="D29" s="9"/>
      <c r="E29" s="11"/>
      <c r="F29" s="12"/>
      <c r="G29" s="11"/>
      <c r="H29" s="11"/>
      <c r="I29" s="11">
        <f>SUM(I30,I31)</f>
        <v>756323.60999999987</v>
      </c>
      <c r="K29" s="149"/>
    </row>
    <row r="30" spans="1:11">
      <c r="A30" s="48" t="s">
        <v>71</v>
      </c>
      <c r="B30" s="48"/>
      <c r="C30" s="49" t="s">
        <v>116</v>
      </c>
      <c r="D30" s="48"/>
      <c r="E30" s="50"/>
      <c r="F30" s="51"/>
      <c r="G30" s="50"/>
      <c r="H30" s="50"/>
      <c r="I30" s="50">
        <f>'Planilha Orçamentária SEM Des'!I52</f>
        <v>754226.16999999993</v>
      </c>
    </row>
    <row r="31" spans="1:11">
      <c r="A31" s="48" t="s">
        <v>68</v>
      </c>
      <c r="B31" s="48"/>
      <c r="C31" s="49" t="s">
        <v>37</v>
      </c>
      <c r="D31" s="48"/>
      <c r="E31" s="50"/>
      <c r="F31" s="51"/>
      <c r="G31" s="50"/>
      <c r="H31" s="50"/>
      <c r="I31" s="50">
        <f>'Planilha Orçamentária SEM Des'!I55</f>
        <v>2097.44</v>
      </c>
    </row>
    <row r="32" spans="1:11">
      <c r="A32" s="8" t="s">
        <v>66</v>
      </c>
      <c r="B32" s="8"/>
      <c r="C32" s="13" t="s">
        <v>329</v>
      </c>
      <c r="D32" s="8"/>
      <c r="E32" s="14"/>
      <c r="F32" s="15"/>
      <c r="G32" s="14"/>
      <c r="H32" s="14"/>
      <c r="I32" s="14">
        <f>SUM(I33)</f>
        <v>445362.23000000004</v>
      </c>
    </row>
    <row r="33" spans="1:11">
      <c r="A33" s="9" t="s">
        <v>65</v>
      </c>
      <c r="B33" s="9"/>
      <c r="C33" s="10" t="s">
        <v>325</v>
      </c>
      <c r="D33" s="9"/>
      <c r="E33" s="11"/>
      <c r="F33" s="12"/>
      <c r="G33" s="11"/>
      <c r="H33" s="11"/>
      <c r="I33" s="11">
        <f>SUM(I34,I35)</f>
        <v>445362.23000000004</v>
      </c>
      <c r="K33" s="149"/>
    </row>
    <row r="34" spans="1:11">
      <c r="A34" s="48" t="s">
        <v>64</v>
      </c>
      <c r="B34" s="48"/>
      <c r="C34" s="49" t="s">
        <v>116</v>
      </c>
      <c r="D34" s="48"/>
      <c r="E34" s="50"/>
      <c r="F34" s="51"/>
      <c r="G34" s="50"/>
      <c r="H34" s="50"/>
      <c r="I34" s="50">
        <f>'Planilha Orçamentária SEM Des'!I59</f>
        <v>443264.79000000004</v>
      </c>
    </row>
    <row r="35" spans="1:11">
      <c r="A35" s="48" t="s">
        <v>61</v>
      </c>
      <c r="B35" s="48"/>
      <c r="C35" s="49" t="s">
        <v>37</v>
      </c>
      <c r="D35" s="48"/>
      <c r="E35" s="50"/>
      <c r="F35" s="51"/>
      <c r="G35" s="50"/>
      <c r="H35" s="50"/>
      <c r="I35" s="50">
        <f>'Planilha Orçamentária SEM Des'!I62</f>
        <v>2097.44</v>
      </c>
    </row>
    <row r="36" spans="1:11">
      <c r="A36" s="8" t="s">
        <v>59</v>
      </c>
      <c r="B36" s="8"/>
      <c r="C36" s="13" t="s">
        <v>338</v>
      </c>
      <c r="D36" s="8"/>
      <c r="E36" s="14"/>
      <c r="F36" s="15"/>
      <c r="G36" s="14"/>
      <c r="H36" s="14"/>
      <c r="I36" s="14">
        <f>SUM(I37,I40)</f>
        <v>1683536.2199999997</v>
      </c>
    </row>
    <row r="37" spans="1:11">
      <c r="A37" s="9" t="s">
        <v>58</v>
      </c>
      <c r="B37" s="9"/>
      <c r="C37" s="10" t="s">
        <v>325</v>
      </c>
      <c r="D37" s="9"/>
      <c r="E37" s="11"/>
      <c r="F37" s="12"/>
      <c r="G37" s="11"/>
      <c r="H37" s="11"/>
      <c r="I37" s="11">
        <f>SUM(I38,I39)</f>
        <v>941789.63</v>
      </c>
      <c r="K37" s="149"/>
    </row>
    <row r="38" spans="1:11">
      <c r="A38" s="48" t="s">
        <v>57</v>
      </c>
      <c r="B38" s="48"/>
      <c r="C38" s="49" t="s">
        <v>116</v>
      </c>
      <c r="D38" s="48"/>
      <c r="E38" s="50"/>
      <c r="F38" s="51"/>
      <c r="G38" s="50"/>
      <c r="H38" s="50"/>
      <c r="I38" s="50">
        <f>'Planilha Orçamentária SEM Des'!I66</f>
        <v>939692.19000000006</v>
      </c>
    </row>
    <row r="39" spans="1:11">
      <c r="A39" s="48" t="s">
        <v>54</v>
      </c>
      <c r="B39" s="48"/>
      <c r="C39" s="49" t="s">
        <v>37</v>
      </c>
      <c r="D39" s="48"/>
      <c r="E39" s="50"/>
      <c r="F39" s="51"/>
      <c r="G39" s="50"/>
      <c r="H39" s="50"/>
      <c r="I39" s="50">
        <f>'Planilha Orçamentária SEM Des'!I69</f>
        <v>2097.44</v>
      </c>
    </row>
    <row r="40" spans="1:11">
      <c r="A40" s="9" t="s">
        <v>52</v>
      </c>
      <c r="B40" s="9"/>
      <c r="C40" s="10" t="s">
        <v>326</v>
      </c>
      <c r="D40" s="9"/>
      <c r="E40" s="11"/>
      <c r="F40" s="12"/>
      <c r="G40" s="11"/>
      <c r="H40" s="11"/>
      <c r="I40" s="11">
        <f>SUM(I41,I42)</f>
        <v>741746.58999999985</v>
      </c>
    </row>
    <row r="41" spans="1:11">
      <c r="A41" s="48" t="s">
        <v>51</v>
      </c>
      <c r="B41" s="48"/>
      <c r="C41" s="49" t="s">
        <v>116</v>
      </c>
      <c r="D41" s="48"/>
      <c r="E41" s="50"/>
      <c r="F41" s="51"/>
      <c r="G41" s="50"/>
      <c r="H41" s="50"/>
      <c r="I41" s="50">
        <f>'Planilha Orçamentária SEM Des'!I72</f>
        <v>739649.14999999991</v>
      </c>
    </row>
    <row r="42" spans="1:11">
      <c r="A42" s="48" t="s">
        <v>48</v>
      </c>
      <c r="B42" s="48"/>
      <c r="C42" s="49" t="s">
        <v>37</v>
      </c>
      <c r="D42" s="48"/>
      <c r="E42" s="50"/>
      <c r="F42" s="51"/>
      <c r="G42" s="50"/>
      <c r="H42" s="50"/>
      <c r="I42" s="50">
        <f>'Planilha Orçamentária SEM Des'!I75</f>
        <v>2097.44</v>
      </c>
    </row>
    <row r="43" spans="1:11">
      <c r="A43" s="8" t="s">
        <v>46</v>
      </c>
      <c r="B43" s="8"/>
      <c r="C43" s="13" t="s">
        <v>344</v>
      </c>
      <c r="D43" s="8"/>
      <c r="E43" s="14"/>
      <c r="F43" s="15"/>
      <c r="G43" s="14"/>
      <c r="H43" s="14"/>
      <c r="I43" s="14">
        <f>SUM(I44,I47)</f>
        <v>938168.66000000015</v>
      </c>
    </row>
    <row r="44" spans="1:11">
      <c r="A44" s="9" t="s">
        <v>45</v>
      </c>
      <c r="B44" s="9"/>
      <c r="C44" s="10" t="s">
        <v>325</v>
      </c>
      <c r="D44" s="9"/>
      <c r="E44" s="11"/>
      <c r="F44" s="12"/>
      <c r="G44" s="11"/>
      <c r="H44" s="11"/>
      <c r="I44" s="11">
        <f>SUM(I45,I46)</f>
        <v>433292.99000000005</v>
      </c>
      <c r="K44" s="149"/>
    </row>
    <row r="45" spans="1:11">
      <c r="A45" s="48" t="s">
        <v>44</v>
      </c>
      <c r="B45" s="48"/>
      <c r="C45" s="49" t="s">
        <v>116</v>
      </c>
      <c r="D45" s="48"/>
      <c r="E45" s="50"/>
      <c r="F45" s="51"/>
      <c r="G45" s="50"/>
      <c r="H45" s="50"/>
      <c r="I45" s="50">
        <f>'Planilha Orçamentária SEM Des'!I79</f>
        <v>431195.55000000005</v>
      </c>
    </row>
    <row r="46" spans="1:11">
      <c r="A46" s="48" t="s">
        <v>41</v>
      </c>
      <c r="B46" s="48"/>
      <c r="C46" s="49" t="s">
        <v>37</v>
      </c>
      <c r="D46" s="48"/>
      <c r="E46" s="50"/>
      <c r="F46" s="51"/>
      <c r="G46" s="50"/>
      <c r="H46" s="50"/>
      <c r="I46" s="50">
        <f>'Planilha Orçamentária SEM Des'!I82</f>
        <v>2097.44</v>
      </c>
    </row>
    <row r="47" spans="1:11">
      <c r="A47" s="9" t="s">
        <v>45</v>
      </c>
      <c r="B47" s="9"/>
      <c r="C47" s="10" t="s">
        <v>326</v>
      </c>
      <c r="D47" s="9"/>
      <c r="E47" s="11"/>
      <c r="F47" s="12"/>
      <c r="G47" s="11"/>
      <c r="H47" s="11"/>
      <c r="I47" s="11">
        <f>SUM(I48,I49)</f>
        <v>504875.67000000004</v>
      </c>
    </row>
    <row r="48" spans="1:11">
      <c r="A48" s="48" t="s">
        <v>44</v>
      </c>
      <c r="B48" s="48"/>
      <c r="C48" s="49" t="s">
        <v>116</v>
      </c>
      <c r="D48" s="48"/>
      <c r="E48" s="50"/>
      <c r="F48" s="51"/>
      <c r="G48" s="50"/>
      <c r="H48" s="50"/>
      <c r="I48" s="50">
        <f>'Planilha Orçamentária SEM Des'!I85</f>
        <v>502778.23000000004</v>
      </c>
    </row>
    <row r="49" spans="1:13">
      <c r="A49" s="48" t="s">
        <v>41</v>
      </c>
      <c r="B49" s="48"/>
      <c r="C49" s="49" t="s">
        <v>37</v>
      </c>
      <c r="D49" s="48"/>
      <c r="E49" s="50"/>
      <c r="F49" s="51"/>
      <c r="G49" s="50"/>
      <c r="H49" s="50"/>
      <c r="I49" s="50">
        <f>'Planilha Orçamentária SEM Des'!I88</f>
        <v>2097.44</v>
      </c>
    </row>
    <row r="50" spans="1:13">
      <c r="A50" s="63"/>
      <c r="B50" s="64"/>
      <c r="C50" s="64"/>
      <c r="D50" s="64"/>
      <c r="E50" s="64"/>
      <c r="F50" s="64"/>
      <c r="G50" s="229" t="s">
        <v>34</v>
      </c>
      <c r="H50" s="229"/>
      <c r="I50" s="65">
        <f>SUM(I8,I15,I28,I32,I36,I43)</f>
        <v>5753881.1099999994</v>
      </c>
      <c r="K50" s="151"/>
      <c r="L50" s="147"/>
      <c r="M50" s="147"/>
    </row>
    <row r="51" spans="1:13">
      <c r="A51" s="66"/>
      <c r="B51" s="67"/>
      <c r="C51" s="67"/>
      <c r="D51" s="67"/>
      <c r="E51" s="67"/>
      <c r="F51" s="67"/>
      <c r="G51" s="67"/>
      <c r="H51" s="67"/>
      <c r="I51" s="67"/>
      <c r="K51" s="151"/>
      <c r="L51" s="5"/>
      <c r="M51" s="5"/>
    </row>
    <row r="52" spans="1:13" ht="98.25" customHeight="1">
      <c r="A52" s="230"/>
      <c r="B52" s="230"/>
      <c r="C52" s="230"/>
      <c r="D52" s="230"/>
      <c r="E52" s="230"/>
      <c r="F52" s="230"/>
      <c r="G52" s="230"/>
      <c r="H52" s="230"/>
      <c r="I52" s="230"/>
    </row>
  </sheetData>
  <autoFilter ref="A7:I50" xr:uid="{00000000-0009-0000-0000-000002000000}"/>
  <mergeCells count="12">
    <mergeCell ref="B5:D5"/>
    <mergeCell ref="F5:I5"/>
    <mergeCell ref="A6:I6"/>
    <mergeCell ref="G50:H50"/>
    <mergeCell ref="A52:I52"/>
    <mergeCell ref="B4:D4"/>
    <mergeCell ref="F4:I4"/>
    <mergeCell ref="A1:D2"/>
    <mergeCell ref="E1:I1"/>
    <mergeCell ref="E2:I2"/>
    <mergeCell ref="B3:D3"/>
    <mergeCell ref="F3:I3"/>
  </mergeCells>
  <pageMargins left="0.70866141732283472" right="0.70866141732283472" top="0.74803149606299213" bottom="0.74803149606299213" header="0.31496062992125984" footer="0.31496062992125984"/>
  <pageSetup scale="5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outlinePr summaryBelow="0"/>
    <pageSetUpPr fitToPage="1"/>
  </sheetPr>
  <dimension ref="A1:L91"/>
  <sheetViews>
    <sheetView tabSelected="1" view="pageBreakPreview" topLeftCell="B84" zoomScaleNormal="100" zoomScaleSheetLayoutView="100" workbookViewId="0">
      <selection activeCell="E2" sqref="E2:I2"/>
    </sheetView>
  </sheetViews>
  <sheetFormatPr defaultColWidth="9.109375" defaultRowHeight="14.4"/>
  <cols>
    <col min="1" max="1" width="14.33203125" style="4" customWidth="1"/>
    <col min="2" max="2" width="13.44140625" style="3" customWidth="1"/>
    <col min="3" max="3" width="65.33203125" style="3" customWidth="1"/>
    <col min="4" max="4" width="9.44140625" style="3" customWidth="1"/>
    <col min="5" max="5" width="16.44140625" style="3" customWidth="1"/>
    <col min="6" max="6" width="5.88671875" style="3" customWidth="1"/>
    <col min="7" max="8" width="11.33203125" style="3" bestFit="1" customWidth="1"/>
    <col min="9" max="9" width="18.44140625" style="3" bestFit="1" customWidth="1"/>
    <col min="10" max="10" width="9.109375" style="1"/>
    <col min="11" max="11" width="11.6640625" style="1" bestFit="1" customWidth="1"/>
    <col min="12" max="12" width="15" style="1" bestFit="1" customWidth="1"/>
    <col min="13" max="16384" width="9.109375" style="1"/>
  </cols>
  <sheetData>
    <row r="1" spans="1:11">
      <c r="A1" s="213"/>
      <c r="B1" s="214"/>
      <c r="C1" s="214"/>
      <c r="D1" s="214"/>
      <c r="E1" s="215" t="s">
        <v>0</v>
      </c>
      <c r="F1" s="215"/>
      <c r="G1" s="215"/>
      <c r="H1" s="215"/>
      <c r="I1" s="215"/>
    </row>
    <row r="2" spans="1:11" ht="95.85" customHeight="1">
      <c r="A2" s="214"/>
      <c r="B2" s="214"/>
      <c r="C2" s="214"/>
      <c r="D2" s="214"/>
      <c r="E2" s="216" t="s">
        <v>247</v>
      </c>
      <c r="F2" s="216"/>
      <c r="G2" s="216"/>
      <c r="H2" s="216"/>
      <c r="I2" s="216"/>
    </row>
    <row r="3" spans="1:11" ht="15" customHeight="1">
      <c r="A3" s="106" t="s">
        <v>117</v>
      </c>
      <c r="B3" s="207" t="s">
        <v>248</v>
      </c>
      <c r="C3" s="208"/>
      <c r="D3" s="209"/>
      <c r="E3" s="16" t="s">
        <v>2</v>
      </c>
      <c r="F3" s="217" t="s">
        <v>250</v>
      </c>
      <c r="G3" s="218"/>
      <c r="H3" s="218"/>
      <c r="I3" s="219"/>
    </row>
    <row r="4" spans="1:11" ht="32.25" customHeight="1">
      <c r="A4" s="106" t="s">
        <v>118</v>
      </c>
      <c r="B4" s="207" t="s">
        <v>1</v>
      </c>
      <c r="C4" s="208"/>
      <c r="D4" s="209"/>
      <c r="E4" s="16" t="s">
        <v>3</v>
      </c>
      <c r="F4" s="217" t="s">
        <v>495</v>
      </c>
      <c r="G4" s="218"/>
      <c r="H4" s="218"/>
      <c r="I4" s="219"/>
    </row>
    <row r="5" spans="1:11" ht="49.5" customHeight="1">
      <c r="A5" s="106" t="s">
        <v>119</v>
      </c>
      <c r="B5" s="220">
        <v>46001</v>
      </c>
      <c r="C5" s="221"/>
      <c r="D5" s="222"/>
      <c r="E5" s="16" t="s">
        <v>120</v>
      </c>
      <c r="F5" s="232" t="s">
        <v>512</v>
      </c>
      <c r="G5" s="233"/>
      <c r="H5" s="233"/>
      <c r="I5" s="234"/>
    </row>
    <row r="6" spans="1:11" ht="23.25" customHeight="1">
      <c r="A6" s="226" t="s">
        <v>122</v>
      </c>
      <c r="B6" s="227"/>
      <c r="C6" s="227"/>
      <c r="D6" s="227"/>
      <c r="E6" s="227"/>
      <c r="F6" s="227"/>
      <c r="G6" s="227"/>
      <c r="H6" s="227"/>
      <c r="I6" s="228"/>
    </row>
    <row r="7" spans="1:11" ht="34.200000000000003">
      <c r="A7" s="144" t="s">
        <v>114</v>
      </c>
      <c r="B7" s="144" t="s">
        <v>113</v>
      </c>
      <c r="C7" s="144" t="s">
        <v>112</v>
      </c>
      <c r="D7" s="144" t="s">
        <v>111</v>
      </c>
      <c r="E7" s="144" t="s">
        <v>110</v>
      </c>
      <c r="F7" s="144" t="s">
        <v>109</v>
      </c>
      <c r="G7" s="144" t="s">
        <v>108</v>
      </c>
      <c r="H7" s="144" t="s">
        <v>107</v>
      </c>
      <c r="I7" s="144" t="s">
        <v>106</v>
      </c>
    </row>
    <row r="8" spans="1:11">
      <c r="A8" s="9" t="s">
        <v>105</v>
      </c>
      <c r="B8" s="9"/>
      <c r="C8" s="10" t="s">
        <v>104</v>
      </c>
      <c r="D8" s="9"/>
      <c r="E8" s="11"/>
      <c r="F8" s="12"/>
      <c r="G8" s="11"/>
      <c r="H8" s="11"/>
      <c r="I8" s="11">
        <f>SUM(I9)</f>
        <v>129722.93</v>
      </c>
      <c r="J8" s="147" t="s">
        <v>339</v>
      </c>
    </row>
    <row r="9" spans="1:11" ht="22.8">
      <c r="A9" s="6" t="s">
        <v>103</v>
      </c>
      <c r="B9" s="6" t="s">
        <v>261</v>
      </c>
      <c r="C9" s="7" t="s">
        <v>262</v>
      </c>
      <c r="D9" s="6" t="s">
        <v>36</v>
      </c>
      <c r="E9" s="5">
        <f>'Memória de Cálculo'!J9</f>
        <v>1</v>
      </c>
      <c r="F9" s="186">
        <v>23.38</v>
      </c>
      <c r="G9" s="5">
        <f>'Composições SEM'!L11</f>
        <v>105140.97</v>
      </c>
      <c r="H9" s="5">
        <f>ROUND((G9*((F9/100)+1)),2)</f>
        <v>129722.93</v>
      </c>
      <c r="I9" s="5">
        <f>ROUND((E9*H9),2)</f>
        <v>129722.93</v>
      </c>
    </row>
    <row r="10" spans="1:11">
      <c r="A10" s="9" t="s">
        <v>102</v>
      </c>
      <c r="B10" s="9"/>
      <c r="C10" s="10" t="s">
        <v>115</v>
      </c>
      <c r="D10" s="9"/>
      <c r="E10" s="11"/>
      <c r="F10" s="12"/>
      <c r="G10" s="11"/>
      <c r="H10" s="11"/>
      <c r="I10" s="11">
        <f>SUM(I11:I11)</f>
        <v>3252.06</v>
      </c>
      <c r="J10" s="147" t="s">
        <v>339</v>
      </c>
    </row>
    <row r="11" spans="1:11" ht="22.8">
      <c r="A11" s="6" t="s">
        <v>101</v>
      </c>
      <c r="B11" s="6">
        <v>103689</v>
      </c>
      <c r="C11" s="7" t="s">
        <v>155</v>
      </c>
      <c r="D11" s="6" t="s">
        <v>35</v>
      </c>
      <c r="E11" s="5">
        <f>'Memória de Cálculo'!J18</f>
        <v>5.63</v>
      </c>
      <c r="F11" s="186">
        <v>23.38</v>
      </c>
      <c r="G11" s="5">
        <v>468.17</v>
      </c>
      <c r="H11" s="5">
        <f>ROUND((G11*((F11/100)+1)),2)</f>
        <v>577.63</v>
      </c>
      <c r="I11" s="5">
        <f>ROUND((E11*H11),2)</f>
        <v>3252.06</v>
      </c>
    </row>
    <row r="12" spans="1:11">
      <c r="A12" s="8" t="s">
        <v>99</v>
      </c>
      <c r="B12" s="8"/>
      <c r="C12" s="13" t="s">
        <v>324</v>
      </c>
      <c r="D12" s="8"/>
      <c r="E12" s="14"/>
      <c r="F12" s="15"/>
      <c r="G12" s="14"/>
      <c r="H12" s="14"/>
      <c r="I12" s="14">
        <f>SUM(I13,I19)</f>
        <v>851097.84000000008</v>
      </c>
      <c r="K12" s="148"/>
    </row>
    <row r="13" spans="1:11">
      <c r="A13" s="8" t="s">
        <v>98</v>
      </c>
      <c r="B13" s="8"/>
      <c r="C13" s="13" t="s">
        <v>325</v>
      </c>
      <c r="D13" s="8"/>
      <c r="E13" s="14"/>
      <c r="F13" s="15"/>
      <c r="G13" s="14"/>
      <c r="H13" s="14"/>
      <c r="I13" s="14">
        <f>SUM(I14,I17)</f>
        <v>562986.76</v>
      </c>
      <c r="K13" s="149"/>
    </row>
    <row r="14" spans="1:11">
      <c r="A14" s="9" t="s">
        <v>97</v>
      </c>
      <c r="B14" s="9"/>
      <c r="C14" s="10" t="s">
        <v>116</v>
      </c>
      <c r="D14" s="9"/>
      <c r="E14" s="11"/>
      <c r="F14" s="12"/>
      <c r="G14" s="11"/>
      <c r="H14" s="11"/>
      <c r="I14" s="11">
        <f>SUM(I15:I16)</f>
        <v>560889.32000000007</v>
      </c>
    </row>
    <row r="15" spans="1:11" ht="45.6">
      <c r="A15" s="6" t="s">
        <v>96</v>
      </c>
      <c r="B15" s="6">
        <v>94273</v>
      </c>
      <c r="C15" s="7" t="s">
        <v>151</v>
      </c>
      <c r="D15" s="6" t="s">
        <v>39</v>
      </c>
      <c r="E15" s="5">
        <f>'Memória de Cálculo'!J31</f>
        <v>1784.37</v>
      </c>
      <c r="F15" s="186">
        <v>23.38</v>
      </c>
      <c r="G15" s="5">
        <v>52.88</v>
      </c>
      <c r="H15" s="5">
        <f>ROUND((G15*((F15/100)+1)),2)</f>
        <v>65.239999999999995</v>
      </c>
      <c r="I15" s="5">
        <f>ROUND((E15*H15),2)</f>
        <v>116412.3</v>
      </c>
      <c r="J15" s="147"/>
      <c r="K15" s="147"/>
    </row>
    <row r="16" spans="1:11" ht="57">
      <c r="A16" s="6" t="s">
        <v>95</v>
      </c>
      <c r="B16" s="6" t="s">
        <v>260</v>
      </c>
      <c r="C16" s="7" t="s">
        <v>259</v>
      </c>
      <c r="D16" s="6" t="s">
        <v>35</v>
      </c>
      <c r="E16" s="5">
        <f>'Memória de Cálculo'!J40</f>
        <v>4473.3999999999996</v>
      </c>
      <c r="F16" s="186">
        <v>23.38</v>
      </c>
      <c r="G16" s="5">
        <f>'Composições SEM'!L20</f>
        <v>80.53</v>
      </c>
      <c r="H16" s="5">
        <f>ROUND((G16*((F16/100)+1)),2)</f>
        <v>99.36</v>
      </c>
      <c r="I16" s="5">
        <f>ROUND((E16*H16),2)</f>
        <v>444477.02</v>
      </c>
      <c r="J16" s="147"/>
    </row>
    <row r="17" spans="1:11">
      <c r="A17" s="9" t="s">
        <v>94</v>
      </c>
      <c r="B17" s="9"/>
      <c r="C17" s="10" t="s">
        <v>37</v>
      </c>
      <c r="D17" s="9"/>
      <c r="E17" s="11"/>
      <c r="F17" s="12"/>
      <c r="G17" s="11"/>
      <c r="H17" s="11"/>
      <c r="I17" s="11">
        <f>SUM(I18:I18)</f>
        <v>2097.44</v>
      </c>
    </row>
    <row r="18" spans="1:11" ht="79.8">
      <c r="A18" s="6" t="s">
        <v>93</v>
      </c>
      <c r="B18" s="6" t="s">
        <v>264</v>
      </c>
      <c r="C18" s="7" t="s">
        <v>414</v>
      </c>
      <c r="D18" s="6" t="s">
        <v>36</v>
      </c>
      <c r="E18" s="5">
        <f>'Memória de Cálculo'!J49</f>
        <v>2</v>
      </c>
      <c r="F18" s="186">
        <v>23.38</v>
      </c>
      <c r="G18" s="5">
        <f>'Composições SEM'!L26</f>
        <v>849.99</v>
      </c>
      <c r="H18" s="5">
        <f>ROUND((G18*((F18/100)+1)),2)</f>
        <v>1048.72</v>
      </c>
      <c r="I18" s="5">
        <f>ROUND((E18*H18),2)</f>
        <v>2097.44</v>
      </c>
      <c r="J18" s="147"/>
    </row>
    <row r="19" spans="1:11">
      <c r="A19" s="8" t="s">
        <v>92</v>
      </c>
      <c r="B19" s="8"/>
      <c r="C19" s="13" t="s">
        <v>326</v>
      </c>
      <c r="D19" s="8"/>
      <c r="E19" s="14"/>
      <c r="F19" s="15"/>
      <c r="G19" s="14"/>
      <c r="H19" s="14"/>
      <c r="I19" s="14">
        <f>SUM(I20,I23)</f>
        <v>288111.08</v>
      </c>
    </row>
    <row r="20" spans="1:11">
      <c r="A20" s="9" t="s">
        <v>91</v>
      </c>
      <c r="B20" s="9"/>
      <c r="C20" s="10" t="s">
        <v>121</v>
      </c>
      <c r="D20" s="9"/>
      <c r="E20" s="11"/>
      <c r="F20" s="12"/>
      <c r="G20" s="11"/>
      <c r="H20" s="11"/>
      <c r="I20" s="11">
        <f>SUM(I21:I22)</f>
        <v>286013.64</v>
      </c>
    </row>
    <row r="21" spans="1:11" ht="45.6">
      <c r="A21" s="6" t="s">
        <v>90</v>
      </c>
      <c r="B21" s="6">
        <v>94273</v>
      </c>
      <c r="C21" s="7" t="s">
        <v>151</v>
      </c>
      <c r="D21" s="6" t="s">
        <v>39</v>
      </c>
      <c r="E21" s="5">
        <f>'Memória de Cálculo'!J61</f>
        <v>913.2</v>
      </c>
      <c r="F21" s="186">
        <v>23.38</v>
      </c>
      <c r="G21" s="5">
        <v>52.88</v>
      </c>
      <c r="H21" s="5">
        <f>ROUND((G21*((F21/100)+1)),2)</f>
        <v>65.239999999999995</v>
      </c>
      <c r="I21" s="5">
        <f>ROUND((E21*H21),2)</f>
        <v>59577.17</v>
      </c>
      <c r="J21" s="147"/>
    </row>
    <row r="22" spans="1:11" ht="57">
      <c r="A22" s="6" t="s">
        <v>89</v>
      </c>
      <c r="B22" s="6" t="s">
        <v>260</v>
      </c>
      <c r="C22" s="7" t="s">
        <v>259</v>
      </c>
      <c r="D22" s="6" t="s">
        <v>35</v>
      </c>
      <c r="E22" s="5">
        <f>'Memória de Cálculo'!J69</f>
        <v>2278.9499999999998</v>
      </c>
      <c r="F22" s="186">
        <v>23.38</v>
      </c>
      <c r="G22" s="5">
        <f>'Composições SEM'!L20</f>
        <v>80.53</v>
      </c>
      <c r="H22" s="5">
        <f>ROUND((G22*((F22/100)+1)),2)</f>
        <v>99.36</v>
      </c>
      <c r="I22" s="5">
        <f>ROUND((E22*H22),2)</f>
        <v>226436.47</v>
      </c>
      <c r="J22" s="147"/>
    </row>
    <row r="23" spans="1:11">
      <c r="A23" s="9" t="s">
        <v>88</v>
      </c>
      <c r="B23" s="9"/>
      <c r="C23" s="10" t="s">
        <v>37</v>
      </c>
      <c r="D23" s="9"/>
      <c r="E23" s="11"/>
      <c r="F23" s="12"/>
      <c r="G23" s="11"/>
      <c r="H23" s="11"/>
      <c r="I23" s="11">
        <f>SUM(I24:I24)</f>
        <v>2097.44</v>
      </c>
    </row>
    <row r="24" spans="1:11" ht="79.8">
      <c r="A24" s="6" t="s">
        <v>87</v>
      </c>
      <c r="B24" s="6" t="s">
        <v>264</v>
      </c>
      <c r="C24" s="7" t="s">
        <v>414</v>
      </c>
      <c r="D24" s="6" t="s">
        <v>36</v>
      </c>
      <c r="E24" s="5">
        <f>'Memória de Cálculo'!J78</f>
        <v>2</v>
      </c>
      <c r="F24" s="186">
        <v>23.38</v>
      </c>
      <c r="G24" s="5">
        <f>'Composições SEM'!L26</f>
        <v>849.99</v>
      </c>
      <c r="H24" s="5">
        <f>ROUND((G24*((F24/100)+1)),2)</f>
        <v>1048.72</v>
      </c>
      <c r="I24" s="5">
        <f>ROUND((E24*H24),2)</f>
        <v>2097.44</v>
      </c>
    </row>
    <row r="25" spans="1:11">
      <c r="A25" s="8" t="s">
        <v>86</v>
      </c>
      <c r="B25" s="8"/>
      <c r="C25" s="13" t="s">
        <v>327</v>
      </c>
      <c r="D25" s="8"/>
      <c r="E25" s="14"/>
      <c r="F25" s="15"/>
      <c r="G25" s="14"/>
      <c r="H25" s="14"/>
      <c r="I25" s="14">
        <f>SUM(I26,I32,I38,I44)</f>
        <v>1079392.5499999998</v>
      </c>
      <c r="J25" s="147"/>
      <c r="K25" s="148"/>
    </row>
    <row r="26" spans="1:11">
      <c r="A26" s="8" t="s">
        <v>85</v>
      </c>
      <c r="B26" s="8"/>
      <c r="C26" s="13" t="s">
        <v>325</v>
      </c>
      <c r="D26" s="8"/>
      <c r="E26" s="14"/>
      <c r="F26" s="15"/>
      <c r="G26" s="14"/>
      <c r="H26" s="14"/>
      <c r="I26" s="14">
        <f>SUM(I27,I30)</f>
        <v>512130.83999999997</v>
      </c>
      <c r="J26" s="147"/>
      <c r="K26" s="149"/>
    </row>
    <row r="27" spans="1:11">
      <c r="A27" s="9" t="s">
        <v>84</v>
      </c>
      <c r="B27" s="9"/>
      <c r="C27" s="10" t="s">
        <v>121</v>
      </c>
      <c r="D27" s="9"/>
      <c r="E27" s="11"/>
      <c r="F27" s="12"/>
      <c r="G27" s="11"/>
      <c r="H27" s="11"/>
      <c r="I27" s="11">
        <f>SUM(I28:I29)</f>
        <v>510033.39999999997</v>
      </c>
    </row>
    <row r="28" spans="1:11" ht="45.6">
      <c r="A28" s="6" t="s">
        <v>83</v>
      </c>
      <c r="B28" s="6">
        <v>94273</v>
      </c>
      <c r="C28" s="7" t="s">
        <v>151</v>
      </c>
      <c r="D28" s="6" t="s">
        <v>39</v>
      </c>
      <c r="E28" s="5">
        <f>'Memória de Cálculo'!J92</f>
        <v>1596.41</v>
      </c>
      <c r="F28" s="186">
        <v>23.38</v>
      </c>
      <c r="G28" s="5">
        <v>52.88</v>
      </c>
      <c r="H28" s="5">
        <f>ROUND((G28*((F28/100)+1)),2)</f>
        <v>65.239999999999995</v>
      </c>
      <c r="I28" s="5">
        <f>ROUND((E28*H28),2)</f>
        <v>104149.79</v>
      </c>
    </row>
    <row r="29" spans="1:11" ht="57">
      <c r="A29" s="6" t="s">
        <v>82</v>
      </c>
      <c r="B29" s="6" t="s">
        <v>260</v>
      </c>
      <c r="C29" s="7" t="s">
        <v>259</v>
      </c>
      <c r="D29" s="6" t="s">
        <v>35</v>
      </c>
      <c r="E29" s="5">
        <f>'Memória de Cálculo'!J100</f>
        <v>4084.98</v>
      </c>
      <c r="F29" s="186">
        <v>23.38</v>
      </c>
      <c r="G29" s="5">
        <f>'Composições SEM'!L20</f>
        <v>80.53</v>
      </c>
      <c r="H29" s="5">
        <f>ROUND((G29*((F29/100)+1)),2)</f>
        <v>99.36</v>
      </c>
      <c r="I29" s="5">
        <f>ROUND((E29*H29),2)</f>
        <v>405883.61</v>
      </c>
    </row>
    <row r="30" spans="1:11">
      <c r="A30" s="9" t="s">
        <v>81</v>
      </c>
      <c r="B30" s="9"/>
      <c r="C30" s="10" t="s">
        <v>37</v>
      </c>
      <c r="D30" s="9"/>
      <c r="E30" s="11"/>
      <c r="F30" s="12"/>
      <c r="G30" s="11"/>
      <c r="H30" s="11"/>
      <c r="I30" s="11">
        <f>SUM(I31:I31)</f>
        <v>2097.44</v>
      </c>
    </row>
    <row r="31" spans="1:11" ht="79.8">
      <c r="A31" s="6" t="s">
        <v>80</v>
      </c>
      <c r="B31" s="6" t="s">
        <v>264</v>
      </c>
      <c r="C31" s="7" t="s">
        <v>414</v>
      </c>
      <c r="D31" s="6" t="s">
        <v>36</v>
      </c>
      <c r="E31" s="5">
        <f>'Memória de Cálculo'!J109</f>
        <v>2</v>
      </c>
      <c r="F31" s="186">
        <v>23.38</v>
      </c>
      <c r="G31" s="5">
        <f>'Composições SEM'!L26</f>
        <v>849.99</v>
      </c>
      <c r="H31" s="5">
        <f>ROUND((G31*((F31/100)+1)),2)</f>
        <v>1048.72</v>
      </c>
      <c r="I31" s="5">
        <f>ROUND((E31*H31),2)</f>
        <v>2097.44</v>
      </c>
    </row>
    <row r="32" spans="1:11">
      <c r="A32" s="8" t="s">
        <v>79</v>
      </c>
      <c r="B32" s="8"/>
      <c r="C32" s="13" t="s">
        <v>326</v>
      </c>
      <c r="D32" s="8"/>
      <c r="E32" s="14"/>
      <c r="F32" s="15"/>
      <c r="G32" s="14"/>
      <c r="H32" s="14"/>
      <c r="I32" s="14">
        <f>SUM(I33,I36)</f>
        <v>154838.22999999998</v>
      </c>
    </row>
    <row r="33" spans="1:9">
      <c r="A33" s="9" t="s">
        <v>78</v>
      </c>
      <c r="B33" s="9"/>
      <c r="C33" s="10" t="s">
        <v>121</v>
      </c>
      <c r="D33" s="9"/>
      <c r="E33" s="11"/>
      <c r="F33" s="12"/>
      <c r="G33" s="11"/>
      <c r="H33" s="11"/>
      <c r="I33" s="11">
        <f>SUM(I34:I35)</f>
        <v>152740.78999999998</v>
      </c>
    </row>
    <row r="34" spans="1:9" ht="45.6">
      <c r="A34" s="6" t="s">
        <v>77</v>
      </c>
      <c r="B34" s="6">
        <v>94273</v>
      </c>
      <c r="C34" s="7" t="s">
        <v>151</v>
      </c>
      <c r="D34" s="6" t="s">
        <v>39</v>
      </c>
      <c r="E34" s="5">
        <f>'Memória de Cálculo'!J121</f>
        <v>475.64</v>
      </c>
      <c r="F34" s="186">
        <v>23.38</v>
      </c>
      <c r="G34" s="5">
        <v>52.88</v>
      </c>
      <c r="H34" s="5">
        <f>ROUND((G34*((F34/100)+1)),2)</f>
        <v>65.239999999999995</v>
      </c>
      <c r="I34" s="5">
        <f>ROUND((E34*H34),2)</f>
        <v>31030.75</v>
      </c>
    </row>
    <row r="35" spans="1:9" ht="57">
      <c r="A35" s="6" t="s">
        <v>76</v>
      </c>
      <c r="B35" s="6" t="s">
        <v>260</v>
      </c>
      <c r="C35" s="7" t="s">
        <v>259</v>
      </c>
      <c r="D35" s="6" t="s">
        <v>35</v>
      </c>
      <c r="E35" s="5">
        <f>'Memória de Cálculo'!J129</f>
        <v>1224.94</v>
      </c>
      <c r="F35" s="186">
        <v>23.38</v>
      </c>
      <c r="G35" s="5">
        <f>'Composições SEM'!L20</f>
        <v>80.53</v>
      </c>
      <c r="H35" s="5">
        <f>ROUND((G35*((F35/100)+1)),2)</f>
        <v>99.36</v>
      </c>
      <c r="I35" s="5">
        <f>ROUND((E35*H35),2)</f>
        <v>121710.04</v>
      </c>
    </row>
    <row r="36" spans="1:9">
      <c r="A36" s="9" t="s">
        <v>75</v>
      </c>
      <c r="B36" s="9"/>
      <c r="C36" s="10" t="s">
        <v>37</v>
      </c>
      <c r="D36" s="9"/>
      <c r="E36" s="11"/>
      <c r="F36" s="12"/>
      <c r="G36" s="11"/>
      <c r="H36" s="11"/>
      <c r="I36" s="11">
        <f>SUM(I37:I37)</f>
        <v>2097.44</v>
      </c>
    </row>
    <row r="37" spans="1:9" ht="79.8">
      <c r="A37" s="6" t="s">
        <v>74</v>
      </c>
      <c r="B37" s="6" t="s">
        <v>264</v>
      </c>
      <c r="C37" s="7" t="s">
        <v>414</v>
      </c>
      <c r="D37" s="6" t="s">
        <v>36</v>
      </c>
      <c r="E37" s="5">
        <f>'Memória de Cálculo'!J138</f>
        <v>2</v>
      </c>
      <c r="F37" s="186">
        <v>23.38</v>
      </c>
      <c r="G37" s="5">
        <f>'Composições SEM'!L26</f>
        <v>849.99</v>
      </c>
      <c r="H37" s="5">
        <f>ROUND((G37*((F37/100)+1)),2)</f>
        <v>1048.72</v>
      </c>
      <c r="I37" s="5">
        <f>ROUND((E37*H37),2)</f>
        <v>2097.44</v>
      </c>
    </row>
    <row r="38" spans="1:9">
      <c r="A38" s="8" t="s">
        <v>330</v>
      </c>
      <c r="B38" s="8"/>
      <c r="C38" s="13" t="s">
        <v>331</v>
      </c>
      <c r="D38" s="8"/>
      <c r="E38" s="14"/>
      <c r="F38" s="15"/>
      <c r="G38" s="14"/>
      <c r="H38" s="14"/>
      <c r="I38" s="14">
        <f>SUM(I39,I42)</f>
        <v>47063.74</v>
      </c>
    </row>
    <row r="39" spans="1:9">
      <c r="A39" s="9" t="s">
        <v>332</v>
      </c>
      <c r="B39" s="9"/>
      <c r="C39" s="10" t="s">
        <v>121</v>
      </c>
      <c r="D39" s="9"/>
      <c r="E39" s="11"/>
      <c r="F39" s="12"/>
      <c r="G39" s="11"/>
      <c r="H39" s="11"/>
      <c r="I39" s="11">
        <f>SUM(I40:I41)</f>
        <v>44966.299999999996</v>
      </c>
    </row>
    <row r="40" spans="1:9" ht="45.6">
      <c r="A40" s="6" t="s">
        <v>299</v>
      </c>
      <c r="B40" s="6">
        <v>94273</v>
      </c>
      <c r="C40" s="7" t="s">
        <v>151</v>
      </c>
      <c r="D40" s="6" t="s">
        <v>39</v>
      </c>
      <c r="E40" s="5">
        <f>'Memória de Cálculo'!J150</f>
        <v>94.79</v>
      </c>
      <c r="F40" s="186">
        <v>23.38</v>
      </c>
      <c r="G40" s="5">
        <v>52.88</v>
      </c>
      <c r="H40" s="5">
        <f>ROUND((G40*((F40/100)+1)),2)</f>
        <v>65.239999999999995</v>
      </c>
      <c r="I40" s="5">
        <f>ROUND((E40*H40),2)</f>
        <v>6184.1</v>
      </c>
    </row>
    <row r="41" spans="1:9" ht="57">
      <c r="A41" s="6" t="s">
        <v>300</v>
      </c>
      <c r="B41" s="6" t="s">
        <v>260</v>
      </c>
      <c r="C41" s="7" t="s">
        <v>259</v>
      </c>
      <c r="D41" s="6" t="s">
        <v>35</v>
      </c>
      <c r="E41" s="5">
        <f>'Memória de Cálculo'!J158</f>
        <v>390.32</v>
      </c>
      <c r="F41" s="186">
        <v>23.38</v>
      </c>
      <c r="G41" s="5">
        <f>'Composições SEM'!L20</f>
        <v>80.53</v>
      </c>
      <c r="H41" s="5">
        <f>ROUND((G41*((F41/100)+1)),2)</f>
        <v>99.36</v>
      </c>
      <c r="I41" s="5">
        <f>ROUND((E41*H41),2)</f>
        <v>38782.199999999997</v>
      </c>
    </row>
    <row r="42" spans="1:9">
      <c r="A42" s="9" t="s">
        <v>333</v>
      </c>
      <c r="B42" s="9"/>
      <c r="C42" s="10" t="s">
        <v>37</v>
      </c>
      <c r="D42" s="9"/>
      <c r="E42" s="11"/>
      <c r="F42" s="12"/>
      <c r="G42" s="11"/>
      <c r="H42" s="11"/>
      <c r="I42" s="11">
        <f>SUM(I43:I43)</f>
        <v>2097.44</v>
      </c>
    </row>
    <row r="43" spans="1:9" ht="79.8">
      <c r="A43" s="6" t="s">
        <v>302</v>
      </c>
      <c r="B43" s="6" t="s">
        <v>264</v>
      </c>
      <c r="C43" s="7" t="s">
        <v>414</v>
      </c>
      <c r="D43" s="6" t="s">
        <v>36</v>
      </c>
      <c r="E43" s="5">
        <f>'Memória de Cálculo'!J167</f>
        <v>2</v>
      </c>
      <c r="F43" s="186">
        <v>23.38</v>
      </c>
      <c r="G43" s="5">
        <f>'Composições SEM'!L26</f>
        <v>849.99</v>
      </c>
      <c r="H43" s="5">
        <f>ROUND((G43*((F43/100)+1)),2)</f>
        <v>1048.72</v>
      </c>
      <c r="I43" s="5">
        <f>ROUND((E43*H43),2)</f>
        <v>2097.44</v>
      </c>
    </row>
    <row r="44" spans="1:9">
      <c r="A44" s="8" t="s">
        <v>335</v>
      </c>
      <c r="B44" s="8"/>
      <c r="C44" s="13" t="s">
        <v>334</v>
      </c>
      <c r="D44" s="8"/>
      <c r="E44" s="14"/>
      <c r="F44" s="15"/>
      <c r="G44" s="14"/>
      <c r="H44" s="14"/>
      <c r="I44" s="14">
        <f>SUM(I45,I48)</f>
        <v>365359.74</v>
      </c>
    </row>
    <row r="45" spans="1:9">
      <c r="A45" s="9" t="s">
        <v>336</v>
      </c>
      <c r="B45" s="9"/>
      <c r="C45" s="10" t="s">
        <v>121</v>
      </c>
      <c r="D45" s="9"/>
      <c r="E45" s="11"/>
      <c r="F45" s="12"/>
      <c r="G45" s="11"/>
      <c r="H45" s="11"/>
      <c r="I45" s="11">
        <f>SUM(I46:I47)</f>
        <v>363262.3</v>
      </c>
    </row>
    <row r="46" spans="1:9" ht="45.6">
      <c r="A46" s="6" t="s">
        <v>305</v>
      </c>
      <c r="B46" s="6">
        <v>94273</v>
      </c>
      <c r="C46" s="7" t="s">
        <v>151</v>
      </c>
      <c r="D46" s="6" t="s">
        <v>39</v>
      </c>
      <c r="E46" s="5">
        <f>'Memória de Cálculo'!J179</f>
        <v>1152.42</v>
      </c>
      <c r="F46" s="186">
        <v>23.38</v>
      </c>
      <c r="G46" s="5">
        <v>52.88</v>
      </c>
      <c r="H46" s="5">
        <f>ROUND((G46*((F46/100)+1)),2)</f>
        <v>65.239999999999995</v>
      </c>
      <c r="I46" s="5">
        <f>ROUND((E46*H46),2)</f>
        <v>75183.88</v>
      </c>
    </row>
    <row r="47" spans="1:9" ht="57">
      <c r="A47" s="6" t="s">
        <v>306</v>
      </c>
      <c r="B47" s="6" t="s">
        <v>260</v>
      </c>
      <c r="C47" s="7" t="s">
        <v>259</v>
      </c>
      <c r="D47" s="6" t="s">
        <v>35</v>
      </c>
      <c r="E47" s="5">
        <f>'Memória de Cálculo'!J191</f>
        <v>2899.34</v>
      </c>
      <c r="F47" s="186">
        <v>23.38</v>
      </c>
      <c r="G47" s="5">
        <f>'Composições SEM'!L20</f>
        <v>80.53</v>
      </c>
      <c r="H47" s="5">
        <f>ROUND((G47*((F47/100)+1)),2)</f>
        <v>99.36</v>
      </c>
      <c r="I47" s="5">
        <f>ROUND((E47*H47),2)</f>
        <v>288078.42</v>
      </c>
    </row>
    <row r="48" spans="1:9">
      <c r="A48" s="9" t="s">
        <v>337</v>
      </c>
      <c r="B48" s="9"/>
      <c r="C48" s="10" t="s">
        <v>37</v>
      </c>
      <c r="D48" s="9"/>
      <c r="E48" s="11"/>
      <c r="F48" s="12"/>
      <c r="G48" s="11"/>
      <c r="H48" s="11"/>
      <c r="I48" s="11">
        <f>SUM(I49:I49)</f>
        <v>2097.44</v>
      </c>
    </row>
    <row r="49" spans="1:11" ht="79.8">
      <c r="A49" s="6" t="s">
        <v>308</v>
      </c>
      <c r="B49" s="6" t="s">
        <v>264</v>
      </c>
      <c r="C49" s="7" t="s">
        <v>414</v>
      </c>
      <c r="D49" s="6" t="s">
        <v>36</v>
      </c>
      <c r="E49" s="5">
        <f>'Memória de Cálculo'!J200</f>
        <v>2</v>
      </c>
      <c r="F49" s="186">
        <v>23.38</v>
      </c>
      <c r="G49" s="5">
        <f>'Composições SEM'!L26</f>
        <v>849.99</v>
      </c>
      <c r="H49" s="5">
        <f>ROUND((G49*((F49/100)+1)),2)</f>
        <v>1048.72</v>
      </c>
      <c r="I49" s="5">
        <f>ROUND((E49*H49),2)</f>
        <v>2097.44</v>
      </c>
    </row>
    <row r="50" spans="1:11">
      <c r="A50" s="8" t="s">
        <v>73</v>
      </c>
      <c r="B50" s="8"/>
      <c r="C50" s="13" t="s">
        <v>328</v>
      </c>
      <c r="D50" s="8"/>
      <c r="E50" s="14"/>
      <c r="F50" s="15"/>
      <c r="G50" s="14"/>
      <c r="H50" s="14"/>
      <c r="I50" s="14">
        <f>SUM(I51)</f>
        <v>756323.60999999987</v>
      </c>
      <c r="J50" s="147" t="s">
        <v>340</v>
      </c>
      <c r="K50" s="148"/>
    </row>
    <row r="51" spans="1:11">
      <c r="A51" s="8" t="s">
        <v>72</v>
      </c>
      <c r="B51" s="8"/>
      <c r="C51" s="13" t="s">
        <v>325</v>
      </c>
      <c r="D51" s="8"/>
      <c r="E51" s="14"/>
      <c r="F51" s="15"/>
      <c r="G51" s="14"/>
      <c r="H51" s="14"/>
      <c r="I51" s="14">
        <f>SUM(I52,I55)</f>
        <v>756323.60999999987</v>
      </c>
      <c r="K51" s="149"/>
    </row>
    <row r="52" spans="1:11">
      <c r="A52" s="9" t="s">
        <v>71</v>
      </c>
      <c r="B52" s="9"/>
      <c r="C52" s="10" t="s">
        <v>121</v>
      </c>
      <c r="D52" s="9"/>
      <c r="E52" s="11"/>
      <c r="F52" s="12"/>
      <c r="G52" s="11"/>
      <c r="H52" s="11"/>
      <c r="I52" s="11">
        <f>SUM(I53:I54)</f>
        <v>754226.16999999993</v>
      </c>
      <c r="J52" s="147"/>
    </row>
    <row r="53" spans="1:11" ht="45.6">
      <c r="A53" s="6" t="s">
        <v>70</v>
      </c>
      <c r="B53" s="6">
        <v>94273</v>
      </c>
      <c r="C53" s="7" t="s">
        <v>151</v>
      </c>
      <c r="D53" s="6" t="s">
        <v>39</v>
      </c>
      <c r="E53" s="5">
        <f>'Memória de Cálculo'!J214</f>
        <v>2077.64</v>
      </c>
      <c r="F53" s="186">
        <v>23.38</v>
      </c>
      <c r="G53" s="5">
        <v>52.88</v>
      </c>
      <c r="H53" s="5">
        <f>ROUND((G53*((F53/100)+1)),2)</f>
        <v>65.239999999999995</v>
      </c>
      <c r="I53" s="5">
        <f>ROUND((E53*H53),2)</f>
        <v>135545.23000000001</v>
      </c>
    </row>
    <row r="54" spans="1:11" ht="57">
      <c r="A54" s="6" t="s">
        <v>69</v>
      </c>
      <c r="B54" s="6" t="s">
        <v>260</v>
      </c>
      <c r="C54" s="7" t="s">
        <v>259</v>
      </c>
      <c r="D54" s="6" t="s">
        <v>35</v>
      </c>
      <c r="E54" s="5">
        <f>'Memória de Cálculo'!J223</f>
        <v>6226.66</v>
      </c>
      <c r="F54" s="186">
        <v>23.38</v>
      </c>
      <c r="G54" s="5">
        <f>'Composições SEM'!L20</f>
        <v>80.53</v>
      </c>
      <c r="H54" s="5">
        <f>ROUND((G54*((F54/100)+1)),2)</f>
        <v>99.36</v>
      </c>
      <c r="I54" s="5">
        <f>ROUND((E54*H54),2)</f>
        <v>618680.93999999994</v>
      </c>
    </row>
    <row r="55" spans="1:11">
      <c r="A55" s="9" t="s">
        <v>68</v>
      </c>
      <c r="B55" s="9"/>
      <c r="C55" s="10" t="s">
        <v>37</v>
      </c>
      <c r="D55" s="9"/>
      <c r="E55" s="11"/>
      <c r="F55" s="12"/>
      <c r="G55" s="11"/>
      <c r="H55" s="11"/>
      <c r="I55" s="11">
        <f>SUM(I56:I56)</f>
        <v>2097.44</v>
      </c>
    </row>
    <row r="56" spans="1:11" ht="79.8">
      <c r="A56" s="6" t="s">
        <v>67</v>
      </c>
      <c r="B56" s="6" t="s">
        <v>264</v>
      </c>
      <c r="C56" s="7" t="s">
        <v>414</v>
      </c>
      <c r="D56" s="6" t="s">
        <v>36</v>
      </c>
      <c r="E56" s="5">
        <f>'Memória de Cálculo'!J231</f>
        <v>2</v>
      </c>
      <c r="F56" s="186">
        <v>23.38</v>
      </c>
      <c r="G56" s="5">
        <f>'Composições SEM'!L26</f>
        <v>849.99</v>
      </c>
      <c r="H56" s="5">
        <f>ROUND((G56*((F56/100)+1)),2)</f>
        <v>1048.72</v>
      </c>
      <c r="I56" s="5">
        <f>ROUND((E56*H56),2)</f>
        <v>2097.44</v>
      </c>
    </row>
    <row r="57" spans="1:11">
      <c r="A57" s="8" t="s">
        <v>66</v>
      </c>
      <c r="B57" s="8"/>
      <c r="C57" s="13" t="s">
        <v>329</v>
      </c>
      <c r="D57" s="8"/>
      <c r="E57" s="14"/>
      <c r="F57" s="15"/>
      <c r="G57" s="14"/>
      <c r="H57" s="14"/>
      <c r="I57" s="14">
        <f>SUM(I58)</f>
        <v>445362.23000000004</v>
      </c>
      <c r="K57" s="148"/>
    </row>
    <row r="58" spans="1:11">
      <c r="A58" s="8" t="s">
        <v>65</v>
      </c>
      <c r="B58" s="8"/>
      <c r="C58" s="13" t="s">
        <v>325</v>
      </c>
      <c r="D58" s="8"/>
      <c r="E58" s="14"/>
      <c r="F58" s="15"/>
      <c r="G58" s="14"/>
      <c r="H58" s="14"/>
      <c r="I58" s="14">
        <f>SUM(I59,I62)</f>
        <v>445362.23000000004</v>
      </c>
      <c r="K58" s="149"/>
    </row>
    <row r="59" spans="1:11">
      <c r="A59" s="9" t="s">
        <v>64</v>
      </c>
      <c r="B59" s="9"/>
      <c r="C59" s="10" t="s">
        <v>121</v>
      </c>
      <c r="D59" s="9"/>
      <c r="E59" s="11"/>
      <c r="F59" s="12"/>
      <c r="G59" s="11"/>
      <c r="H59" s="11"/>
      <c r="I59" s="11">
        <f>SUM(I60:I61)</f>
        <v>443264.79000000004</v>
      </c>
      <c r="J59" s="147"/>
    </row>
    <row r="60" spans="1:11" ht="45.6">
      <c r="A60" s="6" t="s">
        <v>63</v>
      </c>
      <c r="B60" s="6">
        <v>94273</v>
      </c>
      <c r="C60" s="7" t="s">
        <v>151</v>
      </c>
      <c r="D60" s="6" t="s">
        <v>39</v>
      </c>
      <c r="E60" s="5">
        <f>'Memória de Cálculo'!J245</f>
        <v>1187.72</v>
      </c>
      <c r="F60" s="186">
        <v>23.38</v>
      </c>
      <c r="G60" s="5">
        <v>52.88</v>
      </c>
      <c r="H60" s="5">
        <f>ROUND((G60*((F60/100)+1)),2)</f>
        <v>65.239999999999995</v>
      </c>
      <c r="I60" s="5">
        <f>ROUND((E60*H60),2)</f>
        <v>77486.850000000006</v>
      </c>
    </row>
    <row r="61" spans="1:11" ht="57">
      <c r="A61" s="6" t="s">
        <v>62</v>
      </c>
      <c r="B61" s="6" t="s">
        <v>260</v>
      </c>
      <c r="C61" s="7" t="s">
        <v>259</v>
      </c>
      <c r="D61" s="6" t="s">
        <v>35</v>
      </c>
      <c r="E61" s="5">
        <f>'Memória de Cálculo'!J255</f>
        <v>3681.34</v>
      </c>
      <c r="F61" s="186">
        <v>23.38</v>
      </c>
      <c r="G61" s="5">
        <f>'Composições SEM'!L20</f>
        <v>80.53</v>
      </c>
      <c r="H61" s="5">
        <f>ROUND((G61*((F61/100)+1)),2)</f>
        <v>99.36</v>
      </c>
      <c r="I61" s="5">
        <f>ROUND((E61*H61),2)</f>
        <v>365777.94</v>
      </c>
    </row>
    <row r="62" spans="1:11">
      <c r="A62" s="9" t="s">
        <v>61</v>
      </c>
      <c r="B62" s="9"/>
      <c r="C62" s="10" t="s">
        <v>37</v>
      </c>
      <c r="D62" s="9"/>
      <c r="E62" s="11"/>
      <c r="F62" s="12"/>
      <c r="G62" s="11"/>
      <c r="H62" s="11"/>
      <c r="I62" s="11">
        <f>SUM(I63:I63)</f>
        <v>2097.44</v>
      </c>
    </row>
    <row r="63" spans="1:11" ht="79.8">
      <c r="A63" s="6" t="s">
        <v>60</v>
      </c>
      <c r="B63" s="6" t="s">
        <v>264</v>
      </c>
      <c r="C63" s="7" t="s">
        <v>414</v>
      </c>
      <c r="D63" s="6" t="s">
        <v>36</v>
      </c>
      <c r="E63" s="5">
        <f>'Memória de Cálculo'!J263</f>
        <v>2</v>
      </c>
      <c r="F63" s="186">
        <v>23.38</v>
      </c>
      <c r="G63" s="5">
        <f>'Composições SEM'!L26</f>
        <v>849.99</v>
      </c>
      <c r="H63" s="5">
        <f>ROUND((G63*((F63/100)+1)),2)</f>
        <v>1048.72</v>
      </c>
      <c r="I63" s="5">
        <f>ROUND((E63*H63),2)</f>
        <v>2097.44</v>
      </c>
    </row>
    <row r="64" spans="1:11">
      <c r="A64" s="8" t="s">
        <v>59</v>
      </c>
      <c r="B64" s="8"/>
      <c r="C64" s="13" t="s">
        <v>338</v>
      </c>
      <c r="D64" s="8"/>
      <c r="E64" s="14"/>
      <c r="F64" s="15"/>
      <c r="G64" s="14"/>
      <c r="H64" s="14"/>
      <c r="I64" s="14">
        <f>SUM(I65,I71)</f>
        <v>1683536.2199999997</v>
      </c>
      <c r="J64" s="147" t="s">
        <v>339</v>
      </c>
      <c r="K64" s="148"/>
    </row>
    <row r="65" spans="1:11">
      <c r="A65" s="8" t="s">
        <v>58</v>
      </c>
      <c r="B65" s="8"/>
      <c r="C65" s="13" t="s">
        <v>325</v>
      </c>
      <c r="D65" s="8"/>
      <c r="E65" s="14"/>
      <c r="F65" s="15"/>
      <c r="G65" s="14"/>
      <c r="H65" s="14"/>
      <c r="I65" s="14">
        <f>SUM(I66,I69)</f>
        <v>941789.63</v>
      </c>
      <c r="K65" s="149"/>
    </row>
    <row r="66" spans="1:11">
      <c r="A66" s="9" t="s">
        <v>57</v>
      </c>
      <c r="B66" s="9"/>
      <c r="C66" s="10" t="s">
        <v>121</v>
      </c>
      <c r="D66" s="9"/>
      <c r="E66" s="11"/>
      <c r="F66" s="12"/>
      <c r="G66" s="11"/>
      <c r="H66" s="11"/>
      <c r="I66" s="11">
        <f>SUM(I67:I68)</f>
        <v>939692.19000000006</v>
      </c>
    </row>
    <row r="67" spans="1:11" ht="45.6">
      <c r="A67" s="6" t="s">
        <v>56</v>
      </c>
      <c r="B67" s="6">
        <v>94273</v>
      </c>
      <c r="C67" s="7" t="s">
        <v>151</v>
      </c>
      <c r="D67" s="6" t="s">
        <v>39</v>
      </c>
      <c r="E67" s="5">
        <f>'Memória de Cálculo'!J276</f>
        <v>2587.38</v>
      </c>
      <c r="F67" s="186">
        <v>23.38</v>
      </c>
      <c r="G67" s="5">
        <v>52.88</v>
      </c>
      <c r="H67" s="5">
        <f>ROUND((G67*((F67/100)+1)),2)</f>
        <v>65.239999999999995</v>
      </c>
      <c r="I67" s="5">
        <f>ROUND((E67*H67),2)</f>
        <v>168800.67</v>
      </c>
      <c r="J67" s="147"/>
    </row>
    <row r="68" spans="1:11" ht="57">
      <c r="A68" s="6" t="s">
        <v>55</v>
      </c>
      <c r="B68" s="6" t="s">
        <v>260</v>
      </c>
      <c r="C68" s="7" t="s">
        <v>259</v>
      </c>
      <c r="D68" s="6" t="s">
        <v>35</v>
      </c>
      <c r="E68" s="5">
        <f>'Memória de Cálculo'!J285</f>
        <v>7758.57</v>
      </c>
      <c r="F68" s="186">
        <v>23.38</v>
      </c>
      <c r="G68" s="5">
        <f>'Composições SEM'!L20</f>
        <v>80.53</v>
      </c>
      <c r="H68" s="5">
        <f>ROUND((G68*((F68/100)+1)),2)</f>
        <v>99.36</v>
      </c>
      <c r="I68" s="5">
        <f>ROUND((E68*H68),2)</f>
        <v>770891.52</v>
      </c>
    </row>
    <row r="69" spans="1:11">
      <c r="A69" s="9" t="s">
        <v>54</v>
      </c>
      <c r="B69" s="9"/>
      <c r="C69" s="10" t="s">
        <v>37</v>
      </c>
      <c r="D69" s="9"/>
      <c r="E69" s="11"/>
      <c r="F69" s="12"/>
      <c r="G69" s="11"/>
      <c r="H69" s="11"/>
      <c r="I69" s="11">
        <f>SUM(I70:I70)</f>
        <v>2097.44</v>
      </c>
    </row>
    <row r="70" spans="1:11" ht="79.8">
      <c r="A70" s="6" t="s">
        <v>53</v>
      </c>
      <c r="B70" s="6" t="s">
        <v>264</v>
      </c>
      <c r="C70" s="7" t="s">
        <v>414</v>
      </c>
      <c r="D70" s="6" t="s">
        <v>36</v>
      </c>
      <c r="E70" s="5">
        <f>'Memória de Cálculo'!J293</f>
        <v>2</v>
      </c>
      <c r="F70" s="186">
        <v>23.38</v>
      </c>
      <c r="G70" s="5">
        <f>'Composições SEM'!L26</f>
        <v>849.99</v>
      </c>
      <c r="H70" s="5">
        <f>ROUND((G70*((F70/100)+1)),2)</f>
        <v>1048.72</v>
      </c>
      <c r="I70" s="5">
        <f>ROUND((E70*H70),2)</f>
        <v>2097.44</v>
      </c>
    </row>
    <row r="71" spans="1:11">
      <c r="A71" s="8" t="s">
        <v>52</v>
      </c>
      <c r="B71" s="8"/>
      <c r="C71" s="13" t="s">
        <v>326</v>
      </c>
      <c r="D71" s="8"/>
      <c r="E71" s="14"/>
      <c r="F71" s="15"/>
      <c r="G71" s="14"/>
      <c r="H71" s="14"/>
      <c r="I71" s="14">
        <f>SUM(I72,I75)</f>
        <v>741746.58999999985</v>
      </c>
    </row>
    <row r="72" spans="1:11">
      <c r="A72" s="9" t="s">
        <v>51</v>
      </c>
      <c r="B72" s="9"/>
      <c r="C72" s="10" t="s">
        <v>121</v>
      </c>
      <c r="D72" s="9"/>
      <c r="E72" s="11"/>
      <c r="F72" s="12"/>
      <c r="G72" s="11"/>
      <c r="H72" s="11"/>
      <c r="I72" s="11">
        <f>SUM(I73:I74)</f>
        <v>739649.14999999991</v>
      </c>
    </row>
    <row r="73" spans="1:11" ht="45.6">
      <c r="A73" s="6" t="s">
        <v>50</v>
      </c>
      <c r="B73" s="6">
        <v>94273</v>
      </c>
      <c r="C73" s="7" t="s">
        <v>151</v>
      </c>
      <c r="D73" s="6" t="s">
        <v>39</v>
      </c>
      <c r="E73" s="5">
        <f>'Memória de Cálculo'!J304</f>
        <v>2028.54</v>
      </c>
      <c r="F73" s="186">
        <v>23.38</v>
      </c>
      <c r="G73" s="5">
        <v>52.88</v>
      </c>
      <c r="H73" s="5">
        <f>ROUND((G73*((F73/100)+1)),2)</f>
        <v>65.239999999999995</v>
      </c>
      <c r="I73" s="5">
        <f>ROUND((E73*H73),2)</f>
        <v>132341.95000000001</v>
      </c>
    </row>
    <row r="74" spans="1:11" ht="57">
      <c r="A74" s="6" t="s">
        <v>49</v>
      </c>
      <c r="B74" s="6" t="s">
        <v>260</v>
      </c>
      <c r="C74" s="7" t="s">
        <v>259</v>
      </c>
      <c r="D74" s="6" t="s">
        <v>35</v>
      </c>
      <c r="E74" s="5">
        <f>'Memória de Cálculo'!J313</f>
        <v>6112.19</v>
      </c>
      <c r="F74" s="186">
        <v>23.38</v>
      </c>
      <c r="G74" s="5">
        <f>'Composições SEM'!L20</f>
        <v>80.53</v>
      </c>
      <c r="H74" s="5">
        <f>ROUND((G74*((F74/100)+1)),2)</f>
        <v>99.36</v>
      </c>
      <c r="I74" s="5">
        <f>ROUND((E74*H74),2)</f>
        <v>607307.19999999995</v>
      </c>
    </row>
    <row r="75" spans="1:11">
      <c r="A75" s="9" t="s">
        <v>48</v>
      </c>
      <c r="B75" s="9"/>
      <c r="C75" s="10" t="s">
        <v>37</v>
      </c>
      <c r="D75" s="9"/>
      <c r="E75" s="11"/>
      <c r="F75" s="12"/>
      <c r="G75" s="11"/>
      <c r="H75" s="11"/>
      <c r="I75" s="11">
        <f>SUM(I76:I76)</f>
        <v>2097.44</v>
      </c>
    </row>
    <row r="76" spans="1:11" ht="79.8">
      <c r="A76" s="6" t="s">
        <v>47</v>
      </c>
      <c r="B76" s="6" t="s">
        <v>264</v>
      </c>
      <c r="C76" s="7" t="s">
        <v>414</v>
      </c>
      <c r="D76" s="6" t="s">
        <v>36</v>
      </c>
      <c r="E76" s="5">
        <f>'Memória de Cálculo'!J321</f>
        <v>2</v>
      </c>
      <c r="F76" s="186">
        <v>23.38</v>
      </c>
      <c r="G76" s="5">
        <f>'Composições SEM'!L26</f>
        <v>849.99</v>
      </c>
      <c r="H76" s="5">
        <f>ROUND((G76*((F76/100)+1)),2)</f>
        <v>1048.72</v>
      </c>
      <c r="I76" s="5">
        <f>ROUND((E76*H76),2)</f>
        <v>2097.44</v>
      </c>
    </row>
    <row r="77" spans="1:11">
      <c r="A77" s="8">
        <v>8</v>
      </c>
      <c r="B77" s="8"/>
      <c r="C77" s="13" t="s">
        <v>344</v>
      </c>
      <c r="D77" s="8"/>
      <c r="E77" s="14"/>
      <c r="F77" s="15"/>
      <c r="G77" s="14"/>
      <c r="H77" s="14"/>
      <c r="I77" s="14">
        <f>SUM(I78,I84)</f>
        <v>938168.66000000015</v>
      </c>
      <c r="K77" s="148"/>
    </row>
    <row r="78" spans="1:11">
      <c r="A78" s="8" t="s">
        <v>45</v>
      </c>
      <c r="B78" s="8"/>
      <c r="C78" s="13" t="s">
        <v>325</v>
      </c>
      <c r="D78" s="8"/>
      <c r="E78" s="14"/>
      <c r="F78" s="15"/>
      <c r="G78" s="14"/>
      <c r="H78" s="14"/>
      <c r="I78" s="14">
        <f>SUM(I79,I82)</f>
        <v>433292.99000000005</v>
      </c>
      <c r="K78" s="149"/>
    </row>
    <row r="79" spans="1:11">
      <c r="A79" s="9" t="s">
        <v>44</v>
      </c>
      <c r="B79" s="9"/>
      <c r="C79" s="10" t="s">
        <v>121</v>
      </c>
      <c r="D79" s="9"/>
      <c r="E79" s="11"/>
      <c r="F79" s="12"/>
      <c r="G79" s="11"/>
      <c r="H79" s="11"/>
      <c r="I79" s="11">
        <f>SUM(I80:I81)</f>
        <v>431195.55000000005</v>
      </c>
    </row>
    <row r="80" spans="1:11" ht="45.6">
      <c r="A80" s="6" t="s">
        <v>43</v>
      </c>
      <c r="B80" s="6">
        <v>94273</v>
      </c>
      <c r="C80" s="7" t="s">
        <v>151</v>
      </c>
      <c r="D80" s="6" t="s">
        <v>39</v>
      </c>
      <c r="E80" s="5">
        <f>'Memória de Cálculo'!J334</f>
        <v>1178.43</v>
      </c>
      <c r="F80" s="186">
        <v>23.38</v>
      </c>
      <c r="G80" s="5">
        <v>52.88</v>
      </c>
      <c r="H80" s="5">
        <f>ROUND((G80*((F80/100)+1)),2)</f>
        <v>65.239999999999995</v>
      </c>
      <c r="I80" s="5">
        <f>ROUND((E80*H80),2)</f>
        <v>76880.77</v>
      </c>
      <c r="J80" s="147"/>
    </row>
    <row r="81" spans="1:12" ht="57">
      <c r="A81" s="6" t="s">
        <v>42</v>
      </c>
      <c r="B81" s="6" t="s">
        <v>260</v>
      </c>
      <c r="C81" s="7" t="s">
        <v>259</v>
      </c>
      <c r="D81" s="6" t="s">
        <v>35</v>
      </c>
      <c r="E81" s="5">
        <f>'Memória de Cálculo'!J342</f>
        <v>3565.97</v>
      </c>
      <c r="F81" s="186">
        <v>23.38</v>
      </c>
      <c r="G81" s="5">
        <f>'Composições SEM'!L20</f>
        <v>80.53</v>
      </c>
      <c r="H81" s="5">
        <f>ROUND((G81*((F81/100)+1)),2)</f>
        <v>99.36</v>
      </c>
      <c r="I81" s="5">
        <f>ROUND((E81*H81),2)</f>
        <v>354314.78</v>
      </c>
    </row>
    <row r="82" spans="1:12">
      <c r="A82" s="9" t="s">
        <v>41</v>
      </c>
      <c r="B82" s="9"/>
      <c r="C82" s="10" t="s">
        <v>37</v>
      </c>
      <c r="D82" s="9"/>
      <c r="E82" s="11"/>
      <c r="F82" s="12"/>
      <c r="G82" s="11"/>
      <c r="H82" s="11"/>
      <c r="I82" s="11">
        <f>SUM(I83:I83)</f>
        <v>2097.44</v>
      </c>
    </row>
    <row r="83" spans="1:12" ht="79.8">
      <c r="A83" s="6" t="s">
        <v>40</v>
      </c>
      <c r="B83" s="6" t="s">
        <v>264</v>
      </c>
      <c r="C83" s="7" t="s">
        <v>414</v>
      </c>
      <c r="D83" s="6" t="s">
        <v>36</v>
      </c>
      <c r="E83" s="5">
        <f>'Memória de Cálculo'!J351</f>
        <v>2</v>
      </c>
      <c r="F83" s="186">
        <v>23.38</v>
      </c>
      <c r="G83" s="5">
        <f>'Composições SEM'!L26</f>
        <v>849.99</v>
      </c>
      <c r="H83" s="5">
        <f>ROUND((G83*((F83/100)+1)),2)</f>
        <v>1048.72</v>
      </c>
      <c r="I83" s="5">
        <f>ROUND((E83*H83),2)</f>
        <v>2097.44</v>
      </c>
    </row>
    <row r="84" spans="1:12">
      <c r="A84" s="8" t="s">
        <v>341</v>
      </c>
      <c r="B84" s="8"/>
      <c r="C84" s="13" t="s">
        <v>326</v>
      </c>
      <c r="D84" s="8"/>
      <c r="E84" s="14"/>
      <c r="F84" s="15"/>
      <c r="G84" s="14"/>
      <c r="H84" s="14"/>
      <c r="I84" s="14">
        <f>SUM(I85,I88)</f>
        <v>504875.67000000004</v>
      </c>
    </row>
    <row r="85" spans="1:12">
      <c r="A85" s="9" t="s">
        <v>342</v>
      </c>
      <c r="B85" s="9"/>
      <c r="C85" s="10" t="s">
        <v>121</v>
      </c>
      <c r="D85" s="9"/>
      <c r="E85" s="11"/>
      <c r="F85" s="12"/>
      <c r="G85" s="11"/>
      <c r="H85" s="11"/>
      <c r="I85" s="11">
        <f>SUM(I86:I87)</f>
        <v>502778.23000000004</v>
      </c>
    </row>
    <row r="86" spans="1:12" ht="45.6">
      <c r="A86" s="6" t="s">
        <v>319</v>
      </c>
      <c r="B86" s="6">
        <v>94273</v>
      </c>
      <c r="C86" s="7" t="s">
        <v>151</v>
      </c>
      <c r="D86" s="6" t="s">
        <v>39</v>
      </c>
      <c r="E86" s="5">
        <f>'Memória de Cálculo'!J362</f>
        <v>1093.23</v>
      </c>
      <c r="F86" s="186">
        <v>23.38</v>
      </c>
      <c r="G86" s="5">
        <v>52.88</v>
      </c>
      <c r="H86" s="5">
        <f>ROUND((G86*((F86/100)+1)),2)</f>
        <v>65.239999999999995</v>
      </c>
      <c r="I86" s="5">
        <f>ROUND((E86*H86),2)</f>
        <v>71322.33</v>
      </c>
    </row>
    <row r="87" spans="1:12" ht="57">
      <c r="A87" s="6" t="s">
        <v>321</v>
      </c>
      <c r="B87" s="6" t="s">
        <v>260</v>
      </c>
      <c r="C87" s="7" t="s">
        <v>259</v>
      </c>
      <c r="D87" s="6" t="s">
        <v>35</v>
      </c>
      <c r="E87" s="5">
        <f>'Memória de Cálculo'!J371</f>
        <v>4342.3500000000004</v>
      </c>
      <c r="F87" s="186">
        <v>23.38</v>
      </c>
      <c r="G87" s="5">
        <f>'Composições SEM'!L20</f>
        <v>80.53</v>
      </c>
      <c r="H87" s="5">
        <f>ROUND((G87*((F87/100)+1)),2)</f>
        <v>99.36</v>
      </c>
      <c r="I87" s="5">
        <f>ROUND((E87*H87),2)</f>
        <v>431455.9</v>
      </c>
    </row>
    <row r="88" spans="1:12">
      <c r="A88" s="9" t="s">
        <v>343</v>
      </c>
      <c r="B88" s="9"/>
      <c r="C88" s="10" t="s">
        <v>37</v>
      </c>
      <c r="D88" s="9"/>
      <c r="E88" s="11"/>
      <c r="F88" s="12"/>
      <c r="G88" s="11"/>
      <c r="H88" s="11"/>
      <c r="I88" s="11">
        <f>SUM(I89:I89)</f>
        <v>2097.44</v>
      </c>
    </row>
    <row r="89" spans="1:12" ht="79.8">
      <c r="A89" s="6" t="s">
        <v>323</v>
      </c>
      <c r="B89" s="6" t="s">
        <v>264</v>
      </c>
      <c r="C89" s="7" t="s">
        <v>414</v>
      </c>
      <c r="D89" s="6" t="s">
        <v>36</v>
      </c>
      <c r="E89" s="5">
        <f>'Memória de Cálculo'!J380</f>
        <v>2</v>
      </c>
      <c r="F89" s="186">
        <v>23.38</v>
      </c>
      <c r="G89" s="5">
        <f>'Composições SEM'!L26</f>
        <v>849.99</v>
      </c>
      <c r="H89" s="5">
        <f>ROUND((G89*((F89/100)+1)),2)</f>
        <v>1048.72</v>
      </c>
      <c r="I89" s="5">
        <f>ROUND((E89*H89),2)</f>
        <v>2097.44</v>
      </c>
    </row>
    <row r="90" spans="1:12">
      <c r="A90" s="63"/>
      <c r="B90" s="64"/>
      <c r="C90" s="64"/>
      <c r="D90" s="64"/>
      <c r="E90" s="150"/>
      <c r="F90" s="64"/>
      <c r="G90" s="229" t="s">
        <v>34</v>
      </c>
      <c r="H90" s="229"/>
      <c r="I90" s="65">
        <f>SUM(I8,I10,I12,I25,I50,I57,I64,I77)</f>
        <v>5886856.0999999996</v>
      </c>
      <c r="K90" s="174">
        <f>I90-I8-I10</f>
        <v>5753881.1100000003</v>
      </c>
      <c r="L90" s="177"/>
    </row>
    <row r="91" spans="1:12" ht="122.25" customHeight="1">
      <c r="A91" s="231"/>
      <c r="B91" s="231"/>
      <c r="C91" s="231"/>
      <c r="D91" s="231"/>
      <c r="E91" s="231"/>
      <c r="F91" s="231"/>
      <c r="G91" s="231"/>
      <c r="H91" s="231"/>
      <c r="I91" s="231"/>
    </row>
  </sheetData>
  <autoFilter ref="A7:I90" xr:uid="{00000000-0009-0000-0000-000003000000}"/>
  <mergeCells count="12">
    <mergeCell ref="A6:I6"/>
    <mergeCell ref="A91:I91"/>
    <mergeCell ref="G90:H90"/>
    <mergeCell ref="B5:D5"/>
    <mergeCell ref="F5:I5"/>
    <mergeCell ref="B4:D4"/>
    <mergeCell ref="F4:I4"/>
    <mergeCell ref="A1:D2"/>
    <mergeCell ref="E1:I1"/>
    <mergeCell ref="E2:I2"/>
    <mergeCell ref="B3:D3"/>
    <mergeCell ref="F3:I3"/>
  </mergeCells>
  <phoneticPr fontId="39" type="noConversion"/>
  <pageMargins left="0.70866141732283472" right="0.70866141732283472" top="0.74803149606299213" bottom="0.74803149606299213" header="0.31496062992125984" footer="0.31496062992125984"/>
  <pageSetup scale="54"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outlinePr summaryBelow="0"/>
    <pageSetUpPr fitToPage="1"/>
  </sheetPr>
  <dimension ref="A1:N28"/>
  <sheetViews>
    <sheetView view="pageBreakPreview" topLeftCell="A20" zoomScale="150" zoomScaleNormal="175" zoomScaleSheetLayoutView="150" workbookViewId="0">
      <selection activeCell="H15" sqref="H15:I15"/>
    </sheetView>
  </sheetViews>
  <sheetFormatPr defaultColWidth="9.109375" defaultRowHeight="14.4"/>
  <cols>
    <col min="1" max="1" width="8.33203125" style="24" customWidth="1"/>
    <col min="2" max="2" width="31.6640625" style="24" customWidth="1"/>
    <col min="3" max="3" width="5" style="24" customWidth="1"/>
    <col min="4" max="4" width="2.44140625" style="24" customWidth="1"/>
    <col min="5" max="6" width="5" style="24" customWidth="1"/>
    <col min="7" max="7" width="12.5546875" style="24" customWidth="1"/>
    <col min="8" max="11" width="5" style="24" customWidth="1"/>
    <col min="12" max="12" width="10" style="24" customWidth="1"/>
    <col min="13" max="13" width="13.44140625" style="17" bestFit="1" customWidth="1"/>
    <col min="14" max="16384" width="9.109375" style="17"/>
  </cols>
  <sheetData>
    <row r="1" spans="1:13">
      <c r="A1" s="277"/>
      <c r="B1" s="262"/>
      <c r="C1" s="262"/>
      <c r="D1" s="262"/>
      <c r="E1" s="262"/>
      <c r="F1" s="262"/>
      <c r="G1" s="278" t="s">
        <v>0</v>
      </c>
      <c r="H1" s="279"/>
      <c r="I1" s="279"/>
      <c r="J1" s="279"/>
      <c r="K1" s="279"/>
      <c r="L1" s="279"/>
    </row>
    <row r="2" spans="1:13" ht="95.85" customHeight="1">
      <c r="A2" s="262"/>
      <c r="B2" s="262"/>
      <c r="C2" s="262"/>
      <c r="D2" s="262"/>
      <c r="E2" s="262"/>
      <c r="F2" s="262"/>
      <c r="G2" s="280" t="s">
        <v>360</v>
      </c>
      <c r="H2" s="262"/>
      <c r="I2" s="262"/>
      <c r="J2" s="262"/>
      <c r="K2" s="262"/>
      <c r="L2" s="262"/>
    </row>
    <row r="3" spans="1:13">
      <c r="A3" s="261" t="s">
        <v>117</v>
      </c>
      <c r="B3" s="262"/>
      <c r="C3" s="263" t="s">
        <v>248</v>
      </c>
      <c r="D3" s="262"/>
      <c r="E3" s="262"/>
      <c r="F3" s="262"/>
      <c r="G3" s="80" t="s">
        <v>2</v>
      </c>
      <c r="H3" s="264" t="s">
        <v>249</v>
      </c>
      <c r="I3" s="265"/>
      <c r="J3" s="265"/>
      <c r="K3" s="265"/>
      <c r="L3" s="265"/>
    </row>
    <row r="4" spans="1:13" ht="21" customHeight="1">
      <c r="A4" s="261" t="s">
        <v>118</v>
      </c>
      <c r="B4" s="262"/>
      <c r="C4" s="263" t="s">
        <v>1</v>
      </c>
      <c r="D4" s="262"/>
      <c r="E4" s="262"/>
      <c r="F4" s="262"/>
      <c r="G4" s="80" t="s">
        <v>3</v>
      </c>
      <c r="H4" s="264" t="s">
        <v>495</v>
      </c>
      <c r="I4" s="265"/>
      <c r="J4" s="265"/>
      <c r="K4" s="265"/>
      <c r="L4" s="265"/>
    </row>
    <row r="5" spans="1:13" ht="33.75" customHeight="1">
      <c r="A5" s="261" t="s">
        <v>119</v>
      </c>
      <c r="B5" s="262"/>
      <c r="C5" s="266">
        <v>46001</v>
      </c>
      <c r="D5" s="262"/>
      <c r="E5" s="262"/>
      <c r="F5" s="262"/>
      <c r="G5" s="80" t="s">
        <v>120</v>
      </c>
      <c r="H5" s="264" t="s">
        <v>512</v>
      </c>
      <c r="I5" s="264"/>
      <c r="J5" s="264"/>
      <c r="K5" s="264"/>
      <c r="L5" s="264"/>
    </row>
    <row r="6" spans="1:13">
      <c r="A6" s="273" t="s">
        <v>135</v>
      </c>
      <c r="B6" s="274"/>
      <c r="C6" s="274"/>
      <c r="D6" s="274"/>
      <c r="E6" s="274"/>
      <c r="F6" s="274"/>
      <c r="G6" s="274"/>
      <c r="H6" s="274"/>
      <c r="I6" s="274"/>
      <c r="J6" s="274"/>
      <c r="K6" s="274"/>
      <c r="L6" s="275"/>
    </row>
    <row r="7" spans="1:13" ht="20.100000000000001" customHeight="1">
      <c r="A7" s="276" t="s">
        <v>345</v>
      </c>
      <c r="B7" s="276"/>
      <c r="C7" s="276"/>
      <c r="D7" s="276"/>
      <c r="E7" s="276"/>
      <c r="F7" s="276"/>
      <c r="G7" s="276"/>
      <c r="H7" s="276"/>
      <c r="I7" s="276"/>
      <c r="J7" s="276"/>
      <c r="K7" s="276"/>
      <c r="L7" s="276"/>
    </row>
    <row r="8" spans="1:13" ht="15" customHeight="1">
      <c r="A8" s="19" t="s">
        <v>160</v>
      </c>
      <c r="B8" s="242" t="s">
        <v>359</v>
      </c>
      <c r="C8" s="243"/>
      <c r="D8" s="249" t="s">
        <v>123</v>
      </c>
      <c r="E8" s="249"/>
      <c r="F8" s="249"/>
      <c r="G8" s="19" t="s">
        <v>124</v>
      </c>
      <c r="H8" s="249" t="s">
        <v>125</v>
      </c>
      <c r="I8" s="249"/>
      <c r="J8" s="249" t="s">
        <v>126</v>
      </c>
      <c r="K8" s="249"/>
      <c r="L8" s="19" t="s">
        <v>127</v>
      </c>
    </row>
    <row r="9" spans="1:13" ht="18.75" customHeight="1">
      <c r="A9" s="20">
        <v>90776</v>
      </c>
      <c r="B9" s="254" t="s">
        <v>503</v>
      </c>
      <c r="C9" s="254"/>
      <c r="D9" s="250" t="s">
        <v>352</v>
      </c>
      <c r="E9" s="250" t="s">
        <v>352</v>
      </c>
      <c r="F9" s="250" t="s">
        <v>352</v>
      </c>
      <c r="G9" s="20" t="s">
        <v>130</v>
      </c>
      <c r="H9" s="255">
        <v>1438.8</v>
      </c>
      <c r="I9" s="255"/>
      <c r="J9" s="256">
        <v>44.81</v>
      </c>
      <c r="K9" s="256"/>
      <c r="L9" s="21">
        <f>ROUND(ROUND(H9,8)*J9,2)</f>
        <v>64472.63</v>
      </c>
      <c r="M9" s="178"/>
    </row>
    <row r="10" spans="1:13" ht="21" customHeight="1">
      <c r="A10" s="179">
        <v>90777</v>
      </c>
      <c r="B10" s="257" t="s">
        <v>496</v>
      </c>
      <c r="C10" s="257"/>
      <c r="D10" s="258" t="s">
        <v>352</v>
      </c>
      <c r="E10" s="258" t="s">
        <v>352</v>
      </c>
      <c r="F10" s="258" t="s">
        <v>352</v>
      </c>
      <c r="G10" s="179" t="s">
        <v>130</v>
      </c>
      <c r="H10" s="255">
        <v>313.92</v>
      </c>
      <c r="I10" s="255"/>
      <c r="J10" s="256">
        <v>129.55000000000001</v>
      </c>
      <c r="K10" s="256"/>
      <c r="L10" s="21">
        <f>ROUND(ROUND(H10,8)*J10,2)</f>
        <v>40668.339999999997</v>
      </c>
      <c r="M10" s="178"/>
    </row>
    <row r="11" spans="1:13" ht="19.5" customHeight="1">
      <c r="A11" s="270" t="s">
        <v>504</v>
      </c>
      <c r="B11" s="271"/>
      <c r="C11" s="271"/>
      <c r="D11" s="271"/>
      <c r="E11" s="271"/>
      <c r="F11" s="271"/>
      <c r="G11" s="272"/>
      <c r="H11" s="268" t="s">
        <v>358</v>
      </c>
      <c r="I11" s="269"/>
      <c r="J11" s="269"/>
      <c r="K11" s="269"/>
      <c r="L11" s="22">
        <f>SUM(L9:L10)</f>
        <v>105140.97</v>
      </c>
      <c r="M11" s="22">
        <v>100734.34</v>
      </c>
    </row>
    <row r="12" spans="1:13" ht="9.9" customHeight="1">
      <c r="A12" s="18"/>
      <c r="B12" s="18"/>
      <c r="C12" s="18"/>
      <c r="D12" s="18"/>
      <c r="E12" s="18"/>
      <c r="F12" s="18"/>
      <c r="G12" s="18"/>
      <c r="H12" s="267"/>
      <c r="I12" s="267"/>
      <c r="J12" s="267"/>
      <c r="K12" s="267"/>
      <c r="L12" s="267"/>
      <c r="M12" s="23">
        <f>L11-M11</f>
        <v>4406.6300000000047</v>
      </c>
    </row>
    <row r="13" spans="1:13" ht="35.25" customHeight="1">
      <c r="A13" s="238" t="s">
        <v>346</v>
      </c>
      <c r="B13" s="238"/>
      <c r="C13" s="238"/>
      <c r="D13" s="238"/>
      <c r="E13" s="238"/>
      <c r="F13" s="238"/>
      <c r="G13" s="238"/>
      <c r="H13" s="238"/>
      <c r="I13" s="238"/>
      <c r="J13" s="238"/>
      <c r="K13" s="238"/>
      <c r="L13" s="238"/>
    </row>
    <row r="14" spans="1:13" ht="24" customHeight="1">
      <c r="A14" s="19" t="s">
        <v>160</v>
      </c>
      <c r="B14" s="242" t="s">
        <v>359</v>
      </c>
      <c r="C14" s="243"/>
      <c r="D14" s="259" t="s">
        <v>123</v>
      </c>
      <c r="E14" s="259"/>
      <c r="F14" s="259"/>
      <c r="G14" s="111" t="s">
        <v>124</v>
      </c>
      <c r="H14" s="259" t="s">
        <v>125</v>
      </c>
      <c r="I14" s="259"/>
      <c r="J14" s="259" t="s">
        <v>126</v>
      </c>
      <c r="K14" s="259"/>
      <c r="L14" s="111" t="s">
        <v>127</v>
      </c>
    </row>
    <row r="15" spans="1:13" ht="24.75" customHeight="1">
      <c r="A15" s="112">
        <v>367</v>
      </c>
      <c r="B15" s="239" t="s">
        <v>347</v>
      </c>
      <c r="C15" s="240"/>
      <c r="D15" s="250" t="s">
        <v>351</v>
      </c>
      <c r="E15" s="250" t="s">
        <v>351</v>
      </c>
      <c r="F15" s="250" t="s">
        <v>351</v>
      </c>
      <c r="G15" s="112" t="s">
        <v>38</v>
      </c>
      <c r="H15" s="244" t="s">
        <v>354</v>
      </c>
      <c r="I15" s="245"/>
      <c r="J15" s="235">
        <v>141.83000000000001</v>
      </c>
      <c r="K15" s="236"/>
      <c r="L15" s="113">
        <f>ROUND(ROUND(H15,8)*J15,2)</f>
        <v>16.170000000000002</v>
      </c>
    </row>
    <row r="16" spans="1:13" ht="24.75" customHeight="1">
      <c r="A16" s="112">
        <v>4385</v>
      </c>
      <c r="B16" s="239" t="s">
        <v>348</v>
      </c>
      <c r="C16" s="240"/>
      <c r="D16" s="250" t="s">
        <v>351</v>
      </c>
      <c r="E16" s="250" t="s">
        <v>351</v>
      </c>
      <c r="F16" s="250" t="s">
        <v>351</v>
      </c>
      <c r="G16" s="112" t="s">
        <v>353</v>
      </c>
      <c r="H16" s="244" t="s">
        <v>355</v>
      </c>
      <c r="I16" s="245"/>
      <c r="J16" s="235">
        <v>938.65</v>
      </c>
      <c r="K16" s="236"/>
      <c r="L16" s="113">
        <f>ROUND(ROUND(H16,8)*J16,2)</f>
        <v>30.98</v>
      </c>
    </row>
    <row r="17" spans="1:14" ht="24.75" customHeight="1">
      <c r="A17" s="112">
        <v>88260</v>
      </c>
      <c r="B17" s="239" t="s">
        <v>349</v>
      </c>
      <c r="C17" s="240"/>
      <c r="D17" s="239" t="s">
        <v>352</v>
      </c>
      <c r="E17" s="241" t="s">
        <v>352</v>
      </c>
      <c r="F17" s="240" t="s">
        <v>352</v>
      </c>
      <c r="G17" s="112" t="s">
        <v>130</v>
      </c>
      <c r="H17" s="244" t="s">
        <v>356</v>
      </c>
      <c r="I17" s="245"/>
      <c r="J17" s="235">
        <v>29.63</v>
      </c>
      <c r="K17" s="236"/>
      <c r="L17" s="113">
        <f>ROUND(ROUND(H17,8)*J17,2)</f>
        <v>11.91</v>
      </c>
    </row>
    <row r="18" spans="1:14" ht="24.75" customHeight="1">
      <c r="A18" s="112">
        <v>88316</v>
      </c>
      <c r="B18" s="239" t="s">
        <v>131</v>
      </c>
      <c r="C18" s="240"/>
      <c r="D18" s="239" t="s">
        <v>352</v>
      </c>
      <c r="E18" s="241" t="s">
        <v>352</v>
      </c>
      <c r="F18" s="240" t="s">
        <v>352</v>
      </c>
      <c r="G18" s="112" t="s">
        <v>130</v>
      </c>
      <c r="H18" s="244" t="s">
        <v>356</v>
      </c>
      <c r="I18" s="245"/>
      <c r="J18" s="235">
        <v>24.08</v>
      </c>
      <c r="K18" s="236"/>
      <c r="L18" s="113">
        <f>ROUND(ROUND(H18,8)*J18,2)</f>
        <v>9.68</v>
      </c>
    </row>
    <row r="19" spans="1:14" ht="24.75" customHeight="1">
      <c r="A19" s="112">
        <v>88628</v>
      </c>
      <c r="B19" s="239" t="s">
        <v>350</v>
      </c>
      <c r="C19" s="240"/>
      <c r="D19" s="239" t="s">
        <v>352</v>
      </c>
      <c r="E19" s="241" t="s">
        <v>352</v>
      </c>
      <c r="F19" s="240" t="s">
        <v>352</v>
      </c>
      <c r="G19" s="112" t="s">
        <v>38</v>
      </c>
      <c r="H19" s="244" t="s">
        <v>357</v>
      </c>
      <c r="I19" s="245"/>
      <c r="J19" s="235">
        <v>577.91999999999996</v>
      </c>
      <c r="K19" s="236"/>
      <c r="L19" s="113">
        <f>ROUND(ROUND(H19,8)*J19,2)</f>
        <v>11.79</v>
      </c>
    </row>
    <row r="20" spans="1:14" ht="15" customHeight="1">
      <c r="A20" s="246" t="s">
        <v>502</v>
      </c>
      <c r="B20" s="247"/>
      <c r="C20" s="247"/>
      <c r="D20" s="247"/>
      <c r="E20" s="247"/>
      <c r="F20" s="247"/>
      <c r="G20" s="248"/>
      <c r="H20" s="237" t="s">
        <v>358</v>
      </c>
      <c r="I20" s="237"/>
      <c r="J20" s="237"/>
      <c r="K20" s="237"/>
      <c r="L20" s="115">
        <f>SUM(L15:L19)</f>
        <v>80.53</v>
      </c>
      <c r="M20" s="22">
        <v>80.5</v>
      </c>
    </row>
    <row r="21" spans="1:14" ht="9.9" customHeight="1">
      <c r="A21" s="18"/>
      <c r="B21" s="18"/>
      <c r="C21" s="18"/>
      <c r="D21" s="18"/>
      <c r="E21" s="18"/>
      <c r="F21" s="18"/>
      <c r="G21" s="18"/>
      <c r="H21" s="108"/>
      <c r="I21" s="108"/>
      <c r="J21" s="108"/>
      <c r="K21" s="108"/>
      <c r="L21" s="108"/>
      <c r="M21" s="23">
        <f>L20-M20</f>
        <v>3.0000000000001137E-2</v>
      </c>
    </row>
    <row r="22" spans="1:14" ht="42" customHeight="1">
      <c r="A22" s="238" t="s">
        <v>413</v>
      </c>
      <c r="B22" s="238"/>
      <c r="C22" s="238"/>
      <c r="D22" s="238"/>
      <c r="E22" s="238"/>
      <c r="F22" s="238"/>
      <c r="G22" s="238"/>
      <c r="H22" s="238"/>
      <c r="I22" s="238"/>
      <c r="J22" s="238"/>
      <c r="K22" s="238"/>
      <c r="L22" s="238"/>
    </row>
    <row r="23" spans="1:14" ht="15" customHeight="1">
      <c r="A23" s="19" t="s">
        <v>160</v>
      </c>
      <c r="B23" s="242" t="s">
        <v>359</v>
      </c>
      <c r="C23" s="243"/>
      <c r="D23" s="259" t="s">
        <v>123</v>
      </c>
      <c r="E23" s="259"/>
      <c r="F23" s="259"/>
      <c r="G23" s="111" t="s">
        <v>124</v>
      </c>
      <c r="H23" s="259" t="s">
        <v>125</v>
      </c>
      <c r="I23" s="259"/>
      <c r="J23" s="259" t="s">
        <v>126</v>
      </c>
      <c r="K23" s="259"/>
      <c r="L23" s="111" t="s">
        <v>127</v>
      </c>
    </row>
    <row r="24" spans="1:14" ht="20.25" customHeight="1">
      <c r="A24" s="112" t="s">
        <v>494</v>
      </c>
      <c r="B24" s="251" t="s">
        <v>380</v>
      </c>
      <c r="C24" s="251"/>
      <c r="D24" s="239" t="s">
        <v>381</v>
      </c>
      <c r="E24" s="241"/>
      <c r="F24" s="240"/>
      <c r="G24" s="112" t="s">
        <v>382</v>
      </c>
      <c r="H24" s="252">
        <v>0.29249999999999998</v>
      </c>
      <c r="I24" s="252"/>
      <c r="J24" s="253">
        <f>'Composições AUX SEM'!L66</f>
        <v>522.82929999999999</v>
      </c>
      <c r="K24" s="253"/>
      <c r="L24" s="113">
        <f>ROUND(ROUND(H24,8)*J24,2)</f>
        <v>152.93</v>
      </c>
    </row>
    <row r="25" spans="1:14" ht="36.75" customHeight="1">
      <c r="A25" s="112" t="s">
        <v>386</v>
      </c>
      <c r="B25" s="251" t="s">
        <v>383</v>
      </c>
      <c r="C25" s="251"/>
      <c r="D25" s="239" t="s">
        <v>384</v>
      </c>
      <c r="E25" s="241"/>
      <c r="F25" s="240"/>
      <c r="G25" s="112" t="s">
        <v>36</v>
      </c>
      <c r="H25" s="252">
        <v>1</v>
      </c>
      <c r="I25" s="252"/>
      <c r="J25" s="253">
        <f>'Composições AUX SEM'!L23</f>
        <v>697.06</v>
      </c>
      <c r="K25" s="253"/>
      <c r="L25" s="113">
        <f>ROUND(ROUND(H25,8)*J25,2)</f>
        <v>697.06</v>
      </c>
    </row>
    <row r="26" spans="1:14">
      <c r="A26" s="114"/>
      <c r="B26" s="114"/>
      <c r="C26" s="114"/>
      <c r="D26" s="114"/>
      <c r="E26" s="114"/>
      <c r="F26" s="114"/>
      <c r="G26" s="114"/>
      <c r="H26" s="237" t="s">
        <v>358</v>
      </c>
      <c r="I26" s="237"/>
      <c r="J26" s="237"/>
      <c r="K26" s="237"/>
      <c r="L26" s="115">
        <f>SUM(L24:L25)</f>
        <v>849.99</v>
      </c>
      <c r="M26" s="22"/>
      <c r="N26" s="153"/>
    </row>
    <row r="27" spans="1:14" ht="9.9" customHeight="1">
      <c r="A27" s="18"/>
      <c r="B27" s="18"/>
      <c r="C27" s="18"/>
      <c r="D27" s="18"/>
      <c r="E27" s="18"/>
      <c r="F27" s="18"/>
      <c r="G27" s="18"/>
      <c r="H27" s="108"/>
      <c r="I27" s="108"/>
      <c r="J27" s="108"/>
      <c r="K27" s="108"/>
      <c r="L27" s="108"/>
      <c r="M27" s="23"/>
    </row>
    <row r="28" spans="1:14" ht="73.5" customHeight="1">
      <c r="A28" s="260"/>
      <c r="B28" s="260"/>
      <c r="C28" s="260"/>
      <c r="D28" s="260"/>
      <c r="E28" s="260"/>
      <c r="F28" s="260"/>
      <c r="G28" s="260"/>
      <c r="H28" s="260"/>
      <c r="I28" s="260"/>
      <c r="J28" s="260"/>
      <c r="K28" s="260"/>
      <c r="L28" s="260"/>
    </row>
  </sheetData>
  <mergeCells count="71">
    <mergeCell ref="A7:L7"/>
    <mergeCell ref="A1:F2"/>
    <mergeCell ref="G1:L1"/>
    <mergeCell ref="G2:L2"/>
    <mergeCell ref="A3:B3"/>
    <mergeCell ref="C3:F3"/>
    <mergeCell ref="H3:L3"/>
    <mergeCell ref="A28:L28"/>
    <mergeCell ref="A4:B4"/>
    <mergeCell ref="C4:F4"/>
    <mergeCell ref="H4:L4"/>
    <mergeCell ref="A5:B5"/>
    <mergeCell ref="C5:F5"/>
    <mergeCell ref="H5:L5"/>
    <mergeCell ref="J10:K10"/>
    <mergeCell ref="H12:L12"/>
    <mergeCell ref="A13:L13"/>
    <mergeCell ref="D14:F14"/>
    <mergeCell ref="H14:I14"/>
    <mergeCell ref="J14:K14"/>
    <mergeCell ref="H11:K11"/>
    <mergeCell ref="A11:G11"/>
    <mergeCell ref="A6:L6"/>
    <mergeCell ref="H26:K26"/>
    <mergeCell ref="D23:F23"/>
    <mergeCell ref="H23:I23"/>
    <mergeCell ref="J23:K23"/>
    <mergeCell ref="B24:C24"/>
    <mergeCell ref="D24:F24"/>
    <mergeCell ref="J24:K24"/>
    <mergeCell ref="J8:K8"/>
    <mergeCell ref="B8:C8"/>
    <mergeCell ref="B25:C25"/>
    <mergeCell ref="D25:F25"/>
    <mergeCell ref="H25:I25"/>
    <mergeCell ref="J25:K25"/>
    <mergeCell ref="B9:C9"/>
    <mergeCell ref="D9:F9"/>
    <mergeCell ref="H9:I9"/>
    <mergeCell ref="J9:K9"/>
    <mergeCell ref="B10:C10"/>
    <mergeCell ref="D10:F10"/>
    <mergeCell ref="H10:I10"/>
    <mergeCell ref="H24:I24"/>
    <mergeCell ref="B15:C15"/>
    <mergeCell ref="D15:F15"/>
    <mergeCell ref="D8:F8"/>
    <mergeCell ref="H8:I8"/>
    <mergeCell ref="B16:C16"/>
    <mergeCell ref="D16:F16"/>
    <mergeCell ref="H16:I16"/>
    <mergeCell ref="B14:C14"/>
    <mergeCell ref="B23:C23"/>
    <mergeCell ref="H17:I17"/>
    <mergeCell ref="J17:K17"/>
    <mergeCell ref="B18:C18"/>
    <mergeCell ref="D18:F18"/>
    <mergeCell ref="H18:I18"/>
    <mergeCell ref="J18:K18"/>
    <mergeCell ref="B19:C19"/>
    <mergeCell ref="D19:F19"/>
    <mergeCell ref="H19:I19"/>
    <mergeCell ref="J19:K19"/>
    <mergeCell ref="H15:I15"/>
    <mergeCell ref="A20:G20"/>
    <mergeCell ref="J15:K15"/>
    <mergeCell ref="H20:K20"/>
    <mergeCell ref="A22:L22"/>
    <mergeCell ref="J16:K16"/>
    <mergeCell ref="B17:C17"/>
    <mergeCell ref="D17:F17"/>
  </mergeCells>
  <pageMargins left="0.78740157480314965" right="0.51181102362204722" top="0.51181102362204722" bottom="0.51181102362204722" header="0" footer="0"/>
  <pageSetup paperSize="9" scale="8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outlinePr summaryBelow="0"/>
    <pageSetUpPr fitToPage="1"/>
  </sheetPr>
  <dimension ref="A1:M106"/>
  <sheetViews>
    <sheetView view="pageBreakPreview" topLeftCell="A94" zoomScale="145" zoomScaleNormal="160" zoomScaleSheetLayoutView="145" workbookViewId="0">
      <selection activeCell="J14" sqref="J14:K14"/>
    </sheetView>
  </sheetViews>
  <sheetFormatPr defaultColWidth="9.109375" defaultRowHeight="14.4"/>
  <cols>
    <col min="1" max="1" width="8.33203125" style="24" customWidth="1"/>
    <col min="2" max="2" width="31.6640625" style="24" customWidth="1"/>
    <col min="3" max="3" width="5" style="24" customWidth="1"/>
    <col min="4" max="4" width="2.44140625" style="24" customWidth="1"/>
    <col min="5" max="5" width="5" style="24" customWidth="1"/>
    <col min="6" max="6" width="7" style="24" bestFit="1" customWidth="1"/>
    <col min="7" max="7" width="12.44140625" style="24" bestFit="1" customWidth="1"/>
    <col min="8" max="11" width="5" style="24" customWidth="1"/>
    <col min="12" max="12" width="10" style="24" customWidth="1"/>
    <col min="13" max="13" width="11" style="17" bestFit="1" customWidth="1"/>
    <col min="14" max="16384" width="9.109375" style="17"/>
  </cols>
  <sheetData>
    <row r="1" spans="1:13" ht="19.5" customHeight="1">
      <c r="A1" s="277"/>
      <c r="B1" s="262"/>
      <c r="C1" s="262"/>
      <c r="D1" s="262"/>
      <c r="E1" s="262"/>
      <c r="F1" s="262"/>
      <c r="G1" s="278" t="s">
        <v>0</v>
      </c>
      <c r="H1" s="279"/>
      <c r="I1" s="279"/>
      <c r="J1" s="279"/>
      <c r="K1" s="279"/>
      <c r="L1" s="279"/>
    </row>
    <row r="2" spans="1:13" ht="95.85" customHeight="1">
      <c r="A2" s="262"/>
      <c r="B2" s="262"/>
      <c r="C2" s="262"/>
      <c r="D2" s="262"/>
      <c r="E2" s="262"/>
      <c r="F2" s="262"/>
      <c r="G2" s="280" t="s">
        <v>360</v>
      </c>
      <c r="H2" s="262"/>
      <c r="I2" s="262"/>
      <c r="J2" s="262"/>
      <c r="K2" s="262"/>
      <c r="L2" s="262"/>
    </row>
    <row r="3" spans="1:13">
      <c r="A3" s="261" t="s">
        <v>117</v>
      </c>
      <c r="B3" s="262"/>
      <c r="C3" s="263" t="s">
        <v>248</v>
      </c>
      <c r="D3" s="262"/>
      <c r="E3" s="262"/>
      <c r="F3" s="262"/>
      <c r="G3" s="80" t="s">
        <v>2</v>
      </c>
      <c r="H3" s="264" t="s">
        <v>249</v>
      </c>
      <c r="I3" s="265"/>
      <c r="J3" s="265"/>
      <c r="K3" s="265"/>
      <c r="L3" s="265"/>
    </row>
    <row r="4" spans="1:13" ht="21" customHeight="1">
      <c r="A4" s="261" t="s">
        <v>118</v>
      </c>
      <c r="B4" s="262"/>
      <c r="C4" s="263" t="s">
        <v>1</v>
      </c>
      <c r="D4" s="262"/>
      <c r="E4" s="262"/>
      <c r="F4" s="262"/>
      <c r="G4" s="80" t="s">
        <v>3</v>
      </c>
      <c r="H4" s="264" t="s">
        <v>495</v>
      </c>
      <c r="I4" s="265"/>
      <c r="J4" s="265"/>
      <c r="K4" s="265"/>
      <c r="L4" s="265"/>
    </row>
    <row r="5" spans="1:13" ht="33.75" customHeight="1">
      <c r="A5" s="261" t="s">
        <v>119</v>
      </c>
      <c r="B5" s="262"/>
      <c r="C5" s="266">
        <v>46001</v>
      </c>
      <c r="D5" s="262"/>
      <c r="E5" s="262"/>
      <c r="F5" s="262"/>
      <c r="G5" s="80" t="s">
        <v>120</v>
      </c>
      <c r="H5" s="264" t="s">
        <v>512</v>
      </c>
      <c r="I5" s="264"/>
      <c r="J5" s="264"/>
      <c r="K5" s="264"/>
      <c r="L5" s="264"/>
    </row>
    <row r="6" spans="1:13">
      <c r="A6" s="273" t="s">
        <v>135</v>
      </c>
      <c r="B6" s="274"/>
      <c r="C6" s="274"/>
      <c r="D6" s="274"/>
      <c r="E6" s="274"/>
      <c r="F6" s="274"/>
      <c r="G6" s="274"/>
      <c r="H6" s="274"/>
      <c r="I6" s="274"/>
      <c r="J6" s="274"/>
      <c r="K6" s="274"/>
      <c r="L6" s="275"/>
    </row>
    <row r="7" spans="1:13" ht="20.100000000000001" customHeight="1">
      <c r="A7" s="276" t="s">
        <v>411</v>
      </c>
      <c r="B7" s="276"/>
      <c r="C7" s="276"/>
      <c r="D7" s="276"/>
      <c r="E7" s="276"/>
      <c r="F7" s="276"/>
      <c r="G7" s="276"/>
      <c r="H7" s="276"/>
      <c r="I7" s="276"/>
      <c r="J7" s="276"/>
      <c r="K7" s="276"/>
      <c r="L7" s="276"/>
    </row>
    <row r="8" spans="1:13" ht="15" customHeight="1">
      <c r="A8" s="19" t="s">
        <v>160</v>
      </c>
      <c r="B8" s="242" t="s">
        <v>359</v>
      </c>
      <c r="C8" s="243"/>
      <c r="D8" s="249" t="s">
        <v>123</v>
      </c>
      <c r="E8" s="249"/>
      <c r="F8" s="249"/>
      <c r="G8" s="19" t="s">
        <v>124</v>
      </c>
      <c r="H8" s="249" t="s">
        <v>125</v>
      </c>
      <c r="I8" s="249"/>
      <c r="J8" s="249" t="s">
        <v>126</v>
      </c>
      <c r="K8" s="249"/>
      <c r="L8" s="19" t="s">
        <v>127</v>
      </c>
    </row>
    <row r="9" spans="1:13" ht="18.75" customHeight="1">
      <c r="A9" s="20" t="s">
        <v>387</v>
      </c>
      <c r="B9" s="254" t="s">
        <v>388</v>
      </c>
      <c r="C9" s="254"/>
      <c r="D9" s="250" t="s">
        <v>128</v>
      </c>
      <c r="E9" s="250"/>
      <c r="F9" s="250"/>
      <c r="G9" s="20" t="s">
        <v>39</v>
      </c>
      <c r="H9" s="255">
        <v>0.27500000000000002</v>
      </c>
      <c r="I9" s="255"/>
      <c r="J9" s="256">
        <v>10.66</v>
      </c>
      <c r="K9" s="256"/>
      <c r="L9" s="21">
        <f t="shared" ref="L9:L14" si="0">ROUND(ROUND(H9,8)*J9,2)</f>
        <v>2.93</v>
      </c>
    </row>
    <row r="10" spans="1:13">
      <c r="A10" s="20" t="s">
        <v>389</v>
      </c>
      <c r="B10" s="254" t="s">
        <v>390</v>
      </c>
      <c r="C10" s="254"/>
      <c r="D10" s="250" t="s">
        <v>128</v>
      </c>
      <c r="E10" s="250"/>
      <c r="F10" s="250"/>
      <c r="G10" s="20" t="s">
        <v>391</v>
      </c>
      <c r="H10" s="255">
        <v>0.15</v>
      </c>
      <c r="I10" s="255"/>
      <c r="J10" s="256">
        <v>17.420000000000002</v>
      </c>
      <c r="K10" s="256"/>
      <c r="L10" s="21">
        <f t="shared" si="0"/>
        <v>2.61</v>
      </c>
    </row>
    <row r="11" spans="1:13">
      <c r="A11" s="20" t="s">
        <v>392</v>
      </c>
      <c r="B11" s="254" t="s">
        <v>393</v>
      </c>
      <c r="C11" s="254"/>
      <c r="D11" s="250" t="s">
        <v>128</v>
      </c>
      <c r="E11" s="250"/>
      <c r="F11" s="250"/>
      <c r="G11" s="20" t="s">
        <v>39</v>
      </c>
      <c r="H11" s="255">
        <v>0.24</v>
      </c>
      <c r="I11" s="255"/>
      <c r="J11" s="256">
        <v>2.58</v>
      </c>
      <c r="K11" s="256"/>
      <c r="L11" s="21">
        <f t="shared" si="0"/>
        <v>0.62</v>
      </c>
    </row>
    <row r="12" spans="1:13" ht="26.25" customHeight="1">
      <c r="A12" s="20" t="s">
        <v>394</v>
      </c>
      <c r="B12" s="254" t="s">
        <v>395</v>
      </c>
      <c r="C12" s="254"/>
      <c r="D12" s="250" t="s">
        <v>128</v>
      </c>
      <c r="E12" s="250"/>
      <c r="F12" s="250"/>
      <c r="G12" s="20" t="s">
        <v>39</v>
      </c>
      <c r="H12" s="255">
        <v>0.79200000000000004</v>
      </c>
      <c r="I12" s="255"/>
      <c r="J12" s="256">
        <v>30.01</v>
      </c>
      <c r="K12" s="256"/>
      <c r="L12" s="21">
        <f t="shared" si="0"/>
        <v>23.77</v>
      </c>
    </row>
    <row r="13" spans="1:13">
      <c r="A13" s="20" t="s">
        <v>396</v>
      </c>
      <c r="B13" s="254" t="s">
        <v>397</v>
      </c>
      <c r="C13" s="254"/>
      <c r="D13" s="250" t="s">
        <v>128</v>
      </c>
      <c r="E13" s="250"/>
      <c r="F13" s="250"/>
      <c r="G13" s="20" t="s">
        <v>130</v>
      </c>
      <c r="H13" s="255">
        <v>0.22500000000000001</v>
      </c>
      <c r="I13" s="255"/>
      <c r="J13" s="256">
        <v>24.88</v>
      </c>
      <c r="K13" s="256"/>
      <c r="L13" s="21">
        <f t="shared" si="0"/>
        <v>5.6</v>
      </c>
      <c r="M13" s="21">
        <v>22.96</v>
      </c>
    </row>
    <row r="14" spans="1:13">
      <c r="A14" s="20" t="s">
        <v>398</v>
      </c>
      <c r="B14" s="254" t="s">
        <v>399</v>
      </c>
      <c r="C14" s="254"/>
      <c r="D14" s="250" t="s">
        <v>128</v>
      </c>
      <c r="E14" s="250"/>
      <c r="F14" s="250"/>
      <c r="G14" s="20" t="s">
        <v>130</v>
      </c>
      <c r="H14" s="255">
        <v>0.9</v>
      </c>
      <c r="I14" s="255"/>
      <c r="J14" s="256">
        <v>29.41</v>
      </c>
      <c r="K14" s="256"/>
      <c r="L14" s="21">
        <f t="shared" si="0"/>
        <v>26.47</v>
      </c>
      <c r="M14" s="21">
        <v>27.01</v>
      </c>
    </row>
    <row r="15" spans="1:13">
      <c r="A15" s="18"/>
      <c r="B15" s="18"/>
      <c r="C15" s="18"/>
      <c r="D15" s="18"/>
      <c r="E15" s="18"/>
      <c r="F15" s="18"/>
      <c r="G15" s="18"/>
      <c r="H15" s="269" t="s">
        <v>358</v>
      </c>
      <c r="I15" s="269"/>
      <c r="J15" s="269"/>
      <c r="K15" s="269"/>
      <c r="L15" s="22">
        <f>SUM(L9:L14)</f>
        <v>62</v>
      </c>
    </row>
    <row r="16" spans="1:13" ht="9.9" customHeight="1">
      <c r="A16" s="18"/>
      <c r="B16" s="18"/>
      <c r="C16" s="18"/>
      <c r="D16" s="18"/>
      <c r="E16" s="18"/>
      <c r="F16" s="18"/>
      <c r="G16" s="18"/>
      <c r="H16" s="267"/>
      <c r="I16" s="267"/>
      <c r="J16" s="267"/>
      <c r="K16" s="267"/>
      <c r="L16" s="267"/>
      <c r="M16" s="153"/>
    </row>
    <row r="17" spans="1:13" ht="35.25" customHeight="1">
      <c r="A17" s="238" t="s">
        <v>412</v>
      </c>
      <c r="B17" s="238"/>
      <c r="C17" s="238"/>
      <c r="D17" s="238"/>
      <c r="E17" s="238"/>
      <c r="F17" s="238"/>
      <c r="G17" s="238"/>
      <c r="H17" s="238"/>
      <c r="I17" s="238"/>
      <c r="J17" s="238"/>
      <c r="K17" s="238"/>
      <c r="L17" s="238"/>
    </row>
    <row r="18" spans="1:13" ht="24" customHeight="1">
      <c r="A18" s="19" t="s">
        <v>160</v>
      </c>
      <c r="B18" s="242" t="s">
        <v>359</v>
      </c>
      <c r="C18" s="243"/>
      <c r="D18" s="259" t="s">
        <v>123</v>
      </c>
      <c r="E18" s="259"/>
      <c r="F18" s="259"/>
      <c r="G18" s="111" t="s">
        <v>124</v>
      </c>
      <c r="H18" s="259" t="s">
        <v>125</v>
      </c>
      <c r="I18" s="259"/>
      <c r="J18" s="259" t="s">
        <v>126</v>
      </c>
      <c r="K18" s="259"/>
      <c r="L18" s="111" t="s">
        <v>127</v>
      </c>
    </row>
    <row r="19" spans="1:13" ht="24.75" customHeight="1">
      <c r="A19" s="112" t="s">
        <v>401</v>
      </c>
      <c r="B19" s="239" t="s">
        <v>402</v>
      </c>
      <c r="C19" s="240"/>
      <c r="D19" s="239" t="s">
        <v>128</v>
      </c>
      <c r="E19" s="241"/>
      <c r="F19" s="240"/>
      <c r="G19" s="112" t="s">
        <v>38</v>
      </c>
      <c r="H19" s="244">
        <v>6.4000000000000001E-2</v>
      </c>
      <c r="I19" s="245"/>
      <c r="J19" s="235">
        <v>656.36</v>
      </c>
      <c r="K19" s="236"/>
      <c r="L19" s="113">
        <f>ROUND(ROUND(H19,8)*J19,2)</f>
        <v>42.01</v>
      </c>
      <c r="M19" s="21" t="s">
        <v>408</v>
      </c>
    </row>
    <row r="20" spans="1:13">
      <c r="A20" s="112" t="s">
        <v>403</v>
      </c>
      <c r="B20" s="239" t="s">
        <v>404</v>
      </c>
      <c r="C20" s="240"/>
      <c r="D20" s="239" t="s">
        <v>128</v>
      </c>
      <c r="E20" s="241"/>
      <c r="F20" s="240"/>
      <c r="G20" s="112" t="s">
        <v>38</v>
      </c>
      <c r="H20" s="244">
        <v>6.4000000000000001E-2</v>
      </c>
      <c r="I20" s="245"/>
      <c r="J20" s="235">
        <v>95.25</v>
      </c>
      <c r="K20" s="236"/>
      <c r="L20" s="113">
        <f>ROUND(ROUND(H20,8)*J20,2)</f>
        <v>6.1</v>
      </c>
      <c r="M20" s="21" t="s">
        <v>409</v>
      </c>
    </row>
    <row r="21" spans="1:13">
      <c r="A21" s="112" t="s">
        <v>385</v>
      </c>
      <c r="B21" s="239" t="s">
        <v>405</v>
      </c>
      <c r="C21" s="240"/>
      <c r="D21" s="239" t="s">
        <v>384</v>
      </c>
      <c r="E21" s="241"/>
      <c r="F21" s="240"/>
      <c r="G21" s="112" t="s">
        <v>36</v>
      </c>
      <c r="H21" s="244">
        <v>0.64</v>
      </c>
      <c r="I21" s="245"/>
      <c r="J21" s="235">
        <f>L15</f>
        <v>62</v>
      </c>
      <c r="K21" s="236"/>
      <c r="L21" s="113">
        <f>ROUND(ROUND(H21,8)*J21,2)</f>
        <v>39.68</v>
      </c>
    </row>
    <row r="22" spans="1:13">
      <c r="A22" s="112" t="s">
        <v>406</v>
      </c>
      <c r="B22" s="239" t="s">
        <v>407</v>
      </c>
      <c r="C22" s="240"/>
      <c r="D22" s="239" t="s">
        <v>128</v>
      </c>
      <c r="E22" s="241"/>
      <c r="F22" s="240"/>
      <c r="G22" s="112" t="s">
        <v>36</v>
      </c>
      <c r="H22" s="244">
        <v>1</v>
      </c>
      <c r="I22" s="245"/>
      <c r="J22" s="235">
        <v>609.27</v>
      </c>
      <c r="K22" s="236"/>
      <c r="L22" s="113">
        <f>ROUND(ROUND(H22,8)*J22,2)</f>
        <v>609.27</v>
      </c>
      <c r="M22" s="21" t="s">
        <v>410</v>
      </c>
    </row>
    <row r="23" spans="1:13">
      <c r="A23" s="114"/>
      <c r="B23" s="114"/>
      <c r="C23" s="114"/>
      <c r="D23" s="114"/>
      <c r="E23" s="114"/>
      <c r="F23" s="114"/>
      <c r="G23" s="114"/>
      <c r="H23" s="237" t="s">
        <v>358</v>
      </c>
      <c r="I23" s="237"/>
      <c r="J23" s="237"/>
      <c r="K23" s="237"/>
      <c r="L23" s="115">
        <f>SUM(L19:L22)</f>
        <v>697.06</v>
      </c>
    </row>
    <row r="24" spans="1:13" ht="9.9" customHeight="1">
      <c r="A24" s="18"/>
      <c r="B24" s="18"/>
      <c r="C24" s="18"/>
      <c r="D24" s="18"/>
      <c r="E24" s="18"/>
      <c r="F24" s="18"/>
      <c r="G24" s="18"/>
      <c r="H24" s="108"/>
      <c r="I24" s="108"/>
      <c r="J24" s="108"/>
      <c r="K24" s="108"/>
      <c r="L24" s="108"/>
    </row>
    <row r="25" spans="1:13">
      <c r="A25" s="238" t="s">
        <v>491</v>
      </c>
      <c r="B25" s="238"/>
      <c r="C25" s="238"/>
      <c r="D25" s="238"/>
      <c r="E25" s="238"/>
      <c r="F25" s="238"/>
      <c r="G25" s="238"/>
      <c r="H25" s="238"/>
      <c r="I25" s="238"/>
      <c r="J25" s="238"/>
      <c r="K25" s="238"/>
      <c r="L25" s="238"/>
    </row>
    <row r="26" spans="1:13">
      <c r="A26" s="302" t="s">
        <v>416</v>
      </c>
      <c r="B26" s="303"/>
      <c r="C26" s="316"/>
      <c r="D26" s="302" t="s">
        <v>129</v>
      </c>
      <c r="E26" s="303"/>
      <c r="F26" s="242" t="s">
        <v>417</v>
      </c>
      <c r="G26" s="243"/>
      <c r="H26" s="242" t="s">
        <v>418</v>
      </c>
      <c r="I26" s="284"/>
      <c r="J26" s="284"/>
      <c r="K26" s="243"/>
      <c r="L26" s="302" t="s">
        <v>419</v>
      </c>
    </row>
    <row r="27" spans="1:13">
      <c r="A27" s="304"/>
      <c r="B27" s="305"/>
      <c r="C27" s="320"/>
      <c r="D27" s="304"/>
      <c r="E27" s="305"/>
      <c r="F27" s="164" t="s">
        <v>420</v>
      </c>
      <c r="G27" s="19" t="s">
        <v>421</v>
      </c>
      <c r="H27" s="242" t="s">
        <v>420</v>
      </c>
      <c r="I27" s="243"/>
      <c r="J27" s="242" t="s">
        <v>421</v>
      </c>
      <c r="K27" s="243"/>
      <c r="L27" s="304"/>
    </row>
    <row r="28" spans="1:13">
      <c r="A28" s="112" t="s">
        <v>422</v>
      </c>
      <c r="B28" s="239" t="s">
        <v>423</v>
      </c>
      <c r="C28" s="240"/>
      <c r="D28" s="244">
        <v>1</v>
      </c>
      <c r="E28" s="317"/>
      <c r="F28" s="187">
        <v>1</v>
      </c>
      <c r="G28" s="163">
        <v>0</v>
      </c>
      <c r="H28" s="244">
        <v>46.480600000000003</v>
      </c>
      <c r="I28" s="245"/>
      <c r="J28" s="235">
        <v>40.621000000000002</v>
      </c>
      <c r="K28" s="236"/>
      <c r="L28" s="113">
        <f>ROUND(D28*(ROUND(F28*H28,4)+ROUND(G28*J28,4)),4)</f>
        <v>46.480600000000003</v>
      </c>
    </row>
    <row r="29" spans="1:13">
      <c r="A29" s="112" t="s">
        <v>424</v>
      </c>
      <c r="B29" s="239" t="s">
        <v>425</v>
      </c>
      <c r="C29" s="240"/>
      <c r="D29" s="244">
        <v>1</v>
      </c>
      <c r="E29" s="317"/>
      <c r="F29" s="188">
        <v>1</v>
      </c>
      <c r="G29" s="163">
        <v>0</v>
      </c>
      <c r="H29" s="244">
        <v>29.897200000000002</v>
      </c>
      <c r="I29" s="245"/>
      <c r="J29" s="235">
        <v>7.7064000000000004</v>
      </c>
      <c r="K29" s="236"/>
      <c r="L29" s="113">
        <f>ROUND(D29*(ROUND(F29*H29,4)+ROUND(G29*J29,4)),4)</f>
        <v>29.897200000000002</v>
      </c>
    </row>
    <row r="30" spans="1:13">
      <c r="A30" s="114"/>
      <c r="B30" s="114"/>
      <c r="C30" s="114"/>
      <c r="D30" s="114"/>
      <c r="E30" s="114"/>
      <c r="F30" s="114"/>
      <c r="G30" s="114"/>
      <c r="H30" s="237" t="s">
        <v>426</v>
      </c>
      <c r="I30" s="237"/>
      <c r="J30" s="237"/>
      <c r="K30" s="237"/>
      <c r="L30" s="115">
        <f>SUM(L28:L29)</f>
        <v>76.377800000000008</v>
      </c>
    </row>
    <row r="31" spans="1:13">
      <c r="A31" s="242" t="s">
        <v>427</v>
      </c>
      <c r="B31" s="284"/>
      <c r="C31" s="284"/>
      <c r="D31" s="284"/>
      <c r="E31" s="284"/>
      <c r="F31" s="243"/>
      <c r="G31" s="111" t="s">
        <v>124</v>
      </c>
      <c r="H31" s="259" t="s">
        <v>428</v>
      </c>
      <c r="I31" s="259"/>
      <c r="J31" s="259" t="s">
        <v>429</v>
      </c>
      <c r="K31" s="259"/>
      <c r="L31" s="111" t="s">
        <v>419</v>
      </c>
    </row>
    <row r="32" spans="1:13">
      <c r="A32" s="112">
        <v>100301</v>
      </c>
      <c r="B32" s="239" t="s">
        <v>498</v>
      </c>
      <c r="C32" s="241"/>
      <c r="D32" s="241"/>
      <c r="E32" s="241"/>
      <c r="F32" s="240"/>
      <c r="G32" s="112" t="s">
        <v>130</v>
      </c>
      <c r="H32" s="244">
        <v>1</v>
      </c>
      <c r="I32" s="245"/>
      <c r="J32" s="235">
        <v>26.91</v>
      </c>
      <c r="K32" s="236"/>
      <c r="L32" s="113">
        <f>ROUND(ROUND(H32,8)*J32,4)</f>
        <v>26.91</v>
      </c>
      <c r="M32" s="21" t="s">
        <v>459</v>
      </c>
    </row>
    <row r="33" spans="1:13">
      <c r="A33" s="112" t="s">
        <v>430</v>
      </c>
      <c r="B33" s="239" t="s">
        <v>431</v>
      </c>
      <c r="C33" s="241"/>
      <c r="D33" s="241"/>
      <c r="E33" s="241"/>
      <c r="F33" s="240"/>
      <c r="G33" s="112" t="s">
        <v>130</v>
      </c>
      <c r="H33" s="244">
        <v>2</v>
      </c>
      <c r="I33" s="245"/>
      <c r="J33" s="235">
        <v>31.52</v>
      </c>
      <c r="K33" s="236"/>
      <c r="L33" s="113">
        <f>ROUND(ROUND(H33,8)*J33,4)</f>
        <v>63.04</v>
      </c>
      <c r="M33" s="21" t="s">
        <v>460</v>
      </c>
    </row>
    <row r="34" spans="1:13" ht="15" customHeight="1">
      <c r="A34" s="160"/>
      <c r="B34" s="161"/>
      <c r="C34" s="161"/>
      <c r="D34" s="161"/>
      <c r="E34" s="161"/>
      <c r="F34" s="161"/>
      <c r="G34" s="161"/>
      <c r="H34" s="237" t="s">
        <v>432</v>
      </c>
      <c r="I34" s="237"/>
      <c r="J34" s="237"/>
      <c r="K34" s="237"/>
      <c r="L34" s="115">
        <f>SUM(L32:L33)</f>
        <v>89.95</v>
      </c>
    </row>
    <row r="35" spans="1:13" ht="15" customHeight="1">
      <c r="A35" s="160"/>
      <c r="B35" s="161"/>
      <c r="C35" s="161"/>
      <c r="D35" s="161"/>
      <c r="E35" s="161"/>
      <c r="F35" s="161"/>
      <c r="G35" s="161"/>
      <c r="H35" s="237" t="s">
        <v>433</v>
      </c>
      <c r="I35" s="237"/>
      <c r="J35" s="237"/>
      <c r="K35" s="237"/>
      <c r="L35" s="115">
        <f>SUM(L30,L34)</f>
        <v>166.32780000000002</v>
      </c>
    </row>
    <row r="36" spans="1:13" ht="15" customHeight="1">
      <c r="A36" s="160"/>
      <c r="B36" s="161"/>
      <c r="C36" s="161"/>
      <c r="D36" s="161"/>
      <c r="E36" s="161"/>
      <c r="F36" s="161"/>
      <c r="G36" s="161"/>
      <c r="H36" s="237" t="s">
        <v>434</v>
      </c>
      <c r="I36" s="237"/>
      <c r="J36" s="237"/>
      <c r="K36" s="237"/>
      <c r="L36" s="175">
        <v>19.149999999999999</v>
      </c>
    </row>
    <row r="37" spans="1:13" ht="15" customHeight="1">
      <c r="A37" s="160"/>
      <c r="B37" s="161"/>
      <c r="C37" s="161"/>
      <c r="D37" s="161"/>
      <c r="E37" s="161"/>
      <c r="F37" s="161"/>
      <c r="G37" s="161"/>
      <c r="H37" s="237" t="s">
        <v>435</v>
      </c>
      <c r="I37" s="237"/>
      <c r="J37" s="237"/>
      <c r="K37" s="237"/>
      <c r="L37" s="115">
        <f>ROUND(L35/L36,4)</f>
        <v>8.6854999999999993</v>
      </c>
    </row>
    <row r="38" spans="1:13">
      <c r="A38" s="242" t="s">
        <v>436</v>
      </c>
      <c r="B38" s="284"/>
      <c r="C38" s="284"/>
      <c r="D38" s="284"/>
      <c r="E38" s="284"/>
      <c r="F38" s="243"/>
      <c r="G38" s="111" t="s">
        <v>124</v>
      </c>
      <c r="H38" s="259" t="s">
        <v>428</v>
      </c>
      <c r="I38" s="259"/>
      <c r="J38" s="259" t="s">
        <v>437</v>
      </c>
      <c r="K38" s="259"/>
      <c r="L38" s="111" t="s">
        <v>438</v>
      </c>
    </row>
    <row r="39" spans="1:13">
      <c r="A39" s="112" t="s">
        <v>439</v>
      </c>
      <c r="B39" s="239" t="s">
        <v>440</v>
      </c>
      <c r="C39" s="241"/>
      <c r="D39" s="241"/>
      <c r="E39" s="241"/>
      <c r="F39" s="240"/>
      <c r="G39" s="112" t="s">
        <v>441</v>
      </c>
      <c r="H39" s="244">
        <v>0.112</v>
      </c>
      <c r="I39" s="245"/>
      <c r="J39" s="235">
        <v>90.852900000000005</v>
      </c>
      <c r="K39" s="236"/>
      <c r="L39" s="113">
        <f>ROUND(ROUND(H39,8)*J39,4)</f>
        <v>10.1755</v>
      </c>
    </row>
    <row r="40" spans="1:13" ht="15" customHeight="1">
      <c r="A40" s="160"/>
      <c r="B40" s="161"/>
      <c r="C40" s="161"/>
      <c r="D40" s="161"/>
      <c r="E40" s="161"/>
      <c r="F40" s="161"/>
      <c r="G40" s="161"/>
      <c r="H40" s="237" t="s">
        <v>442</v>
      </c>
      <c r="I40" s="237"/>
      <c r="J40" s="237"/>
      <c r="K40" s="237"/>
      <c r="L40" s="115">
        <f>SUM(L39:L39)</f>
        <v>10.1755</v>
      </c>
    </row>
    <row r="41" spans="1:13" s="159" customFormat="1">
      <c r="A41" s="292" t="s">
        <v>443</v>
      </c>
      <c r="B41" s="293"/>
      <c r="C41" s="293"/>
      <c r="D41" s="293"/>
      <c r="E41" s="294"/>
      <c r="F41" s="168" t="s">
        <v>132</v>
      </c>
      <c r="G41" s="158" t="s">
        <v>444</v>
      </c>
      <c r="H41" s="259" t="s">
        <v>428</v>
      </c>
      <c r="I41" s="259"/>
      <c r="J41" s="259" t="s">
        <v>126</v>
      </c>
      <c r="K41" s="259"/>
      <c r="L41" s="111" t="s">
        <v>438</v>
      </c>
    </row>
    <row r="42" spans="1:13" ht="15" customHeight="1">
      <c r="A42" s="166" t="s">
        <v>439</v>
      </c>
      <c r="B42" s="313" t="s">
        <v>445</v>
      </c>
      <c r="C42" s="314"/>
      <c r="D42" s="314"/>
      <c r="E42" s="315"/>
      <c r="F42" s="167" t="s">
        <v>446</v>
      </c>
      <c r="G42" s="112" t="s">
        <v>447</v>
      </c>
      <c r="H42" s="244">
        <v>1.1E-4</v>
      </c>
      <c r="I42" s="245"/>
      <c r="J42" s="235">
        <v>33.54</v>
      </c>
      <c r="K42" s="236"/>
      <c r="L42" s="113">
        <f>ROUND(ROUND(H42,8)*J42,4)</f>
        <v>3.7000000000000002E-3</v>
      </c>
    </row>
    <row r="43" spans="1:13" ht="15" customHeight="1">
      <c r="A43" s="160"/>
      <c r="B43" s="161"/>
      <c r="C43" s="161"/>
      <c r="D43" s="161"/>
      <c r="E43" s="161"/>
      <c r="F43" s="161"/>
      <c r="G43" s="161"/>
      <c r="H43" s="237" t="s">
        <v>448</v>
      </c>
      <c r="I43" s="237"/>
      <c r="J43" s="237"/>
      <c r="K43" s="237"/>
      <c r="L43" s="115">
        <f>SUM(L42:L42)</f>
        <v>3.7000000000000002E-3</v>
      </c>
    </row>
    <row r="44" spans="1:13" ht="15" customHeight="1">
      <c r="A44" s="302" t="s">
        <v>449</v>
      </c>
      <c r="B44" s="303"/>
      <c r="C44" s="306" t="s">
        <v>450</v>
      </c>
      <c r="D44" s="307" t="s">
        <v>133</v>
      </c>
      <c r="E44" s="308"/>
      <c r="F44" s="292" t="s">
        <v>451</v>
      </c>
      <c r="G44" s="294"/>
      <c r="H44" s="311" t="s">
        <v>452</v>
      </c>
      <c r="I44" s="312"/>
      <c r="J44" s="311" t="s">
        <v>453</v>
      </c>
      <c r="K44" s="312"/>
      <c r="L44" s="298" t="s">
        <v>438</v>
      </c>
    </row>
    <row r="45" spans="1:13">
      <c r="A45" s="304"/>
      <c r="B45" s="305"/>
      <c r="C45" s="299"/>
      <c r="D45" s="309"/>
      <c r="E45" s="310"/>
      <c r="F45" s="168" t="s">
        <v>454</v>
      </c>
      <c r="G45" s="168" t="s">
        <v>455</v>
      </c>
      <c r="H45" s="168" t="s">
        <v>454</v>
      </c>
      <c r="I45" s="168" t="s">
        <v>455</v>
      </c>
      <c r="J45" s="168" t="s">
        <v>454</v>
      </c>
      <c r="K45" s="168" t="s">
        <v>455</v>
      </c>
      <c r="L45" s="299"/>
    </row>
    <row r="46" spans="1:13" ht="15" customHeight="1">
      <c r="A46" s="166" t="s">
        <v>439</v>
      </c>
      <c r="B46" s="166" t="s">
        <v>445</v>
      </c>
      <c r="C46" s="166" t="s">
        <v>456</v>
      </c>
      <c r="D46" s="300">
        <v>1.1E-4</v>
      </c>
      <c r="E46" s="301"/>
      <c r="F46" s="189">
        <v>0</v>
      </c>
      <c r="G46" s="189">
        <v>1.1000000000000001</v>
      </c>
      <c r="H46" s="189">
        <v>0</v>
      </c>
      <c r="I46" s="189">
        <v>0.88</v>
      </c>
      <c r="J46" s="189">
        <v>0</v>
      </c>
      <c r="K46" s="189">
        <v>0.72</v>
      </c>
      <c r="L46" s="113">
        <f>ROUND(D46*(ROUND(F46*G46,4)+ROUND(H46*I46,4)+ROUND(J46*K46,4)),4)</f>
        <v>0</v>
      </c>
    </row>
    <row r="47" spans="1:13" ht="15" customHeight="1">
      <c r="A47" s="160"/>
      <c r="B47" s="161"/>
      <c r="C47" s="161"/>
      <c r="D47" s="161"/>
      <c r="E47" s="161"/>
      <c r="F47" s="161"/>
      <c r="G47" s="161"/>
      <c r="H47" s="237" t="s">
        <v>457</v>
      </c>
      <c r="I47" s="237"/>
      <c r="J47" s="237"/>
      <c r="K47" s="237"/>
      <c r="L47" s="115">
        <f>SUM(L46)</f>
        <v>0</v>
      </c>
    </row>
    <row r="48" spans="1:13" ht="15" customHeight="1">
      <c r="A48" s="160"/>
      <c r="B48" s="161"/>
      <c r="C48" s="161"/>
      <c r="D48" s="161"/>
      <c r="E48" s="161"/>
      <c r="F48" s="161"/>
      <c r="G48" s="161"/>
      <c r="H48" s="237" t="s">
        <v>458</v>
      </c>
      <c r="I48" s="237"/>
      <c r="J48" s="237"/>
      <c r="K48" s="237"/>
      <c r="L48" s="115">
        <f>ROUND(SUM(L37,L40,L43,L47),2)</f>
        <v>18.86</v>
      </c>
    </row>
    <row r="49" spans="1:13" ht="15" customHeight="1">
      <c r="A49" s="321" t="s">
        <v>499</v>
      </c>
      <c r="B49" s="288"/>
      <c r="C49" s="288"/>
      <c r="D49" s="288"/>
      <c r="E49" s="288"/>
      <c r="F49" s="288"/>
      <c r="G49" s="322"/>
      <c r="H49" s="237" t="s">
        <v>400</v>
      </c>
      <c r="I49" s="237"/>
      <c r="J49" s="237"/>
      <c r="K49" s="237"/>
      <c r="L49" s="115">
        <f>L48</f>
        <v>18.86</v>
      </c>
    </row>
    <row r="50" spans="1:13">
      <c r="A50" s="238" t="s">
        <v>492</v>
      </c>
      <c r="B50" s="238"/>
      <c r="C50" s="238"/>
      <c r="D50" s="238"/>
      <c r="E50" s="238"/>
      <c r="F50" s="238"/>
      <c r="G50" s="238"/>
      <c r="H50" s="238"/>
      <c r="I50" s="238"/>
      <c r="J50" s="238"/>
      <c r="K50" s="238"/>
      <c r="L50" s="238"/>
    </row>
    <row r="51" spans="1:13">
      <c r="A51" s="302" t="s">
        <v>416</v>
      </c>
      <c r="B51" s="303"/>
      <c r="C51" s="316"/>
      <c r="D51" s="302" t="s">
        <v>129</v>
      </c>
      <c r="E51" s="303"/>
      <c r="F51" s="242" t="s">
        <v>417</v>
      </c>
      <c r="G51" s="243"/>
      <c r="H51" s="242" t="s">
        <v>418</v>
      </c>
      <c r="I51" s="284"/>
      <c r="J51" s="284"/>
      <c r="K51" s="243"/>
      <c r="L51" s="302" t="s">
        <v>419</v>
      </c>
    </row>
    <row r="52" spans="1:13">
      <c r="A52" s="304"/>
      <c r="B52" s="305"/>
      <c r="C52" s="320"/>
      <c r="D52" s="304"/>
      <c r="E52" s="305"/>
      <c r="F52" s="19" t="s">
        <v>420</v>
      </c>
      <c r="G52" s="19" t="s">
        <v>421</v>
      </c>
      <c r="H52" s="242" t="s">
        <v>420</v>
      </c>
      <c r="I52" s="243"/>
      <c r="J52" s="242" t="s">
        <v>421</v>
      </c>
      <c r="K52" s="243"/>
      <c r="L52" s="304"/>
    </row>
    <row r="53" spans="1:13">
      <c r="A53" s="112" t="s">
        <v>461</v>
      </c>
      <c r="B53" s="239" t="s">
        <v>462</v>
      </c>
      <c r="C53" s="240"/>
      <c r="D53" s="244">
        <v>1</v>
      </c>
      <c r="E53" s="317"/>
      <c r="F53" s="187">
        <v>0.3</v>
      </c>
      <c r="G53" s="163">
        <v>0.7</v>
      </c>
      <c r="H53" s="244">
        <v>174.39490000000001</v>
      </c>
      <c r="I53" s="245"/>
      <c r="J53" s="290">
        <v>72.1922</v>
      </c>
      <c r="K53" s="291"/>
      <c r="L53" s="113">
        <f>ROUND(D53*(ROUND(F53*H53,4)+ROUND(G53*J53,4)),4)</f>
        <v>102.85299999999999</v>
      </c>
    </row>
    <row r="54" spans="1:13">
      <c r="A54" s="114"/>
      <c r="B54" s="114"/>
      <c r="C54" s="114"/>
      <c r="D54" s="114"/>
      <c r="E54" s="114"/>
      <c r="F54" s="114"/>
      <c r="G54" s="114"/>
      <c r="H54" s="237" t="s">
        <v>426</v>
      </c>
      <c r="I54" s="237"/>
      <c r="J54" s="237"/>
      <c r="K54" s="237"/>
      <c r="L54" s="115">
        <f>SUM(L53)</f>
        <v>102.85299999999999</v>
      </c>
    </row>
    <row r="55" spans="1:13">
      <c r="A55" s="242" t="s">
        <v>427</v>
      </c>
      <c r="B55" s="284"/>
      <c r="C55" s="284"/>
      <c r="D55" s="284"/>
      <c r="E55" s="284"/>
      <c r="F55" s="243"/>
      <c r="G55" s="111" t="s">
        <v>124</v>
      </c>
      <c r="H55" s="259" t="s">
        <v>428</v>
      </c>
      <c r="I55" s="259"/>
      <c r="J55" s="259" t="s">
        <v>429</v>
      </c>
      <c r="K55" s="259"/>
      <c r="L55" s="111" t="s">
        <v>419</v>
      </c>
    </row>
    <row r="56" spans="1:13">
      <c r="A56" s="112" t="s">
        <v>463</v>
      </c>
      <c r="B56" s="239" t="s">
        <v>464</v>
      </c>
      <c r="C56" s="241"/>
      <c r="D56" s="241"/>
      <c r="E56" s="241"/>
      <c r="F56" s="240"/>
      <c r="G56" s="112" t="s">
        <v>130</v>
      </c>
      <c r="H56" s="244">
        <v>1</v>
      </c>
      <c r="I56" s="245"/>
      <c r="J56" s="235">
        <v>22.41</v>
      </c>
      <c r="K56" s="236"/>
      <c r="L56" s="113">
        <f>ROUND(ROUND(H56,8)*J56,4)</f>
        <v>22.41</v>
      </c>
      <c r="M56" s="21">
        <v>20.65</v>
      </c>
    </row>
    <row r="57" spans="1:13">
      <c r="A57" s="112" t="s">
        <v>465</v>
      </c>
      <c r="B57" s="239" t="s">
        <v>131</v>
      </c>
      <c r="C57" s="241"/>
      <c r="D57" s="241"/>
      <c r="E57" s="241"/>
      <c r="F57" s="240"/>
      <c r="G57" s="112" t="s">
        <v>130</v>
      </c>
      <c r="H57" s="244">
        <v>2</v>
      </c>
      <c r="I57" s="245"/>
      <c r="J57" s="235">
        <v>24.08</v>
      </c>
      <c r="K57" s="236"/>
      <c r="L57" s="113">
        <f>ROUND(ROUND(H57,8)*J57,4)</f>
        <v>48.16</v>
      </c>
      <c r="M57" s="21">
        <v>22.26</v>
      </c>
    </row>
    <row r="58" spans="1:13">
      <c r="A58" s="114"/>
      <c r="B58" s="114"/>
      <c r="C58" s="114"/>
      <c r="D58" s="114"/>
      <c r="E58" s="114"/>
      <c r="F58" s="114"/>
      <c r="G58" s="114"/>
      <c r="H58" s="237" t="s">
        <v>432</v>
      </c>
      <c r="I58" s="237"/>
      <c r="J58" s="237"/>
      <c r="K58" s="237"/>
      <c r="L58" s="115">
        <f>SUM(L56:L57)</f>
        <v>70.569999999999993</v>
      </c>
    </row>
    <row r="59" spans="1:13">
      <c r="A59" s="114"/>
      <c r="B59" s="114"/>
      <c r="C59" s="114"/>
      <c r="D59" s="114"/>
      <c r="E59" s="114"/>
      <c r="F59" s="114"/>
      <c r="G59" s="114"/>
      <c r="H59" s="237" t="s">
        <v>433</v>
      </c>
      <c r="I59" s="237"/>
      <c r="J59" s="237"/>
      <c r="K59" s="237"/>
      <c r="L59" s="115">
        <f>SUM(L54,L58)</f>
        <v>173.423</v>
      </c>
    </row>
    <row r="60" spans="1:13">
      <c r="A60" s="114"/>
      <c r="B60" s="114"/>
      <c r="C60" s="114"/>
      <c r="D60" s="114"/>
      <c r="E60" s="114"/>
      <c r="F60" s="114"/>
      <c r="G60" s="114"/>
      <c r="H60" s="237" t="s">
        <v>434</v>
      </c>
      <c r="I60" s="237"/>
      <c r="J60" s="237"/>
      <c r="K60" s="237"/>
      <c r="L60" s="175">
        <v>3</v>
      </c>
    </row>
    <row r="61" spans="1:13">
      <c r="A61" s="114"/>
      <c r="B61" s="114"/>
      <c r="C61" s="114"/>
      <c r="D61" s="114"/>
      <c r="E61" s="114"/>
      <c r="F61" s="114"/>
      <c r="G61" s="114"/>
      <c r="H61" s="237" t="s">
        <v>435</v>
      </c>
      <c r="I61" s="237"/>
      <c r="J61" s="237"/>
      <c r="K61" s="237"/>
      <c r="L61" s="115">
        <f>ROUND(L59/L60,4)</f>
        <v>57.807699999999997</v>
      </c>
    </row>
    <row r="62" spans="1:13">
      <c r="A62" s="242" t="s">
        <v>466</v>
      </c>
      <c r="B62" s="284"/>
      <c r="C62" s="284"/>
      <c r="D62" s="284"/>
      <c r="E62" s="284"/>
      <c r="F62" s="243"/>
      <c r="G62" s="111" t="s">
        <v>124</v>
      </c>
      <c r="H62" s="259" t="s">
        <v>428</v>
      </c>
      <c r="I62" s="259"/>
      <c r="J62" s="259" t="s">
        <v>126</v>
      </c>
      <c r="K62" s="259"/>
      <c r="L62" s="111" t="s">
        <v>438</v>
      </c>
    </row>
    <row r="63" spans="1:13">
      <c r="A63" s="112" t="s">
        <v>493</v>
      </c>
      <c r="B63" s="239" t="s">
        <v>467</v>
      </c>
      <c r="C63" s="241"/>
      <c r="D63" s="241"/>
      <c r="E63" s="241"/>
      <c r="F63" s="240"/>
      <c r="G63" s="112" t="s">
        <v>382</v>
      </c>
      <c r="H63" s="244">
        <v>1</v>
      </c>
      <c r="I63" s="245"/>
      <c r="J63" s="235">
        <f>L105</f>
        <v>465.02159999999998</v>
      </c>
      <c r="K63" s="236"/>
      <c r="L63" s="113">
        <f>ROUND(ROUND(H63,8)*J63,4)</f>
        <v>465.02159999999998</v>
      </c>
      <c r="M63" s="21"/>
    </row>
    <row r="64" spans="1:13">
      <c r="A64" s="114"/>
      <c r="B64" s="114"/>
      <c r="C64" s="114"/>
      <c r="D64" s="114"/>
      <c r="E64" s="114"/>
      <c r="F64" s="114"/>
      <c r="G64" s="114"/>
      <c r="H64" s="237" t="s">
        <v>468</v>
      </c>
      <c r="I64" s="237"/>
      <c r="J64" s="237"/>
      <c r="K64" s="237"/>
      <c r="L64" s="115">
        <f>SUM(L63:L63)</f>
        <v>465.02159999999998</v>
      </c>
    </row>
    <row r="65" spans="1:13">
      <c r="A65" s="114"/>
      <c r="B65" s="114"/>
      <c r="C65" s="114"/>
      <c r="D65" s="114"/>
      <c r="E65" s="114"/>
      <c r="F65" s="114"/>
      <c r="G65" s="114"/>
      <c r="H65" s="237" t="s">
        <v>458</v>
      </c>
      <c r="I65" s="237"/>
      <c r="J65" s="237"/>
      <c r="K65" s="237"/>
      <c r="L65" s="115">
        <f>SUM(L61,L64)</f>
        <v>522.82929999999999</v>
      </c>
    </row>
    <row r="66" spans="1:13" ht="15" customHeight="1">
      <c r="A66" s="295" t="s">
        <v>500</v>
      </c>
      <c r="B66" s="296"/>
      <c r="C66" s="296"/>
      <c r="D66" s="296"/>
      <c r="E66" s="296"/>
      <c r="F66" s="296"/>
      <c r="G66" s="297"/>
      <c r="H66" s="237" t="s">
        <v>400</v>
      </c>
      <c r="I66" s="237"/>
      <c r="J66" s="237"/>
      <c r="K66" s="237"/>
      <c r="L66" s="115">
        <f>L65</f>
        <v>522.82929999999999</v>
      </c>
    </row>
    <row r="67" spans="1:13">
      <c r="A67" s="238" t="s">
        <v>469</v>
      </c>
      <c r="B67" s="238"/>
      <c r="C67" s="238"/>
      <c r="D67" s="238"/>
      <c r="E67" s="238"/>
      <c r="F67" s="238"/>
      <c r="G67" s="238"/>
      <c r="H67" s="238"/>
      <c r="I67" s="238"/>
      <c r="J67" s="238"/>
      <c r="K67" s="238"/>
      <c r="L67" s="238"/>
    </row>
    <row r="68" spans="1:13">
      <c r="A68" s="302" t="s">
        <v>416</v>
      </c>
      <c r="B68" s="303"/>
      <c r="C68" s="316"/>
      <c r="D68" s="302" t="s">
        <v>129</v>
      </c>
      <c r="E68" s="303"/>
      <c r="F68" s="242" t="s">
        <v>417</v>
      </c>
      <c r="G68" s="243"/>
      <c r="H68" s="242" t="s">
        <v>418</v>
      </c>
      <c r="I68" s="284"/>
      <c r="J68" s="284"/>
      <c r="K68" s="243"/>
      <c r="L68" s="302" t="s">
        <v>419</v>
      </c>
    </row>
    <row r="69" spans="1:13">
      <c r="A69" s="304"/>
      <c r="B69" s="305"/>
      <c r="C69" s="320"/>
      <c r="D69" s="304"/>
      <c r="E69" s="305"/>
      <c r="F69" s="19" t="s">
        <v>420</v>
      </c>
      <c r="G69" s="19" t="s">
        <v>421</v>
      </c>
      <c r="H69" s="242" t="s">
        <v>420</v>
      </c>
      <c r="I69" s="243"/>
      <c r="J69" s="242" t="s">
        <v>421</v>
      </c>
      <c r="K69" s="243"/>
      <c r="L69" s="304"/>
    </row>
    <row r="70" spans="1:13">
      <c r="A70" s="112" t="s">
        <v>470</v>
      </c>
      <c r="B70" s="239" t="s">
        <v>471</v>
      </c>
      <c r="C70" s="240"/>
      <c r="D70" s="244">
        <v>0.15060000000000001</v>
      </c>
      <c r="E70" s="317"/>
      <c r="F70" s="187">
        <v>1</v>
      </c>
      <c r="G70" s="163">
        <v>0</v>
      </c>
      <c r="H70" s="318">
        <v>0.36919999999999997</v>
      </c>
      <c r="I70" s="319"/>
      <c r="J70" s="318">
        <v>0.23949999999999999</v>
      </c>
      <c r="K70" s="319"/>
      <c r="L70" s="113">
        <f>ROUND(D70*(ROUND(F70*H70,4)+ROUND(G70*J70,4)),4)</f>
        <v>5.5599999999999997E-2</v>
      </c>
    </row>
    <row r="71" spans="1:13">
      <c r="A71" s="112" t="s">
        <v>424</v>
      </c>
      <c r="B71" s="239" t="s">
        <v>425</v>
      </c>
      <c r="C71" s="240"/>
      <c r="D71" s="244">
        <v>0.48193000000000003</v>
      </c>
      <c r="E71" s="317"/>
      <c r="F71" s="187">
        <v>1</v>
      </c>
      <c r="G71" s="163">
        <v>0</v>
      </c>
      <c r="H71" s="318">
        <v>29.897200000000002</v>
      </c>
      <c r="I71" s="319"/>
      <c r="J71" s="318">
        <v>7.7064000000000004</v>
      </c>
      <c r="K71" s="319"/>
      <c r="L71" s="113">
        <f>ROUND(D71*(ROUND(F71*H71,4)+ROUND(G71*J71,4)),4)</f>
        <v>14.4084</v>
      </c>
    </row>
    <row r="72" spans="1:13">
      <c r="A72" s="112" t="s">
        <v>472</v>
      </c>
      <c r="B72" s="239" t="s">
        <v>473</v>
      </c>
      <c r="C72" s="240"/>
      <c r="D72" s="244">
        <v>0.20080000000000001</v>
      </c>
      <c r="E72" s="317"/>
      <c r="F72" s="187">
        <v>1</v>
      </c>
      <c r="G72" s="163">
        <v>0</v>
      </c>
      <c r="H72" s="318">
        <v>15.0852</v>
      </c>
      <c r="I72" s="319"/>
      <c r="J72" s="318">
        <v>9.5890000000000004</v>
      </c>
      <c r="K72" s="319"/>
      <c r="L72" s="113">
        <f>ROUND(D72*(ROUND(F72*H72,4)+ROUND(G72*J72,4)),4)</f>
        <v>3.0291000000000001</v>
      </c>
    </row>
    <row r="73" spans="1:13">
      <c r="A73" s="112" t="s">
        <v>474</v>
      </c>
      <c r="B73" s="239" t="s">
        <v>475</v>
      </c>
      <c r="C73" s="240"/>
      <c r="D73" s="244">
        <v>0.48193000000000003</v>
      </c>
      <c r="E73" s="317"/>
      <c r="F73" s="187">
        <v>1</v>
      </c>
      <c r="G73" s="163">
        <v>0</v>
      </c>
      <c r="H73" s="318">
        <v>12.2409</v>
      </c>
      <c r="I73" s="319"/>
      <c r="J73" s="318">
        <v>7.7809999999999997</v>
      </c>
      <c r="K73" s="319"/>
      <c r="L73" s="113">
        <f>ROUND(D73*(ROUND(F73*H73,4)+ROUND(G73*J73,4)),4)</f>
        <v>5.8993000000000002</v>
      </c>
    </row>
    <row r="74" spans="1:13">
      <c r="A74" s="112" t="s">
        <v>476</v>
      </c>
      <c r="B74" s="239" t="s">
        <v>477</v>
      </c>
      <c r="C74" s="240"/>
      <c r="D74" s="244">
        <v>0.48193000000000003</v>
      </c>
      <c r="E74" s="317"/>
      <c r="F74" s="187">
        <v>1</v>
      </c>
      <c r="G74" s="163">
        <v>0</v>
      </c>
      <c r="H74" s="318">
        <v>25.778700000000001</v>
      </c>
      <c r="I74" s="319"/>
      <c r="J74" s="318">
        <v>16.251000000000001</v>
      </c>
      <c r="K74" s="319"/>
      <c r="L74" s="113">
        <f>ROUND(D74*(ROUND(F74*H74,4)+ROUND(G74*J74,4)),4)</f>
        <v>12.423500000000001</v>
      </c>
    </row>
    <row r="75" spans="1:13">
      <c r="A75" s="114"/>
      <c r="B75" s="114"/>
      <c r="C75" s="114"/>
      <c r="D75" s="114"/>
      <c r="E75" s="114"/>
      <c r="F75" s="114"/>
      <c r="G75" s="114"/>
      <c r="H75" s="237" t="s">
        <v>426</v>
      </c>
      <c r="I75" s="237"/>
      <c r="J75" s="237"/>
      <c r="K75" s="237"/>
      <c r="L75" s="115">
        <f>SUM(L70:L74)</f>
        <v>35.815899999999999</v>
      </c>
    </row>
    <row r="76" spans="1:13">
      <c r="A76" s="242" t="s">
        <v>427</v>
      </c>
      <c r="B76" s="284"/>
      <c r="C76" s="284"/>
      <c r="D76" s="284"/>
      <c r="E76" s="284"/>
      <c r="F76" s="243"/>
      <c r="G76" s="111" t="s">
        <v>124</v>
      </c>
      <c r="H76" s="285" t="s">
        <v>428</v>
      </c>
      <c r="I76" s="286"/>
      <c r="J76" s="285" t="s">
        <v>429</v>
      </c>
      <c r="K76" s="286"/>
      <c r="L76" s="111" t="s">
        <v>419</v>
      </c>
    </row>
    <row r="77" spans="1:13">
      <c r="A77" s="112" t="s">
        <v>396</v>
      </c>
      <c r="B77" s="239" t="s">
        <v>397</v>
      </c>
      <c r="C77" s="241"/>
      <c r="D77" s="241"/>
      <c r="E77" s="241"/>
      <c r="F77" s="240"/>
      <c r="G77" s="112" t="s">
        <v>130</v>
      </c>
      <c r="H77" s="244">
        <v>2</v>
      </c>
      <c r="I77" s="245"/>
      <c r="J77" s="235">
        <v>24.88</v>
      </c>
      <c r="K77" s="236"/>
      <c r="L77" s="113">
        <f>ROUND(ROUND(H77,8)*J77,4)</f>
        <v>49.76</v>
      </c>
      <c r="M77" s="21">
        <v>22.96</v>
      </c>
    </row>
    <row r="78" spans="1:13">
      <c r="A78" s="112" t="s">
        <v>463</v>
      </c>
      <c r="B78" s="239" t="s">
        <v>464</v>
      </c>
      <c r="C78" s="241"/>
      <c r="D78" s="241"/>
      <c r="E78" s="241"/>
      <c r="F78" s="240"/>
      <c r="G78" s="112" t="s">
        <v>130</v>
      </c>
      <c r="H78" s="244">
        <v>1</v>
      </c>
      <c r="I78" s="245"/>
      <c r="J78" s="235">
        <v>22.41</v>
      </c>
      <c r="K78" s="236"/>
      <c r="L78" s="113">
        <f>ROUND(ROUND(H78,8)*J78,4)</f>
        <v>22.41</v>
      </c>
      <c r="M78" s="21">
        <v>20.65</v>
      </c>
    </row>
    <row r="79" spans="1:13">
      <c r="A79" s="112" t="s">
        <v>478</v>
      </c>
      <c r="B79" s="239" t="s">
        <v>479</v>
      </c>
      <c r="C79" s="241"/>
      <c r="D79" s="241"/>
      <c r="E79" s="241"/>
      <c r="F79" s="240"/>
      <c r="G79" s="112" t="s">
        <v>130</v>
      </c>
      <c r="H79" s="244">
        <v>1</v>
      </c>
      <c r="I79" s="245"/>
      <c r="J79" s="235">
        <v>29.63</v>
      </c>
      <c r="K79" s="236"/>
      <c r="L79" s="113">
        <f>ROUND(ROUND(H79,8)*J79,4)</f>
        <v>29.63</v>
      </c>
      <c r="M79" s="21">
        <v>27.23</v>
      </c>
    </row>
    <row r="80" spans="1:13">
      <c r="A80" s="112" t="s">
        <v>465</v>
      </c>
      <c r="B80" s="239" t="s">
        <v>131</v>
      </c>
      <c r="C80" s="241"/>
      <c r="D80" s="241"/>
      <c r="E80" s="241"/>
      <c r="F80" s="240"/>
      <c r="G80" s="112" t="s">
        <v>130</v>
      </c>
      <c r="H80" s="244">
        <v>2</v>
      </c>
      <c r="I80" s="245"/>
      <c r="J80" s="235">
        <v>24.08</v>
      </c>
      <c r="K80" s="236"/>
      <c r="L80" s="113">
        <f>ROUND(ROUND(H80,8)*J80,4)</f>
        <v>48.16</v>
      </c>
      <c r="M80" s="21">
        <v>22.26</v>
      </c>
    </row>
    <row r="81" spans="1:12">
      <c r="A81" s="114"/>
      <c r="B81" s="114"/>
      <c r="C81" s="114"/>
      <c r="D81" s="114"/>
      <c r="E81" s="114"/>
      <c r="F81" s="114"/>
      <c r="G81" s="114"/>
      <c r="H81" s="237" t="s">
        <v>432</v>
      </c>
      <c r="I81" s="237"/>
      <c r="J81" s="237"/>
      <c r="K81" s="237"/>
      <c r="L81" s="115">
        <f>SUM(L77:L80)</f>
        <v>149.95999999999998</v>
      </c>
    </row>
    <row r="82" spans="1:12">
      <c r="A82" s="114"/>
      <c r="B82" s="114"/>
      <c r="C82" s="114"/>
      <c r="D82" s="114"/>
      <c r="E82" s="114"/>
      <c r="F82" s="114"/>
      <c r="G82" s="114"/>
      <c r="H82" s="237" t="s">
        <v>433</v>
      </c>
      <c r="I82" s="237"/>
      <c r="J82" s="237"/>
      <c r="K82" s="237"/>
      <c r="L82" s="115">
        <f>SUM(L75,L81)</f>
        <v>185.77589999999998</v>
      </c>
    </row>
    <row r="83" spans="1:12">
      <c r="A83" s="114"/>
      <c r="B83" s="114"/>
      <c r="C83" s="114"/>
      <c r="D83" s="114"/>
      <c r="E83" s="114"/>
      <c r="F83" s="114"/>
      <c r="G83" s="114"/>
      <c r="H83" s="237" t="s">
        <v>434</v>
      </c>
      <c r="I83" s="237"/>
      <c r="J83" s="237"/>
      <c r="K83" s="237"/>
      <c r="L83" s="175">
        <v>4</v>
      </c>
    </row>
    <row r="84" spans="1:12">
      <c r="A84" s="114"/>
      <c r="B84" s="114"/>
      <c r="C84" s="114"/>
      <c r="D84" s="114"/>
      <c r="E84" s="114"/>
      <c r="F84" s="114"/>
      <c r="G84" s="114"/>
      <c r="H84" s="237" t="s">
        <v>435</v>
      </c>
      <c r="I84" s="237"/>
      <c r="J84" s="237"/>
      <c r="K84" s="237"/>
      <c r="L84" s="115">
        <f>ROUND(L82/L83,4)</f>
        <v>46.444000000000003</v>
      </c>
    </row>
    <row r="85" spans="1:12">
      <c r="A85" s="242" t="s">
        <v>436</v>
      </c>
      <c r="B85" s="303"/>
      <c r="C85" s="303"/>
      <c r="D85" s="303"/>
      <c r="E85" s="303"/>
      <c r="F85" s="316"/>
      <c r="G85" s="111" t="s">
        <v>124</v>
      </c>
      <c r="H85" s="285" t="s">
        <v>428</v>
      </c>
      <c r="I85" s="286"/>
      <c r="J85" s="285" t="s">
        <v>437</v>
      </c>
      <c r="K85" s="286"/>
      <c r="L85" s="111" t="s">
        <v>438</v>
      </c>
    </row>
    <row r="86" spans="1:12">
      <c r="A86" s="157" t="s">
        <v>480</v>
      </c>
      <c r="B86" s="313" t="s">
        <v>481</v>
      </c>
      <c r="C86" s="314"/>
      <c r="D86" s="314"/>
      <c r="E86" s="314"/>
      <c r="F86" s="315"/>
      <c r="G86" s="163" t="s">
        <v>441</v>
      </c>
      <c r="H86" s="244">
        <v>11.775</v>
      </c>
      <c r="I86" s="245"/>
      <c r="J86" s="290">
        <v>12.654500000000001</v>
      </c>
      <c r="K86" s="291"/>
      <c r="L86" s="113">
        <f>ROUND(ROUND(H86,8)*J86,4)</f>
        <v>149.0067</v>
      </c>
    </row>
    <row r="87" spans="1:12">
      <c r="A87" s="157" t="s">
        <v>482</v>
      </c>
      <c r="B87" s="313" t="s">
        <v>483</v>
      </c>
      <c r="C87" s="314"/>
      <c r="D87" s="314"/>
      <c r="E87" s="314"/>
      <c r="F87" s="315"/>
      <c r="G87" s="163" t="s">
        <v>382</v>
      </c>
      <c r="H87" s="244">
        <v>0.4</v>
      </c>
      <c r="I87" s="245"/>
      <c r="J87" s="290">
        <v>247.50620000000001</v>
      </c>
      <c r="K87" s="291"/>
      <c r="L87" s="113">
        <f>ROUND(ROUND(H87,8)*J87,4)</f>
        <v>99.002499999999998</v>
      </c>
    </row>
    <row r="88" spans="1:12">
      <c r="A88" s="157" t="s">
        <v>484</v>
      </c>
      <c r="B88" s="281" t="s">
        <v>485</v>
      </c>
      <c r="C88" s="282"/>
      <c r="D88" s="282"/>
      <c r="E88" s="282"/>
      <c r="F88" s="283"/>
      <c r="G88" s="163" t="s">
        <v>382</v>
      </c>
      <c r="H88" s="244">
        <v>1</v>
      </c>
      <c r="I88" s="245"/>
      <c r="J88" s="290">
        <v>151.28440000000001</v>
      </c>
      <c r="K88" s="291"/>
      <c r="L88" s="113">
        <f>ROUND(ROUND(H88,8)*J88,4)</f>
        <v>151.28440000000001</v>
      </c>
    </row>
    <row r="89" spans="1:12">
      <c r="A89" s="114"/>
      <c r="B89" s="114"/>
      <c r="C89" s="114"/>
      <c r="D89" s="114"/>
      <c r="E89" s="114"/>
      <c r="F89" s="114"/>
      <c r="G89" s="114"/>
      <c r="H89" s="237" t="s">
        <v>442</v>
      </c>
      <c r="I89" s="237"/>
      <c r="J89" s="237"/>
      <c r="K89" s="237"/>
      <c r="L89" s="115">
        <f>SUM(L86:L88)</f>
        <v>399.29359999999997</v>
      </c>
    </row>
    <row r="90" spans="1:12">
      <c r="A90" s="242" t="s">
        <v>466</v>
      </c>
      <c r="B90" s="284"/>
      <c r="C90" s="284"/>
      <c r="D90" s="284"/>
      <c r="E90" s="284"/>
      <c r="F90" s="243"/>
      <c r="G90" s="111" t="s">
        <v>124</v>
      </c>
      <c r="H90" s="285" t="s">
        <v>428</v>
      </c>
      <c r="I90" s="286"/>
      <c r="J90" s="285" t="s">
        <v>126</v>
      </c>
      <c r="K90" s="286"/>
      <c r="L90" s="111" t="s">
        <v>438</v>
      </c>
    </row>
    <row r="91" spans="1:12">
      <c r="A91" s="157" t="s">
        <v>415</v>
      </c>
      <c r="B91" s="281" t="s">
        <v>486</v>
      </c>
      <c r="C91" s="282"/>
      <c r="D91" s="282"/>
      <c r="E91" s="282"/>
      <c r="F91" s="283"/>
      <c r="G91" s="163" t="s">
        <v>382</v>
      </c>
      <c r="H91" s="244">
        <v>1</v>
      </c>
      <c r="I91" s="245"/>
      <c r="J91" s="290">
        <f>L49</f>
        <v>18.86</v>
      </c>
      <c r="K91" s="291"/>
      <c r="L91" s="113">
        <f>ROUND(ROUND(H91,8)*J91,4)</f>
        <v>18.86</v>
      </c>
    </row>
    <row r="92" spans="1:12">
      <c r="A92" s="114"/>
      <c r="B92" s="114"/>
      <c r="C92" s="114"/>
      <c r="D92" s="114"/>
      <c r="E92" s="114"/>
      <c r="F92" s="114"/>
      <c r="G92" s="114"/>
      <c r="H92" s="237" t="s">
        <v>468</v>
      </c>
      <c r="I92" s="237"/>
      <c r="J92" s="237"/>
      <c r="K92" s="237"/>
      <c r="L92" s="115">
        <f>SUM(L91:L91)</f>
        <v>18.86</v>
      </c>
    </row>
    <row r="93" spans="1:12" s="159" customFormat="1" ht="15" customHeight="1">
      <c r="A93" s="292" t="s">
        <v>443</v>
      </c>
      <c r="B93" s="293"/>
      <c r="C93" s="293"/>
      <c r="D93" s="293"/>
      <c r="E93" s="294"/>
      <c r="F93" s="165" t="s">
        <v>132</v>
      </c>
      <c r="G93" s="168" t="s">
        <v>444</v>
      </c>
      <c r="H93" s="286" t="s">
        <v>428</v>
      </c>
      <c r="I93" s="259"/>
      <c r="J93" s="259" t="s">
        <v>126</v>
      </c>
      <c r="K93" s="259"/>
      <c r="L93" s="111" t="s">
        <v>438</v>
      </c>
    </row>
    <row r="94" spans="1:12" ht="15" customHeight="1">
      <c r="A94" s="166" t="s">
        <v>480</v>
      </c>
      <c r="B94" s="287" t="s">
        <v>487</v>
      </c>
      <c r="C94" s="288"/>
      <c r="D94" s="288"/>
      <c r="E94" s="289"/>
      <c r="F94" s="169" t="s">
        <v>446</v>
      </c>
      <c r="G94" s="167" t="s">
        <v>488</v>
      </c>
      <c r="H94" s="244">
        <v>1.1780000000000001E-2</v>
      </c>
      <c r="I94" s="245"/>
      <c r="J94" s="235">
        <v>34.19</v>
      </c>
      <c r="K94" s="236"/>
      <c r="L94" s="113">
        <f>ROUND(ROUND(H94,8)*J94,4)</f>
        <v>0.40279999999999999</v>
      </c>
    </row>
    <row r="95" spans="1:12" ht="15" customHeight="1">
      <c r="A95" s="166" t="s">
        <v>482</v>
      </c>
      <c r="B95" s="287" t="s">
        <v>489</v>
      </c>
      <c r="C95" s="288"/>
      <c r="D95" s="288"/>
      <c r="E95" s="289"/>
      <c r="F95" s="169" t="s">
        <v>446</v>
      </c>
      <c r="G95" s="167" t="s">
        <v>447</v>
      </c>
      <c r="H95" s="244">
        <v>1.9000000000000001E-4</v>
      </c>
      <c r="I95" s="245"/>
      <c r="J95" s="235">
        <v>33.54</v>
      </c>
      <c r="K95" s="236"/>
      <c r="L95" s="113">
        <f>ROUND(ROUND(H95,8)*J95,4)</f>
        <v>6.4000000000000003E-3</v>
      </c>
    </row>
    <row r="96" spans="1:12" ht="15" customHeight="1">
      <c r="A96" s="166" t="s">
        <v>484</v>
      </c>
      <c r="B96" s="287" t="s">
        <v>490</v>
      </c>
      <c r="C96" s="288"/>
      <c r="D96" s="288"/>
      <c r="E96" s="289"/>
      <c r="F96" s="169" t="s">
        <v>446</v>
      </c>
      <c r="G96" s="167" t="s">
        <v>447</v>
      </c>
      <c r="H96" s="244">
        <v>4.4000000000000002E-4</v>
      </c>
      <c r="I96" s="245"/>
      <c r="J96" s="235">
        <v>33.54</v>
      </c>
      <c r="K96" s="236"/>
      <c r="L96" s="113">
        <f>ROUND(ROUND(H96,8)*J96,4)</f>
        <v>1.4800000000000001E-2</v>
      </c>
    </row>
    <row r="97" spans="1:12">
      <c r="A97" s="114"/>
      <c r="B97" s="114"/>
      <c r="C97" s="114"/>
      <c r="D97" s="114"/>
      <c r="E97" s="114"/>
      <c r="F97" s="114"/>
      <c r="G97" s="114"/>
      <c r="H97" s="237" t="s">
        <v>448</v>
      </c>
      <c r="I97" s="237"/>
      <c r="J97" s="237"/>
      <c r="K97" s="237"/>
      <c r="L97" s="115">
        <f>SUM(L94:L96)</f>
        <v>0.42399999999999999</v>
      </c>
    </row>
    <row r="98" spans="1:12" ht="15" customHeight="1">
      <c r="A98" s="302" t="s">
        <v>449</v>
      </c>
      <c r="B98" s="303"/>
      <c r="C98" s="306" t="s">
        <v>450</v>
      </c>
      <c r="D98" s="307" t="s">
        <v>133</v>
      </c>
      <c r="E98" s="308"/>
      <c r="F98" s="292" t="s">
        <v>451</v>
      </c>
      <c r="G98" s="294"/>
      <c r="H98" s="311" t="s">
        <v>452</v>
      </c>
      <c r="I98" s="312"/>
      <c r="J98" s="311" t="s">
        <v>453</v>
      </c>
      <c r="K98" s="312"/>
      <c r="L98" s="298" t="s">
        <v>438</v>
      </c>
    </row>
    <row r="99" spans="1:12">
      <c r="A99" s="304"/>
      <c r="B99" s="305"/>
      <c r="C99" s="299"/>
      <c r="D99" s="309"/>
      <c r="E99" s="310"/>
      <c r="F99" s="168" t="s">
        <v>454</v>
      </c>
      <c r="G99" s="168" t="s">
        <v>455</v>
      </c>
      <c r="H99" s="168" t="s">
        <v>454</v>
      </c>
      <c r="I99" s="168" t="s">
        <v>455</v>
      </c>
      <c r="J99" s="168" t="s">
        <v>454</v>
      </c>
      <c r="K99" s="168" t="s">
        <v>455</v>
      </c>
      <c r="L99" s="299"/>
    </row>
    <row r="100" spans="1:12" ht="15" customHeight="1">
      <c r="A100" s="166" t="s">
        <v>480</v>
      </c>
      <c r="B100" s="166" t="s">
        <v>487</v>
      </c>
      <c r="C100" s="166" t="s">
        <v>456</v>
      </c>
      <c r="D100" s="300">
        <v>1.1780000000000001E-2</v>
      </c>
      <c r="E100" s="301"/>
      <c r="F100" s="189">
        <v>0</v>
      </c>
      <c r="G100" s="189">
        <v>1.1000000000000001</v>
      </c>
      <c r="H100" s="189">
        <v>0</v>
      </c>
      <c r="I100" s="189">
        <v>0.88</v>
      </c>
      <c r="J100" s="189">
        <v>0</v>
      </c>
      <c r="K100" s="189">
        <v>0.72</v>
      </c>
      <c r="L100" s="113">
        <f>ROUND(D100*(ROUND(F100*G100,4)+ROUND(H100*I100,4)+ROUND(J100*K100,4)),4)</f>
        <v>0</v>
      </c>
    </row>
    <row r="101" spans="1:12" ht="15" customHeight="1">
      <c r="A101" s="166" t="s">
        <v>482</v>
      </c>
      <c r="B101" s="166" t="s">
        <v>489</v>
      </c>
      <c r="C101" s="166" t="s">
        <v>456</v>
      </c>
      <c r="D101" s="300">
        <v>1.9000000000000001E-4</v>
      </c>
      <c r="E101" s="301"/>
      <c r="F101" s="189">
        <v>0</v>
      </c>
      <c r="G101" s="189">
        <v>1.1000000000000001</v>
      </c>
      <c r="H101" s="189">
        <v>0</v>
      </c>
      <c r="I101" s="189">
        <v>0.88</v>
      </c>
      <c r="J101" s="189">
        <v>0</v>
      </c>
      <c r="K101" s="189">
        <v>0.72</v>
      </c>
      <c r="L101" s="113">
        <f>ROUND(D101*(ROUND(F101*G101,4)+ROUND(H101*I101,4)+ROUND(J101*K101,4)),4)</f>
        <v>0</v>
      </c>
    </row>
    <row r="102" spans="1:12" ht="15" customHeight="1">
      <c r="A102" s="166" t="s">
        <v>484</v>
      </c>
      <c r="B102" s="166" t="s">
        <v>490</v>
      </c>
      <c r="C102" s="166" t="s">
        <v>456</v>
      </c>
      <c r="D102" s="300">
        <v>4.4000000000000002E-4</v>
      </c>
      <c r="E102" s="301"/>
      <c r="F102" s="189">
        <v>0</v>
      </c>
      <c r="G102" s="189">
        <v>1.1000000000000001</v>
      </c>
      <c r="H102" s="189">
        <v>0</v>
      </c>
      <c r="I102" s="189">
        <v>0.88</v>
      </c>
      <c r="J102" s="189">
        <v>0</v>
      </c>
      <c r="K102" s="189">
        <v>0.72</v>
      </c>
      <c r="L102" s="113">
        <f>ROUND(D102*(ROUND(F102*G102,4)+ROUND(H102*I102,4)+ROUND(J102*K102,4)),4)</f>
        <v>0</v>
      </c>
    </row>
    <row r="103" spans="1:12">
      <c r="A103" s="114"/>
      <c r="B103" s="114"/>
      <c r="C103" s="114"/>
      <c r="D103" s="114"/>
      <c r="E103" s="114"/>
      <c r="F103" s="114"/>
      <c r="G103" s="114"/>
      <c r="H103" s="237" t="s">
        <v>457</v>
      </c>
      <c r="I103" s="237"/>
      <c r="J103" s="237"/>
      <c r="K103" s="237"/>
      <c r="L103" s="115">
        <f>SUM(L100:L102)</f>
        <v>0</v>
      </c>
    </row>
    <row r="104" spans="1:12">
      <c r="A104" s="114"/>
      <c r="B104" s="114"/>
      <c r="C104" s="114"/>
      <c r="D104" s="114"/>
      <c r="E104" s="114"/>
      <c r="F104" s="114"/>
      <c r="G104" s="114"/>
      <c r="H104" s="237" t="s">
        <v>458</v>
      </c>
      <c r="I104" s="237"/>
      <c r="J104" s="237"/>
      <c r="K104" s="237"/>
      <c r="L104" s="115">
        <f>SUM(L84,L89,L92,L97,L103)</f>
        <v>465.02159999999998</v>
      </c>
    </row>
    <row r="105" spans="1:12" ht="15" customHeight="1">
      <c r="A105" s="295" t="s">
        <v>501</v>
      </c>
      <c r="B105" s="296"/>
      <c r="C105" s="296"/>
      <c r="D105" s="296"/>
      <c r="E105" s="296"/>
      <c r="F105" s="296"/>
      <c r="G105" s="297"/>
      <c r="H105" s="237" t="s">
        <v>400</v>
      </c>
      <c r="I105" s="237"/>
      <c r="J105" s="237"/>
      <c r="K105" s="237"/>
      <c r="L105" s="115">
        <f>L104</f>
        <v>465.02159999999998</v>
      </c>
    </row>
    <row r="106" spans="1:12" ht="15.75" customHeight="1">
      <c r="A106" s="162"/>
      <c r="B106" s="162"/>
      <c r="C106" s="162"/>
      <c r="D106" s="162"/>
      <c r="E106" s="162"/>
      <c r="F106" s="162"/>
      <c r="G106" s="162"/>
      <c r="H106" s="170"/>
      <c r="I106" s="170"/>
      <c r="J106" s="170"/>
      <c r="K106" s="170"/>
      <c r="L106" s="171"/>
    </row>
  </sheetData>
  <mergeCells count="253">
    <mergeCell ref="A4:B4"/>
    <mergeCell ref="C4:F4"/>
    <mergeCell ref="H4:L4"/>
    <mergeCell ref="A5:B5"/>
    <mergeCell ref="C5:F5"/>
    <mergeCell ref="H5:L5"/>
    <mergeCell ref="A1:F2"/>
    <mergeCell ref="G1:L1"/>
    <mergeCell ref="G2:L2"/>
    <mergeCell ref="A3:B3"/>
    <mergeCell ref="C3:F3"/>
    <mergeCell ref="H3:L3"/>
    <mergeCell ref="B9:C9"/>
    <mergeCell ref="D9:F9"/>
    <mergeCell ref="H9:I9"/>
    <mergeCell ref="J9:K9"/>
    <mergeCell ref="B10:C10"/>
    <mergeCell ref="D10:F10"/>
    <mergeCell ref="H10:I10"/>
    <mergeCell ref="J10:K10"/>
    <mergeCell ref="A6:L6"/>
    <mergeCell ref="A7:L7"/>
    <mergeCell ref="B8:C8"/>
    <mergeCell ref="D8:F8"/>
    <mergeCell ref="H8:I8"/>
    <mergeCell ref="J8:K8"/>
    <mergeCell ref="B19:C19"/>
    <mergeCell ref="D19:F19"/>
    <mergeCell ref="H19:I19"/>
    <mergeCell ref="J19:K19"/>
    <mergeCell ref="B20:C20"/>
    <mergeCell ref="D20:F20"/>
    <mergeCell ref="H20:I20"/>
    <mergeCell ref="J20:K20"/>
    <mergeCell ref="H15:K15"/>
    <mergeCell ref="H16:L16"/>
    <mergeCell ref="A17:L17"/>
    <mergeCell ref="B18:C18"/>
    <mergeCell ref="D18:F18"/>
    <mergeCell ref="H18:I18"/>
    <mergeCell ref="J18:K18"/>
    <mergeCell ref="H23:K23"/>
    <mergeCell ref="A50:L50"/>
    <mergeCell ref="L26:L27"/>
    <mergeCell ref="H27:I27"/>
    <mergeCell ref="J27:K27"/>
    <mergeCell ref="B28:C28"/>
    <mergeCell ref="B21:C21"/>
    <mergeCell ref="D21:F21"/>
    <mergeCell ref="H21:I21"/>
    <mergeCell ref="J21:K21"/>
    <mergeCell ref="B22:C22"/>
    <mergeCell ref="D22:F22"/>
    <mergeCell ref="H22:I22"/>
    <mergeCell ref="J22:K22"/>
    <mergeCell ref="D28:E28"/>
    <mergeCell ref="H28:I28"/>
    <mergeCell ref="J28:K28"/>
    <mergeCell ref="B29:C29"/>
    <mergeCell ref="D29:E29"/>
    <mergeCell ref="H29:I29"/>
    <mergeCell ref="J29:K29"/>
    <mergeCell ref="A25:L25"/>
    <mergeCell ref="A26:C27"/>
    <mergeCell ref="D26:E27"/>
    <mergeCell ref="B13:C13"/>
    <mergeCell ref="D13:F13"/>
    <mergeCell ref="H13:I13"/>
    <mergeCell ref="J13:K13"/>
    <mergeCell ref="B14:C14"/>
    <mergeCell ref="D14:F14"/>
    <mergeCell ref="H14:I14"/>
    <mergeCell ref="J14:K14"/>
    <mergeCell ref="B11:C11"/>
    <mergeCell ref="D11:F11"/>
    <mergeCell ref="H11:I11"/>
    <mergeCell ref="J11:K11"/>
    <mergeCell ref="B12:C12"/>
    <mergeCell ref="D12:F12"/>
    <mergeCell ref="H12:I12"/>
    <mergeCell ref="J12:K12"/>
    <mergeCell ref="F26:G26"/>
    <mergeCell ref="H26:K26"/>
    <mergeCell ref="H40:K40"/>
    <mergeCell ref="H41:I41"/>
    <mergeCell ref="J41:K41"/>
    <mergeCell ref="H30:K30"/>
    <mergeCell ref="A31:F31"/>
    <mergeCell ref="H31:I31"/>
    <mergeCell ref="J31:K31"/>
    <mergeCell ref="B32:F32"/>
    <mergeCell ref="B33:F33"/>
    <mergeCell ref="H34:K34"/>
    <mergeCell ref="H36:K36"/>
    <mergeCell ref="H37:K37"/>
    <mergeCell ref="A38:F38"/>
    <mergeCell ref="H38:I38"/>
    <mergeCell ref="J38:K38"/>
    <mergeCell ref="H39:I39"/>
    <mergeCell ref="J39:K39"/>
    <mergeCell ref="B39:F39"/>
    <mergeCell ref="H35:K35"/>
    <mergeCell ref="H32:I32"/>
    <mergeCell ref="J32:K32"/>
    <mergeCell ref="H33:I33"/>
    <mergeCell ref="J33:K33"/>
    <mergeCell ref="A49:G49"/>
    <mergeCell ref="A41:E41"/>
    <mergeCell ref="L44:L45"/>
    <mergeCell ref="D46:E46"/>
    <mergeCell ref="H47:K47"/>
    <mergeCell ref="H48:K48"/>
    <mergeCell ref="H49:K49"/>
    <mergeCell ref="A44:B45"/>
    <mergeCell ref="C44:C45"/>
    <mergeCell ref="D44:E45"/>
    <mergeCell ref="F44:G44"/>
    <mergeCell ref="H44:I44"/>
    <mergeCell ref="J44:K44"/>
    <mergeCell ref="H42:I42"/>
    <mergeCell ref="J42:K42"/>
    <mergeCell ref="H43:K43"/>
    <mergeCell ref="B42:E42"/>
    <mergeCell ref="L51:L52"/>
    <mergeCell ref="D53:E53"/>
    <mergeCell ref="A55:F55"/>
    <mergeCell ref="H55:I55"/>
    <mergeCell ref="J55:K55"/>
    <mergeCell ref="B56:F56"/>
    <mergeCell ref="H56:I56"/>
    <mergeCell ref="J56:K56"/>
    <mergeCell ref="A51:C52"/>
    <mergeCell ref="D51:E52"/>
    <mergeCell ref="F51:G51"/>
    <mergeCell ref="H51:K51"/>
    <mergeCell ref="B53:C53"/>
    <mergeCell ref="H53:I53"/>
    <mergeCell ref="J53:K53"/>
    <mergeCell ref="H54:K54"/>
    <mergeCell ref="H52:I52"/>
    <mergeCell ref="J52:K52"/>
    <mergeCell ref="H61:K61"/>
    <mergeCell ref="A62:F62"/>
    <mergeCell ref="H62:I62"/>
    <mergeCell ref="J62:K62"/>
    <mergeCell ref="B63:F63"/>
    <mergeCell ref="H63:I63"/>
    <mergeCell ref="J63:K63"/>
    <mergeCell ref="B57:F57"/>
    <mergeCell ref="H57:I57"/>
    <mergeCell ref="J57:K57"/>
    <mergeCell ref="H58:K58"/>
    <mergeCell ref="H59:K59"/>
    <mergeCell ref="H60:K60"/>
    <mergeCell ref="A68:C69"/>
    <mergeCell ref="D68:E69"/>
    <mergeCell ref="F68:G68"/>
    <mergeCell ref="H68:K68"/>
    <mergeCell ref="L68:L69"/>
    <mergeCell ref="H69:I69"/>
    <mergeCell ref="J69:K69"/>
    <mergeCell ref="H64:K64"/>
    <mergeCell ref="H65:K65"/>
    <mergeCell ref="H66:K66"/>
    <mergeCell ref="A67:L67"/>
    <mergeCell ref="B72:C72"/>
    <mergeCell ref="D72:E72"/>
    <mergeCell ref="H72:I72"/>
    <mergeCell ref="J72:K72"/>
    <mergeCell ref="B73:C73"/>
    <mergeCell ref="D73:E73"/>
    <mergeCell ref="H73:I73"/>
    <mergeCell ref="J73:K73"/>
    <mergeCell ref="B70:C70"/>
    <mergeCell ref="D70:E70"/>
    <mergeCell ref="H70:I70"/>
    <mergeCell ref="J70:K70"/>
    <mergeCell ref="B71:C71"/>
    <mergeCell ref="D71:E71"/>
    <mergeCell ref="H71:I71"/>
    <mergeCell ref="J71:K71"/>
    <mergeCell ref="B77:F77"/>
    <mergeCell ref="H77:I77"/>
    <mergeCell ref="J77:K77"/>
    <mergeCell ref="B78:F78"/>
    <mergeCell ref="H78:I78"/>
    <mergeCell ref="J78:K78"/>
    <mergeCell ref="B74:C74"/>
    <mergeCell ref="D74:E74"/>
    <mergeCell ref="H74:I74"/>
    <mergeCell ref="J74:K74"/>
    <mergeCell ref="H75:K75"/>
    <mergeCell ref="A76:F76"/>
    <mergeCell ref="H76:I76"/>
    <mergeCell ref="J76:K76"/>
    <mergeCell ref="B88:F88"/>
    <mergeCell ref="H88:I88"/>
    <mergeCell ref="J88:K88"/>
    <mergeCell ref="B79:F79"/>
    <mergeCell ref="H79:I79"/>
    <mergeCell ref="J79:K79"/>
    <mergeCell ref="B80:F80"/>
    <mergeCell ref="H80:I80"/>
    <mergeCell ref="J80:K80"/>
    <mergeCell ref="B87:F87"/>
    <mergeCell ref="H87:I87"/>
    <mergeCell ref="J87:K87"/>
    <mergeCell ref="H81:K81"/>
    <mergeCell ref="H82:K82"/>
    <mergeCell ref="H83:K83"/>
    <mergeCell ref="H84:K84"/>
    <mergeCell ref="A85:F85"/>
    <mergeCell ref="H85:I85"/>
    <mergeCell ref="J85:K85"/>
    <mergeCell ref="A105:G105"/>
    <mergeCell ref="H105:K105"/>
    <mergeCell ref="A66:G66"/>
    <mergeCell ref="L98:L99"/>
    <mergeCell ref="D100:E100"/>
    <mergeCell ref="D101:E101"/>
    <mergeCell ref="D102:E102"/>
    <mergeCell ref="H103:K103"/>
    <mergeCell ref="H104:K104"/>
    <mergeCell ref="A98:B99"/>
    <mergeCell ref="C98:C99"/>
    <mergeCell ref="D98:E99"/>
    <mergeCell ref="F98:G98"/>
    <mergeCell ref="H98:I98"/>
    <mergeCell ref="J98:K98"/>
    <mergeCell ref="H96:I96"/>
    <mergeCell ref="J96:K96"/>
    <mergeCell ref="H97:K97"/>
    <mergeCell ref="H94:I94"/>
    <mergeCell ref="B94:E94"/>
    <mergeCell ref="B95:E95"/>
    <mergeCell ref="B86:F86"/>
    <mergeCell ref="H86:I86"/>
    <mergeCell ref="J86:K86"/>
    <mergeCell ref="J94:K94"/>
    <mergeCell ref="H95:I95"/>
    <mergeCell ref="J95:K95"/>
    <mergeCell ref="B91:F91"/>
    <mergeCell ref="H89:K89"/>
    <mergeCell ref="A90:F90"/>
    <mergeCell ref="H90:I90"/>
    <mergeCell ref="J90:K90"/>
    <mergeCell ref="B96:E96"/>
    <mergeCell ref="H91:I91"/>
    <mergeCell ref="J91:K91"/>
    <mergeCell ref="H92:K92"/>
    <mergeCell ref="H93:I93"/>
    <mergeCell ref="J93:K93"/>
    <mergeCell ref="A93:E93"/>
  </mergeCells>
  <pageMargins left="0.78740157480314965" right="0.51181102362204722" top="0.51181102362204722" bottom="0.51181102362204722" header="0" footer="0"/>
  <pageSetup paperSize="9" scale="8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outlinePr summaryBelow="0"/>
    <pageSetUpPr fitToPage="1"/>
  </sheetPr>
  <dimension ref="A1:K388"/>
  <sheetViews>
    <sheetView view="pageBreakPreview" topLeftCell="A379" zoomScale="130" zoomScaleNormal="130" zoomScaleSheetLayoutView="130" workbookViewId="0">
      <selection activeCell="F5" sqref="F5:J5"/>
    </sheetView>
  </sheetViews>
  <sheetFormatPr defaultColWidth="9.109375" defaultRowHeight="14.4"/>
  <cols>
    <col min="1" max="1" width="14.109375" style="17" customWidth="1"/>
    <col min="2" max="2" width="9.44140625" style="17" customWidth="1"/>
    <col min="3" max="3" width="14.44140625" style="17" customWidth="1"/>
    <col min="4" max="4" width="8.88671875" style="17" customWidth="1"/>
    <col min="5" max="5" width="14.109375" style="17" customWidth="1"/>
    <col min="6" max="9" width="8.88671875" style="17" customWidth="1"/>
    <col min="10" max="10" width="11.44140625" style="17" bestFit="1" customWidth="1"/>
    <col min="11" max="11" width="12.44140625" style="17" bestFit="1" customWidth="1"/>
    <col min="12" max="16384" width="9.109375" style="17"/>
  </cols>
  <sheetData>
    <row r="1" spans="1:11">
      <c r="A1" s="355"/>
      <c r="B1" s="356"/>
      <c r="C1" s="356"/>
      <c r="D1" s="356"/>
      <c r="E1" s="197" t="s">
        <v>0</v>
      </c>
      <c r="F1" s="197"/>
      <c r="G1" s="197"/>
      <c r="H1" s="197"/>
      <c r="I1" s="197"/>
      <c r="J1" s="197"/>
    </row>
    <row r="2" spans="1:11" ht="95.85" customHeight="1">
      <c r="A2" s="356"/>
      <c r="B2" s="356"/>
      <c r="C2" s="356"/>
      <c r="D2" s="356"/>
      <c r="E2" s="198" t="s">
        <v>247</v>
      </c>
      <c r="F2" s="198"/>
      <c r="G2" s="198"/>
      <c r="H2" s="198"/>
      <c r="I2" s="198"/>
      <c r="J2" s="198"/>
    </row>
    <row r="3" spans="1:11" ht="24" customHeight="1">
      <c r="A3" s="103" t="s">
        <v>117</v>
      </c>
      <c r="B3" s="348" t="s">
        <v>248</v>
      </c>
      <c r="C3" s="349"/>
      <c r="D3" s="350"/>
      <c r="E3" s="47" t="s">
        <v>2</v>
      </c>
      <c r="F3" s="199" t="s">
        <v>250</v>
      </c>
      <c r="G3" s="199"/>
      <c r="H3" s="199"/>
      <c r="I3" s="199"/>
      <c r="J3" s="199"/>
    </row>
    <row r="4" spans="1:11" ht="24" customHeight="1">
      <c r="A4" s="103" t="s">
        <v>118</v>
      </c>
      <c r="B4" s="348" t="s">
        <v>1</v>
      </c>
      <c r="C4" s="349"/>
      <c r="D4" s="350"/>
      <c r="E4" s="47" t="s">
        <v>3</v>
      </c>
      <c r="F4" s="199" t="s">
        <v>495</v>
      </c>
      <c r="G4" s="199"/>
      <c r="H4" s="199"/>
      <c r="I4" s="199"/>
      <c r="J4" s="199"/>
    </row>
    <row r="5" spans="1:11" ht="20.399999999999999">
      <c r="A5" s="103" t="s">
        <v>119</v>
      </c>
      <c r="B5" s="351">
        <v>46001</v>
      </c>
      <c r="C5" s="352"/>
      <c r="D5" s="353"/>
      <c r="E5" s="47" t="s">
        <v>120</v>
      </c>
      <c r="F5" s="206" t="s">
        <v>512</v>
      </c>
      <c r="G5" s="206"/>
      <c r="H5" s="206"/>
      <c r="I5" s="206"/>
      <c r="J5" s="206"/>
    </row>
    <row r="6" spans="1:11">
      <c r="A6" s="354" t="s">
        <v>158</v>
      </c>
      <c r="B6" s="354"/>
      <c r="C6" s="354"/>
      <c r="D6" s="354"/>
      <c r="E6" s="354"/>
      <c r="F6" s="354"/>
      <c r="G6" s="354"/>
      <c r="H6" s="354"/>
      <c r="I6" s="354"/>
      <c r="J6" s="354"/>
    </row>
    <row r="7" spans="1:11">
      <c r="A7" s="327" t="s">
        <v>157</v>
      </c>
      <c r="B7" s="327"/>
      <c r="C7" s="327"/>
      <c r="D7" s="327"/>
      <c r="E7" s="327"/>
      <c r="F7" s="327"/>
      <c r="G7" s="327"/>
      <c r="H7" s="327"/>
      <c r="I7" s="327"/>
      <c r="J7" s="327"/>
    </row>
    <row r="8" spans="1:11">
      <c r="A8" s="25"/>
      <c r="B8" s="25"/>
      <c r="C8" s="25"/>
      <c r="D8" s="25"/>
      <c r="E8" s="25"/>
      <c r="F8" s="25"/>
      <c r="G8" s="25"/>
      <c r="H8" s="25"/>
      <c r="I8" s="25"/>
      <c r="J8" s="25"/>
    </row>
    <row r="9" spans="1:11" ht="25.5" customHeight="1">
      <c r="A9" s="77" t="s">
        <v>103</v>
      </c>
      <c r="B9" s="77" t="s">
        <v>261</v>
      </c>
      <c r="C9" s="332" t="s">
        <v>262</v>
      </c>
      <c r="D9" s="332"/>
      <c r="E9" s="332"/>
      <c r="F9" s="332"/>
      <c r="G9" s="332"/>
      <c r="H9" s="332"/>
      <c r="I9" s="332"/>
      <c r="J9" s="78">
        <f>ROUND(SUM(E12),2)</f>
        <v>1</v>
      </c>
      <c r="K9" s="183" t="s">
        <v>339</v>
      </c>
    </row>
    <row r="10" spans="1:11" ht="15" customHeight="1">
      <c r="A10" s="333"/>
      <c r="B10" s="333"/>
      <c r="C10" s="333"/>
      <c r="D10" s="76" t="s">
        <v>132</v>
      </c>
      <c r="E10" s="76" t="s">
        <v>142</v>
      </c>
      <c r="F10" s="25"/>
      <c r="G10" s="25"/>
      <c r="H10" s="25"/>
      <c r="I10" s="25"/>
      <c r="J10" s="25"/>
    </row>
    <row r="11" spans="1:11" ht="61.5" customHeight="1">
      <c r="A11" s="330" t="s">
        <v>506</v>
      </c>
      <c r="B11" s="330"/>
      <c r="C11" s="75" t="s">
        <v>144</v>
      </c>
      <c r="D11" s="74">
        <v>1</v>
      </c>
      <c r="E11" s="73">
        <f>ROUND(D11,2)</f>
        <v>1</v>
      </c>
      <c r="F11" s="25"/>
      <c r="G11" s="25"/>
      <c r="H11" s="25"/>
      <c r="I11" s="25"/>
      <c r="J11" s="25"/>
    </row>
    <row r="12" spans="1:11" ht="15" customHeight="1">
      <c r="A12" s="331"/>
      <c r="B12" s="331"/>
      <c r="C12" s="72"/>
      <c r="D12" s="71"/>
      <c r="E12" s="70">
        <f>ROUND(SUM(E11:E11),2)</f>
        <v>1</v>
      </c>
      <c r="F12" s="25"/>
      <c r="G12" s="25"/>
      <c r="H12" s="25"/>
      <c r="I12" s="25"/>
      <c r="J12" s="25"/>
    </row>
    <row r="13" spans="1:11" ht="9.9" customHeight="1">
      <c r="A13" s="328"/>
      <c r="B13" s="328"/>
      <c r="C13" s="328"/>
      <c r="D13" s="328"/>
      <c r="E13" s="25"/>
      <c r="F13" s="25"/>
      <c r="G13" s="25"/>
      <c r="H13" s="25"/>
      <c r="I13" s="25"/>
      <c r="J13" s="25"/>
    </row>
    <row r="14" spans="1:11" ht="12" customHeight="1">
      <c r="A14" s="25"/>
      <c r="B14" s="25"/>
      <c r="C14" s="25"/>
      <c r="D14" s="25"/>
      <c r="E14" s="323" t="str">
        <f>"TOTAL DA MEMÓRIA DE CÁLCULO: "&amp;TEXT(J9,"0,00")</f>
        <v>TOTAL DA MEMÓRIA DE CÁLCULO: 1,00</v>
      </c>
      <c r="F14" s="323"/>
      <c r="G14" s="323"/>
      <c r="H14" s="323"/>
      <c r="I14" s="323"/>
      <c r="J14" s="323"/>
    </row>
    <row r="15" spans="1:11" ht="9.9" customHeight="1">
      <c r="A15" s="328"/>
      <c r="B15" s="328"/>
      <c r="C15" s="328"/>
      <c r="D15" s="328"/>
      <c r="E15" s="328"/>
      <c r="F15" s="25"/>
      <c r="G15" s="25"/>
      <c r="H15" s="25"/>
      <c r="I15" s="25"/>
      <c r="J15" s="25"/>
    </row>
    <row r="16" spans="1:11">
      <c r="A16" s="327" t="s">
        <v>156</v>
      </c>
      <c r="B16" s="327"/>
      <c r="C16" s="327"/>
      <c r="D16" s="327"/>
      <c r="E16" s="327"/>
      <c r="F16" s="327"/>
      <c r="G16" s="327"/>
      <c r="H16" s="327"/>
      <c r="I16" s="327"/>
      <c r="J16" s="327"/>
    </row>
    <row r="17" spans="1:11" ht="9.9" customHeight="1">
      <c r="A17" s="328"/>
      <c r="B17" s="328"/>
      <c r="C17" s="328"/>
      <c r="D17" s="328"/>
      <c r="E17" s="25"/>
      <c r="F17" s="25"/>
      <c r="G17" s="25"/>
      <c r="H17" s="25"/>
      <c r="I17" s="25"/>
      <c r="J17" s="25"/>
    </row>
    <row r="18" spans="1:11" ht="30.9" customHeight="1">
      <c r="A18" s="77" t="s">
        <v>101</v>
      </c>
      <c r="B18" s="77">
        <v>103689</v>
      </c>
      <c r="C18" s="332" t="s">
        <v>155</v>
      </c>
      <c r="D18" s="332"/>
      <c r="E18" s="332"/>
      <c r="F18" s="332"/>
      <c r="G18" s="332"/>
      <c r="H18" s="332"/>
      <c r="I18" s="332"/>
      <c r="J18" s="78">
        <f>ROUND(SUM(F21),2)</f>
        <v>5.63</v>
      </c>
      <c r="K18" s="183" t="s">
        <v>339</v>
      </c>
    </row>
    <row r="19" spans="1:11" ht="15" customHeight="1">
      <c r="A19" s="333"/>
      <c r="B19" s="333"/>
      <c r="C19" s="333"/>
      <c r="D19" s="76" t="s">
        <v>148</v>
      </c>
      <c r="E19" s="79" t="s">
        <v>143</v>
      </c>
      <c r="F19" s="76" t="s">
        <v>142</v>
      </c>
      <c r="G19" s="25"/>
      <c r="H19" s="25"/>
      <c r="I19" s="25"/>
      <c r="J19" s="25"/>
    </row>
    <row r="20" spans="1:11" ht="15.6">
      <c r="A20" s="330" t="s">
        <v>507</v>
      </c>
      <c r="B20" s="330"/>
      <c r="C20" s="75" t="s">
        <v>154</v>
      </c>
      <c r="D20" s="74">
        <v>1.5</v>
      </c>
      <c r="E20" s="74">
        <v>3.75</v>
      </c>
      <c r="F20" s="73">
        <f>ROUND(D20 * E20,2)</f>
        <v>5.63</v>
      </c>
      <c r="G20" s="25"/>
      <c r="H20" s="25"/>
      <c r="I20" s="25"/>
      <c r="J20" s="25"/>
    </row>
    <row r="21" spans="1:11" ht="15" customHeight="1">
      <c r="A21" s="331"/>
      <c r="B21" s="331"/>
      <c r="C21" s="72"/>
      <c r="D21" s="71"/>
      <c r="E21" s="71"/>
      <c r="F21" s="70">
        <f>ROUND(SUM(F20:F20),2)</f>
        <v>5.63</v>
      </c>
      <c r="G21" s="25"/>
      <c r="H21" s="25"/>
      <c r="I21" s="25"/>
      <c r="J21" s="25"/>
    </row>
    <row r="22" spans="1:11" ht="9.9" customHeight="1">
      <c r="A22" s="328"/>
      <c r="B22" s="328"/>
      <c r="C22" s="328"/>
      <c r="D22" s="328"/>
      <c r="E22" s="25"/>
      <c r="F22" s="25"/>
      <c r="G22" s="25"/>
      <c r="H22" s="25"/>
      <c r="I22" s="25"/>
      <c r="J22" s="25"/>
    </row>
    <row r="23" spans="1:11" ht="12" customHeight="1">
      <c r="A23" s="25"/>
      <c r="B23" s="25"/>
      <c r="C23" s="25"/>
      <c r="D23" s="25"/>
      <c r="E23" s="323" t="str">
        <f>"TOTAL DA MEMÓRIA DE CÁLCULO: "&amp;TEXT(J18,"0,00")</f>
        <v>TOTAL DA MEMÓRIA DE CÁLCULO: 5,63</v>
      </c>
      <c r="F23" s="323"/>
      <c r="G23" s="323"/>
      <c r="H23" s="323"/>
      <c r="I23" s="323"/>
      <c r="J23" s="323"/>
    </row>
    <row r="24" spans="1:11" ht="9.9" customHeight="1">
      <c r="A24" s="328"/>
      <c r="B24" s="328"/>
      <c r="C24" s="328"/>
      <c r="D24" s="328"/>
      <c r="E24" s="328"/>
      <c r="F24" s="25"/>
      <c r="G24" s="25"/>
      <c r="H24" s="25"/>
      <c r="I24" s="25"/>
      <c r="J24" s="25"/>
    </row>
    <row r="25" spans="1:11">
      <c r="A25" s="327" t="s">
        <v>254</v>
      </c>
      <c r="B25" s="327"/>
      <c r="C25" s="327"/>
      <c r="D25" s="327"/>
      <c r="E25" s="327"/>
      <c r="F25" s="327"/>
      <c r="G25" s="327"/>
      <c r="H25" s="327"/>
      <c r="I25" s="327"/>
      <c r="J25" s="327"/>
    </row>
    <row r="26" spans="1:11" ht="9.9" customHeight="1">
      <c r="A26" s="328"/>
      <c r="B26" s="328"/>
      <c r="C26" s="328"/>
      <c r="D26" s="328"/>
      <c r="E26" s="25"/>
      <c r="F26" s="25"/>
      <c r="G26" s="25"/>
      <c r="H26" s="25"/>
      <c r="I26" s="25"/>
      <c r="J26" s="25"/>
    </row>
    <row r="27" spans="1:11">
      <c r="A27" s="327" t="s">
        <v>255</v>
      </c>
      <c r="B27" s="327"/>
      <c r="C27" s="327"/>
      <c r="D27" s="327"/>
      <c r="E27" s="327"/>
      <c r="F27" s="327"/>
      <c r="G27" s="327"/>
      <c r="H27" s="327"/>
      <c r="I27" s="327"/>
      <c r="J27" s="327"/>
    </row>
    <row r="28" spans="1:11" ht="9.9" customHeight="1">
      <c r="A28" s="328"/>
      <c r="B28" s="328"/>
      <c r="C28" s="328"/>
      <c r="D28" s="328"/>
      <c r="E28" s="25"/>
      <c r="F28" s="25"/>
      <c r="G28" s="25"/>
      <c r="H28" s="25"/>
      <c r="I28" s="25"/>
      <c r="J28" s="25"/>
    </row>
    <row r="29" spans="1:11">
      <c r="A29" s="327" t="s">
        <v>256</v>
      </c>
      <c r="B29" s="327"/>
      <c r="C29" s="327"/>
      <c r="D29" s="327"/>
      <c r="E29" s="327"/>
      <c r="F29" s="327"/>
      <c r="G29" s="327"/>
      <c r="H29" s="327"/>
      <c r="I29" s="327"/>
      <c r="J29" s="327"/>
    </row>
    <row r="30" spans="1:11" ht="9.9" customHeight="1">
      <c r="A30" s="328"/>
      <c r="B30" s="328"/>
      <c r="C30" s="328"/>
      <c r="D30" s="328"/>
      <c r="E30" s="25"/>
      <c r="F30" s="25"/>
      <c r="G30" s="25"/>
      <c r="H30" s="25"/>
      <c r="I30" s="25"/>
      <c r="J30" s="25"/>
    </row>
    <row r="31" spans="1:11" ht="54.9" customHeight="1">
      <c r="A31" s="77" t="s">
        <v>96</v>
      </c>
      <c r="B31" s="77" t="s">
        <v>152</v>
      </c>
      <c r="C31" s="332" t="s">
        <v>151</v>
      </c>
      <c r="D31" s="332"/>
      <c r="E31" s="332"/>
      <c r="F31" s="332"/>
      <c r="G31" s="332"/>
      <c r="H31" s="332"/>
      <c r="I31" s="332"/>
      <c r="J31" s="78">
        <f>ROUND(SUM(F36),2)</f>
        <v>1784.37</v>
      </c>
      <c r="K31" s="183" t="s">
        <v>369</v>
      </c>
    </row>
    <row r="32" spans="1:11" ht="15" customHeight="1">
      <c r="A32" s="333"/>
      <c r="B32" s="333"/>
      <c r="C32" s="333"/>
      <c r="D32" s="79" t="s">
        <v>143</v>
      </c>
      <c r="E32" s="76" t="s">
        <v>146</v>
      </c>
      <c r="F32" s="76" t="s">
        <v>142</v>
      </c>
      <c r="G32" s="25"/>
      <c r="H32" s="25"/>
      <c r="I32" s="25"/>
      <c r="J32" s="25"/>
    </row>
    <row r="33" spans="1:11">
      <c r="A33" s="330" t="s">
        <v>290</v>
      </c>
      <c r="B33" s="330"/>
      <c r="C33" s="75" t="s">
        <v>150</v>
      </c>
      <c r="D33" s="74">
        <v>894.68</v>
      </c>
      <c r="E33" s="74">
        <v>2</v>
      </c>
      <c r="F33" s="73">
        <f>ROUND(D33 * E33,2)</f>
        <v>1789.36</v>
      </c>
      <c r="G33" s="25"/>
      <c r="H33" s="25"/>
      <c r="I33" s="25"/>
      <c r="J33" s="25"/>
    </row>
    <row r="34" spans="1:11">
      <c r="A34" s="330" t="s">
        <v>257</v>
      </c>
      <c r="B34" s="330"/>
      <c r="C34" s="75" t="s">
        <v>150</v>
      </c>
      <c r="D34" s="74">
        <v>5</v>
      </c>
      <c r="E34" s="74">
        <v>1</v>
      </c>
      <c r="F34" s="73">
        <f>ROUND(D34 * E34,2)</f>
        <v>5</v>
      </c>
      <c r="G34" s="25"/>
      <c r="H34" s="25"/>
      <c r="I34" s="25"/>
      <c r="J34" s="25"/>
    </row>
    <row r="35" spans="1:11">
      <c r="A35" s="330" t="s">
        <v>370</v>
      </c>
      <c r="B35" s="330"/>
      <c r="C35" s="75" t="s">
        <v>150</v>
      </c>
      <c r="D35" s="74">
        <v>9.99</v>
      </c>
      <c r="E35" s="74">
        <v>-1</v>
      </c>
      <c r="F35" s="73">
        <f>ROUND(D35 * E35,2)</f>
        <v>-9.99</v>
      </c>
      <c r="G35" s="25"/>
      <c r="H35" s="25"/>
      <c r="I35" s="25"/>
      <c r="J35" s="25"/>
    </row>
    <row r="36" spans="1:11" ht="15" customHeight="1">
      <c r="A36" s="331"/>
      <c r="B36" s="331"/>
      <c r="C36" s="72"/>
      <c r="D36" s="71"/>
      <c r="E36" s="71"/>
      <c r="F36" s="70">
        <f>ROUND(SUM(F33:F35),2)</f>
        <v>1784.37</v>
      </c>
      <c r="G36" s="25"/>
      <c r="H36" s="25"/>
      <c r="I36" s="25"/>
      <c r="J36" s="25"/>
    </row>
    <row r="37" spans="1:11" ht="9.9" customHeight="1">
      <c r="A37" s="328"/>
      <c r="B37" s="328"/>
      <c r="C37" s="328"/>
      <c r="D37" s="328"/>
      <c r="E37" s="25"/>
      <c r="F37" s="25"/>
      <c r="G37" s="25"/>
      <c r="H37" s="25"/>
      <c r="I37" s="25"/>
      <c r="J37" s="25"/>
    </row>
    <row r="38" spans="1:11" ht="12" customHeight="1">
      <c r="A38" s="25"/>
      <c r="B38" s="25"/>
      <c r="C38" s="25"/>
      <c r="D38" s="25"/>
      <c r="E38" s="323" t="str">
        <f>"TOTAL DA MEMÓRIA DE CÁLCULO: "&amp;TEXT(J31,"0,00")</f>
        <v>TOTAL DA MEMÓRIA DE CÁLCULO: 1784,37</v>
      </c>
      <c r="F38" s="323"/>
      <c r="G38" s="323"/>
      <c r="H38" s="323"/>
      <c r="I38" s="323"/>
      <c r="J38" s="323"/>
    </row>
    <row r="39" spans="1:11" ht="9.9" customHeight="1">
      <c r="A39" s="328"/>
      <c r="B39" s="328"/>
      <c r="C39" s="328"/>
      <c r="D39" s="328"/>
      <c r="E39" s="328"/>
      <c r="F39" s="25"/>
      <c r="G39" s="25"/>
      <c r="H39" s="25"/>
      <c r="I39" s="25"/>
      <c r="J39" s="25"/>
    </row>
    <row r="40" spans="1:11" ht="63.75" customHeight="1">
      <c r="A40" s="77" t="s">
        <v>95</v>
      </c>
      <c r="B40" s="77" t="s">
        <v>260</v>
      </c>
      <c r="C40" s="332" t="s">
        <v>259</v>
      </c>
      <c r="D40" s="332"/>
      <c r="E40" s="332"/>
      <c r="F40" s="332"/>
      <c r="G40" s="332"/>
      <c r="H40" s="332"/>
      <c r="I40" s="332"/>
      <c r="J40" s="78">
        <f>ROUND(SUM(E43),2)</f>
        <v>4473.3999999999996</v>
      </c>
      <c r="K40" s="183" t="s">
        <v>369</v>
      </c>
    </row>
    <row r="41" spans="1:11" ht="15" customHeight="1">
      <c r="A41" s="333"/>
      <c r="B41" s="333"/>
      <c r="C41" s="333"/>
      <c r="D41" s="76" t="s">
        <v>147</v>
      </c>
      <c r="E41" s="76" t="s">
        <v>142</v>
      </c>
      <c r="F41" s="25"/>
      <c r="G41" s="25"/>
      <c r="H41" s="25"/>
      <c r="I41" s="25"/>
      <c r="J41" s="25"/>
    </row>
    <row r="42" spans="1:11">
      <c r="A42" s="330" t="s">
        <v>153</v>
      </c>
      <c r="B42" s="330"/>
      <c r="C42" s="75" t="s">
        <v>149</v>
      </c>
      <c r="D42" s="74">
        <v>4473.3999999999996</v>
      </c>
      <c r="E42" s="73">
        <f>ROUND(D42,2)</f>
        <v>4473.3999999999996</v>
      </c>
      <c r="F42" s="25"/>
      <c r="G42" s="25"/>
      <c r="H42" s="25"/>
      <c r="I42" s="25"/>
      <c r="J42" s="25"/>
      <c r="K42" s="184"/>
    </row>
    <row r="43" spans="1:11" ht="15" customHeight="1">
      <c r="A43" s="331"/>
      <c r="B43" s="331"/>
      <c r="C43" s="72"/>
      <c r="D43" s="71"/>
      <c r="E43" s="70">
        <f>ROUND(SUM(E42:E42),2)</f>
        <v>4473.3999999999996</v>
      </c>
      <c r="F43" s="25"/>
      <c r="G43" s="25"/>
      <c r="H43" s="25"/>
      <c r="I43" s="25"/>
      <c r="J43" s="25"/>
    </row>
    <row r="44" spans="1:11" ht="9.9" customHeight="1">
      <c r="A44" s="328"/>
      <c r="B44" s="328"/>
      <c r="C44" s="328"/>
      <c r="D44" s="328"/>
      <c r="E44" s="25"/>
      <c r="F44" s="25"/>
      <c r="G44" s="25"/>
      <c r="H44" s="25"/>
      <c r="I44" s="25"/>
      <c r="J44" s="25"/>
    </row>
    <row r="45" spans="1:11" ht="12" customHeight="1">
      <c r="A45" s="25"/>
      <c r="B45" s="25"/>
      <c r="C45" s="25"/>
      <c r="D45" s="25"/>
      <c r="E45" s="323" t="str">
        <f>"TOTAL DA MEMÓRIA DE CÁLCULO: "&amp;TEXT(J40,"0,00")</f>
        <v>TOTAL DA MEMÓRIA DE CÁLCULO: 4473,40</v>
      </c>
      <c r="F45" s="323"/>
      <c r="G45" s="323"/>
      <c r="H45" s="323"/>
      <c r="I45" s="323"/>
      <c r="J45" s="323"/>
    </row>
    <row r="46" spans="1:11" ht="9.9" customHeight="1">
      <c r="A46" s="328"/>
      <c r="B46" s="328"/>
      <c r="C46" s="328"/>
      <c r="D46" s="328"/>
      <c r="E46" s="328"/>
      <c r="F46" s="25"/>
      <c r="G46" s="25"/>
      <c r="H46" s="25"/>
      <c r="I46" s="25"/>
      <c r="J46" s="25"/>
    </row>
    <row r="47" spans="1:11">
      <c r="A47" s="327" t="s">
        <v>263</v>
      </c>
      <c r="B47" s="327"/>
      <c r="C47" s="327"/>
      <c r="D47" s="327"/>
      <c r="E47" s="327"/>
      <c r="F47" s="327"/>
      <c r="G47" s="327"/>
      <c r="H47" s="327"/>
      <c r="I47" s="327"/>
      <c r="J47" s="327"/>
    </row>
    <row r="48" spans="1:11" ht="9.9" customHeight="1">
      <c r="A48" s="328"/>
      <c r="B48" s="328"/>
      <c r="C48" s="328"/>
      <c r="D48" s="328"/>
      <c r="E48" s="25"/>
      <c r="F48" s="25"/>
      <c r="G48" s="25"/>
      <c r="H48" s="25"/>
      <c r="I48" s="25"/>
      <c r="J48" s="25"/>
    </row>
    <row r="49" spans="1:11" ht="77.25" customHeight="1">
      <c r="A49" s="77" t="s">
        <v>93</v>
      </c>
      <c r="B49" s="77" t="s">
        <v>264</v>
      </c>
      <c r="C49" s="336" t="s">
        <v>414</v>
      </c>
      <c r="D49" s="337"/>
      <c r="E49" s="337"/>
      <c r="F49" s="337"/>
      <c r="G49" s="337"/>
      <c r="H49" s="337"/>
      <c r="I49" s="338"/>
      <c r="J49" s="78">
        <f>ROUND(SUM(E53),2)</f>
        <v>2</v>
      </c>
      <c r="K49" s="183" t="s">
        <v>369</v>
      </c>
    </row>
    <row r="50" spans="1:11" ht="15" customHeight="1">
      <c r="A50" s="333"/>
      <c r="B50" s="333"/>
      <c r="C50" s="333"/>
      <c r="D50" s="76" t="s">
        <v>129</v>
      </c>
      <c r="E50" s="76" t="s">
        <v>142</v>
      </c>
      <c r="F50" s="25"/>
      <c r="G50" s="25"/>
      <c r="H50" s="25"/>
      <c r="I50" s="25"/>
      <c r="J50" s="25"/>
    </row>
    <row r="51" spans="1:11">
      <c r="A51" s="324" t="s">
        <v>283</v>
      </c>
      <c r="B51" s="325"/>
      <c r="C51" s="326"/>
      <c r="D51" s="74"/>
      <c r="E51" s="73"/>
      <c r="F51" s="25"/>
      <c r="G51" s="25"/>
      <c r="H51" s="25"/>
      <c r="I51" s="25"/>
      <c r="J51" s="25"/>
    </row>
    <row r="52" spans="1:11">
      <c r="A52" s="330" t="s">
        <v>284</v>
      </c>
      <c r="B52" s="330"/>
      <c r="C52" s="75" t="s">
        <v>145</v>
      </c>
      <c r="D52" s="74">
        <v>2</v>
      </c>
      <c r="E52" s="73">
        <f>ROUND(D52,2)</f>
        <v>2</v>
      </c>
      <c r="F52" s="25"/>
      <c r="G52" s="25"/>
      <c r="H52" s="25"/>
      <c r="I52" s="25"/>
      <c r="J52" s="25"/>
    </row>
    <row r="53" spans="1:11" ht="15" customHeight="1">
      <c r="A53" s="331"/>
      <c r="B53" s="331"/>
      <c r="C53" s="72"/>
      <c r="D53" s="71"/>
      <c r="E53" s="70">
        <f>ROUND(SUM(E52:E52),2)</f>
        <v>2</v>
      </c>
      <c r="F53" s="25"/>
      <c r="G53" s="25"/>
      <c r="H53" s="25"/>
      <c r="I53" s="25"/>
      <c r="J53" s="25"/>
    </row>
    <row r="54" spans="1:11" ht="9.9" customHeight="1">
      <c r="A54" s="328"/>
      <c r="B54" s="328"/>
      <c r="C54" s="328"/>
      <c r="D54" s="328"/>
      <c r="E54" s="25"/>
      <c r="F54" s="25"/>
      <c r="G54" s="25"/>
      <c r="H54" s="25"/>
      <c r="I54" s="25"/>
      <c r="J54" s="25"/>
    </row>
    <row r="55" spans="1:11" ht="12" customHeight="1">
      <c r="A55" s="25"/>
      <c r="B55" s="25"/>
      <c r="C55" s="25"/>
      <c r="D55" s="25"/>
      <c r="E55" s="323" t="str">
        <f>"TOTAL DA MEMÓRIA DE CÁLCULO: "&amp;TEXT(J49,"0,00")</f>
        <v>TOTAL DA MEMÓRIA DE CÁLCULO: 2,00</v>
      </c>
      <c r="F55" s="323"/>
      <c r="G55" s="323"/>
      <c r="H55" s="323"/>
      <c r="I55" s="323"/>
      <c r="J55" s="323"/>
    </row>
    <row r="56" spans="1:11" ht="12" customHeight="1">
      <c r="A56" s="25"/>
      <c r="B56" s="25"/>
      <c r="C56" s="25"/>
      <c r="D56" s="25"/>
      <c r="E56" s="146"/>
      <c r="F56" s="146"/>
      <c r="G56" s="146"/>
      <c r="H56" s="146"/>
      <c r="I56" s="146"/>
      <c r="J56" s="146"/>
    </row>
    <row r="57" spans="1:11">
      <c r="A57" s="327" t="s">
        <v>285</v>
      </c>
      <c r="B57" s="327"/>
      <c r="C57" s="327"/>
      <c r="D57" s="327"/>
      <c r="E57" s="327"/>
      <c r="F57" s="327"/>
      <c r="G57" s="327"/>
      <c r="H57" s="327"/>
      <c r="I57" s="327"/>
      <c r="J57" s="327"/>
    </row>
    <row r="58" spans="1:11" ht="9.9" customHeight="1">
      <c r="A58" s="328"/>
      <c r="B58" s="328"/>
      <c r="C58" s="328"/>
      <c r="D58" s="328"/>
      <c r="E58" s="25"/>
      <c r="F58" s="25"/>
      <c r="G58" s="25"/>
      <c r="H58" s="25"/>
      <c r="I58" s="25"/>
      <c r="J58" s="25"/>
    </row>
    <row r="59" spans="1:11">
      <c r="A59" s="327" t="s">
        <v>286</v>
      </c>
      <c r="B59" s="327"/>
      <c r="C59" s="327"/>
      <c r="D59" s="327"/>
      <c r="E59" s="327"/>
      <c r="F59" s="327"/>
      <c r="G59" s="327"/>
      <c r="H59" s="327"/>
      <c r="I59" s="327"/>
      <c r="J59" s="327"/>
    </row>
    <row r="60" spans="1:11" ht="9.9" customHeight="1">
      <c r="A60" s="328"/>
      <c r="B60" s="328"/>
      <c r="C60" s="328"/>
      <c r="D60" s="328"/>
      <c r="E60" s="25"/>
      <c r="F60" s="25"/>
      <c r="G60" s="25"/>
      <c r="H60" s="25"/>
      <c r="I60" s="25"/>
      <c r="J60" s="25"/>
    </row>
    <row r="61" spans="1:11" ht="54.9" customHeight="1">
      <c r="A61" s="77" t="s">
        <v>90</v>
      </c>
      <c r="B61" s="77" t="s">
        <v>152</v>
      </c>
      <c r="C61" s="332" t="s">
        <v>151</v>
      </c>
      <c r="D61" s="332"/>
      <c r="E61" s="332"/>
      <c r="F61" s="332"/>
      <c r="G61" s="332"/>
      <c r="H61" s="332"/>
      <c r="I61" s="332"/>
      <c r="J61" s="78">
        <f>ROUND(SUM(F65),2)</f>
        <v>913.2</v>
      </c>
      <c r="K61" s="183" t="s">
        <v>369</v>
      </c>
    </row>
    <row r="62" spans="1:11" ht="15" customHeight="1">
      <c r="A62" s="333"/>
      <c r="B62" s="333"/>
      <c r="C62" s="333"/>
      <c r="D62" s="79" t="s">
        <v>143</v>
      </c>
      <c r="E62" s="76" t="s">
        <v>146</v>
      </c>
      <c r="F62" s="76" t="s">
        <v>142</v>
      </c>
      <c r="G62" s="25"/>
      <c r="H62" s="25"/>
      <c r="I62" s="25"/>
      <c r="J62" s="25"/>
    </row>
    <row r="63" spans="1:11">
      <c r="A63" s="330" t="s">
        <v>290</v>
      </c>
      <c r="B63" s="330"/>
      <c r="C63" s="75" t="s">
        <v>150</v>
      </c>
      <c r="D63" s="74">
        <v>455.36</v>
      </c>
      <c r="E63" s="74">
        <v>2</v>
      </c>
      <c r="F63" s="73">
        <f>ROUND(D63 * E63,2)</f>
        <v>910.72</v>
      </c>
      <c r="G63" s="25"/>
      <c r="H63" s="25"/>
      <c r="I63" s="25"/>
      <c r="J63" s="25"/>
    </row>
    <row r="64" spans="1:11">
      <c r="A64" s="330" t="s">
        <v>508</v>
      </c>
      <c r="B64" s="330"/>
      <c r="C64" s="75" t="s">
        <v>150</v>
      </c>
      <c r="D64" s="74">
        <v>2.48</v>
      </c>
      <c r="E64" s="74">
        <v>1</v>
      </c>
      <c r="F64" s="73">
        <f>ROUND(D64 * E64,2)</f>
        <v>2.48</v>
      </c>
      <c r="G64" s="25"/>
      <c r="H64" s="25"/>
      <c r="I64" s="25"/>
      <c r="J64" s="25"/>
    </row>
    <row r="65" spans="1:11" ht="15" customHeight="1">
      <c r="A65" s="331"/>
      <c r="B65" s="331"/>
      <c r="C65" s="72"/>
      <c r="D65" s="71"/>
      <c r="E65" s="71"/>
      <c r="F65" s="70">
        <f>ROUND(SUM(F63:F64),2)</f>
        <v>913.2</v>
      </c>
      <c r="G65" s="25"/>
      <c r="H65" s="25"/>
      <c r="I65" s="25"/>
      <c r="J65" s="25"/>
    </row>
    <row r="66" spans="1:11" ht="9.9" customHeight="1">
      <c r="A66" s="328"/>
      <c r="B66" s="328"/>
      <c r="C66" s="328"/>
      <c r="D66" s="328"/>
      <c r="E66" s="25"/>
      <c r="F66" s="25"/>
      <c r="G66" s="25"/>
      <c r="H66" s="25"/>
      <c r="I66" s="25"/>
      <c r="J66" s="25"/>
    </row>
    <row r="67" spans="1:11" ht="12" customHeight="1">
      <c r="A67" s="25"/>
      <c r="B67" s="25"/>
      <c r="C67" s="25"/>
      <c r="D67" s="25"/>
      <c r="E67" s="323" t="str">
        <f>"TOTAL DA MEMÓRIA DE CÁLCULO: "&amp;TEXT(J61,"0,00")</f>
        <v>TOTAL DA MEMÓRIA DE CÁLCULO: 913,20</v>
      </c>
      <c r="F67" s="323"/>
      <c r="G67" s="323"/>
      <c r="H67" s="323"/>
      <c r="I67" s="323"/>
      <c r="J67" s="323"/>
    </row>
    <row r="68" spans="1:11" ht="9.9" customHeight="1">
      <c r="A68" s="328"/>
      <c r="B68" s="328"/>
      <c r="C68" s="328"/>
      <c r="D68" s="328"/>
      <c r="E68" s="328"/>
      <c r="F68" s="25"/>
      <c r="G68" s="25"/>
      <c r="H68" s="25"/>
      <c r="I68" s="25"/>
      <c r="J68" s="25"/>
    </row>
    <row r="69" spans="1:11" ht="63.75" customHeight="1">
      <c r="A69" s="77" t="s">
        <v>89</v>
      </c>
      <c r="B69" s="77" t="s">
        <v>260</v>
      </c>
      <c r="C69" s="332" t="s">
        <v>259</v>
      </c>
      <c r="D69" s="332"/>
      <c r="E69" s="332"/>
      <c r="F69" s="332"/>
      <c r="G69" s="332"/>
      <c r="H69" s="332"/>
      <c r="I69" s="332"/>
      <c r="J69" s="78">
        <f>ROUND(SUM(E72),2)</f>
        <v>2278.9499999999998</v>
      </c>
      <c r="K69" s="183" t="s">
        <v>369</v>
      </c>
    </row>
    <row r="70" spans="1:11" ht="15" customHeight="1">
      <c r="A70" s="333"/>
      <c r="B70" s="333"/>
      <c r="C70" s="333"/>
      <c r="D70" s="76" t="s">
        <v>147</v>
      </c>
      <c r="E70" s="76" t="s">
        <v>142</v>
      </c>
      <c r="F70" s="25"/>
      <c r="G70" s="25"/>
      <c r="H70" s="25"/>
      <c r="I70" s="25"/>
      <c r="J70" s="25"/>
    </row>
    <row r="71" spans="1:11">
      <c r="A71" s="330" t="s">
        <v>291</v>
      </c>
      <c r="B71" s="330"/>
      <c r="C71" s="75" t="s">
        <v>149</v>
      </c>
      <c r="D71" s="74">
        <v>2278.9499999999998</v>
      </c>
      <c r="E71" s="73">
        <f>ROUND(D71,2)</f>
        <v>2278.9499999999998</v>
      </c>
      <c r="F71" s="25"/>
      <c r="G71" s="25"/>
      <c r="H71" s="25"/>
      <c r="I71" s="25"/>
      <c r="J71" s="25"/>
      <c r="K71" s="184"/>
    </row>
    <row r="72" spans="1:11" ht="15" customHeight="1">
      <c r="A72" s="331"/>
      <c r="B72" s="331"/>
      <c r="C72" s="72"/>
      <c r="D72" s="71"/>
      <c r="E72" s="70">
        <f>ROUND(SUM(E71:E71),2)</f>
        <v>2278.9499999999998</v>
      </c>
      <c r="F72" s="25"/>
      <c r="G72" s="25"/>
      <c r="H72" s="25"/>
      <c r="I72" s="25"/>
      <c r="J72" s="25"/>
    </row>
    <row r="73" spans="1:11" ht="9.9" customHeight="1">
      <c r="A73" s="328"/>
      <c r="B73" s="328"/>
      <c r="C73" s="328"/>
      <c r="D73" s="328"/>
      <c r="E73" s="25"/>
      <c r="F73" s="25"/>
      <c r="G73" s="25"/>
      <c r="H73" s="25"/>
      <c r="I73" s="25"/>
      <c r="J73" s="25"/>
    </row>
    <row r="74" spans="1:11" ht="12" customHeight="1">
      <c r="A74" s="25"/>
      <c r="B74" s="25"/>
      <c r="C74" s="25"/>
      <c r="D74" s="25"/>
      <c r="E74" s="323" t="str">
        <f>"TOTAL DA MEMÓRIA DE CÁLCULO: "&amp;TEXT(J69,"0,00")</f>
        <v>TOTAL DA MEMÓRIA DE CÁLCULO: 2278,95</v>
      </c>
      <c r="F74" s="323"/>
      <c r="G74" s="323"/>
      <c r="H74" s="323"/>
      <c r="I74" s="323"/>
      <c r="J74" s="323"/>
    </row>
    <row r="75" spans="1:11" ht="9.9" customHeight="1">
      <c r="A75" s="328"/>
      <c r="B75" s="328"/>
      <c r="C75" s="328"/>
      <c r="D75" s="328"/>
      <c r="E75" s="328"/>
      <c r="F75" s="25"/>
      <c r="G75" s="25"/>
      <c r="H75" s="25"/>
      <c r="I75" s="25"/>
      <c r="J75" s="25"/>
    </row>
    <row r="76" spans="1:11">
      <c r="A76" s="327" t="s">
        <v>287</v>
      </c>
      <c r="B76" s="327"/>
      <c r="C76" s="327"/>
      <c r="D76" s="327"/>
      <c r="E76" s="327"/>
      <c r="F76" s="327"/>
      <c r="G76" s="327"/>
      <c r="H76" s="327"/>
      <c r="I76" s="327"/>
      <c r="J76" s="327"/>
    </row>
    <row r="77" spans="1:11" ht="9.9" customHeight="1">
      <c r="A77" s="328"/>
      <c r="B77" s="328"/>
      <c r="C77" s="328"/>
      <c r="D77" s="328"/>
      <c r="E77" s="25"/>
      <c r="F77" s="25"/>
      <c r="G77" s="25"/>
      <c r="H77" s="25"/>
      <c r="I77" s="25"/>
      <c r="J77" s="25"/>
    </row>
    <row r="78" spans="1:11" ht="77.25" customHeight="1">
      <c r="A78" s="77" t="s">
        <v>87</v>
      </c>
      <c r="B78" s="77" t="s">
        <v>264</v>
      </c>
      <c r="C78" s="336" t="s">
        <v>414</v>
      </c>
      <c r="D78" s="337"/>
      <c r="E78" s="337"/>
      <c r="F78" s="337"/>
      <c r="G78" s="337"/>
      <c r="H78" s="337"/>
      <c r="I78" s="338"/>
      <c r="J78" s="78">
        <f>ROUND(SUM(E82),2)</f>
        <v>2</v>
      </c>
      <c r="K78" s="183" t="s">
        <v>369</v>
      </c>
    </row>
    <row r="79" spans="1:11" ht="15" customHeight="1">
      <c r="A79" s="333"/>
      <c r="B79" s="333"/>
      <c r="C79" s="333"/>
      <c r="D79" s="76" t="s">
        <v>129</v>
      </c>
      <c r="E79" s="76" t="s">
        <v>142</v>
      </c>
      <c r="F79" s="25"/>
      <c r="G79" s="25"/>
      <c r="H79" s="25"/>
      <c r="I79" s="25"/>
      <c r="J79" s="25"/>
    </row>
    <row r="80" spans="1:11" ht="9.75" customHeight="1">
      <c r="A80" s="324" t="s">
        <v>283</v>
      </c>
      <c r="B80" s="325"/>
      <c r="C80" s="326"/>
      <c r="D80" s="74"/>
      <c r="E80" s="73"/>
      <c r="F80" s="25"/>
      <c r="G80" s="25"/>
      <c r="H80" s="25"/>
      <c r="I80" s="25"/>
      <c r="J80" s="25"/>
    </row>
    <row r="81" spans="1:11">
      <c r="A81" s="330" t="s">
        <v>288</v>
      </c>
      <c r="B81" s="330"/>
      <c r="C81" s="75" t="s">
        <v>145</v>
      </c>
      <c r="D81" s="74">
        <v>2</v>
      </c>
      <c r="E81" s="73">
        <f>ROUND(D81,2)</f>
        <v>2</v>
      </c>
      <c r="F81" s="25"/>
      <c r="G81" s="25"/>
      <c r="H81" s="25"/>
      <c r="I81" s="25"/>
      <c r="J81" s="25"/>
    </row>
    <row r="82" spans="1:11" ht="15" customHeight="1">
      <c r="A82" s="331"/>
      <c r="B82" s="331"/>
      <c r="C82" s="72"/>
      <c r="D82" s="71"/>
      <c r="E82" s="70">
        <f>ROUND(SUM(E80:E81),2)</f>
        <v>2</v>
      </c>
      <c r="F82" s="25"/>
      <c r="G82" s="25"/>
      <c r="H82" s="25"/>
      <c r="I82" s="25"/>
      <c r="J82" s="25"/>
    </row>
    <row r="83" spans="1:11" ht="9.9" customHeight="1">
      <c r="A83" s="328"/>
      <c r="B83" s="328"/>
      <c r="C83" s="328"/>
      <c r="D83" s="328"/>
      <c r="E83" s="25"/>
      <c r="F83" s="25"/>
      <c r="G83" s="25"/>
      <c r="H83" s="25"/>
      <c r="I83" s="25"/>
      <c r="J83" s="25"/>
    </row>
    <row r="84" spans="1:11" ht="12" customHeight="1">
      <c r="A84" s="25"/>
      <c r="B84" s="25"/>
      <c r="C84" s="25"/>
      <c r="D84" s="25"/>
      <c r="E84" s="323" t="str">
        <f>"TOTAL DA MEMÓRIA DE CÁLCULO: "&amp;TEXT(J78,"0,00")</f>
        <v>TOTAL DA MEMÓRIA DE CÁLCULO: 2,00</v>
      </c>
      <c r="F84" s="323"/>
      <c r="G84" s="323"/>
      <c r="H84" s="323"/>
      <c r="I84" s="323"/>
      <c r="J84" s="323"/>
    </row>
    <row r="85" spans="1:11" ht="9.9" customHeight="1">
      <c r="A85" s="328"/>
      <c r="B85" s="328"/>
      <c r="C85" s="328"/>
      <c r="D85" s="328"/>
      <c r="E85" s="328"/>
      <c r="F85" s="25"/>
      <c r="G85" s="25"/>
      <c r="H85" s="25"/>
      <c r="I85" s="25"/>
      <c r="J85" s="25"/>
    </row>
    <row r="86" spans="1:11">
      <c r="A86" s="327" t="s">
        <v>265</v>
      </c>
      <c r="B86" s="327"/>
      <c r="C86" s="327"/>
      <c r="D86" s="327"/>
      <c r="E86" s="327"/>
      <c r="F86" s="327"/>
      <c r="G86" s="327"/>
      <c r="H86" s="327"/>
      <c r="I86" s="327"/>
      <c r="J86" s="327"/>
    </row>
    <row r="87" spans="1:11" ht="9.9" customHeight="1">
      <c r="A87" s="328"/>
      <c r="B87" s="328"/>
      <c r="C87" s="328"/>
      <c r="D87" s="328"/>
      <c r="E87" s="25"/>
      <c r="F87" s="25"/>
      <c r="G87" s="25"/>
      <c r="H87" s="25"/>
      <c r="I87" s="25"/>
      <c r="J87" s="25"/>
    </row>
    <row r="88" spans="1:11">
      <c r="A88" s="327" t="s">
        <v>289</v>
      </c>
      <c r="B88" s="327"/>
      <c r="C88" s="327"/>
      <c r="D88" s="327"/>
      <c r="E88" s="327"/>
      <c r="F88" s="327"/>
      <c r="G88" s="327"/>
      <c r="H88" s="327"/>
      <c r="I88" s="327"/>
      <c r="J88" s="327"/>
    </row>
    <row r="89" spans="1:11" ht="9.9" customHeight="1">
      <c r="A89" s="328"/>
      <c r="B89" s="328"/>
      <c r="C89" s="328"/>
      <c r="D89" s="328"/>
      <c r="E89" s="25"/>
      <c r="F89" s="25"/>
      <c r="G89" s="25"/>
      <c r="H89" s="25"/>
      <c r="I89" s="25"/>
      <c r="J89" s="25"/>
    </row>
    <row r="90" spans="1:11">
      <c r="A90" s="327" t="s">
        <v>266</v>
      </c>
      <c r="B90" s="327"/>
      <c r="C90" s="327"/>
      <c r="D90" s="327"/>
      <c r="E90" s="327"/>
      <c r="F90" s="327"/>
      <c r="G90" s="327"/>
      <c r="H90" s="327"/>
      <c r="I90" s="327"/>
      <c r="J90" s="327"/>
    </row>
    <row r="91" spans="1:11" ht="9.9" customHeight="1">
      <c r="A91" s="328"/>
      <c r="B91" s="328"/>
      <c r="C91" s="328"/>
      <c r="D91" s="328"/>
      <c r="E91" s="25"/>
      <c r="F91" s="25"/>
      <c r="G91" s="25"/>
      <c r="H91" s="25"/>
      <c r="I91" s="25"/>
      <c r="J91" s="25"/>
    </row>
    <row r="92" spans="1:11" ht="54.9" customHeight="1">
      <c r="A92" s="77" t="s">
        <v>83</v>
      </c>
      <c r="B92" s="77" t="s">
        <v>152</v>
      </c>
      <c r="C92" s="332" t="s">
        <v>151</v>
      </c>
      <c r="D92" s="332"/>
      <c r="E92" s="332"/>
      <c r="F92" s="332"/>
      <c r="G92" s="332"/>
      <c r="H92" s="332"/>
      <c r="I92" s="332"/>
      <c r="J92" s="78">
        <f>ROUND(SUM(F96),2)</f>
        <v>1596.41</v>
      </c>
      <c r="K92" s="183" t="s">
        <v>369</v>
      </c>
    </row>
    <row r="93" spans="1:11" ht="15" customHeight="1">
      <c r="A93" s="333"/>
      <c r="B93" s="333"/>
      <c r="C93" s="333"/>
      <c r="D93" s="79" t="s">
        <v>143</v>
      </c>
      <c r="E93" s="76" t="s">
        <v>146</v>
      </c>
      <c r="F93" s="76" t="s">
        <v>142</v>
      </c>
      <c r="G93" s="25"/>
      <c r="H93" s="25"/>
      <c r="I93" s="25"/>
      <c r="J93" s="25"/>
    </row>
    <row r="94" spans="1:11" ht="18.899999999999999" customHeight="1">
      <c r="A94" s="330" t="s">
        <v>290</v>
      </c>
      <c r="B94" s="330"/>
      <c r="C94" s="75" t="s">
        <v>150</v>
      </c>
      <c r="D94" s="74">
        <v>816.4</v>
      </c>
      <c r="E94" s="74">
        <v>2</v>
      </c>
      <c r="F94" s="73">
        <f t="shared" ref="F94" si="0">ROUND(D94 * E94,2)</f>
        <v>1632.8</v>
      </c>
      <c r="G94" s="25"/>
      <c r="H94" s="25"/>
      <c r="I94" s="25"/>
      <c r="J94" s="25"/>
    </row>
    <row r="95" spans="1:11" ht="18.899999999999999" customHeight="1">
      <c r="A95" s="330" t="s">
        <v>509</v>
      </c>
      <c r="B95" s="330"/>
      <c r="C95" s="75" t="s">
        <v>150</v>
      </c>
      <c r="D95" s="74">
        <v>36.39</v>
      </c>
      <c r="E95" s="74">
        <v>-1</v>
      </c>
      <c r="F95" s="73">
        <f t="shared" ref="F95" si="1">ROUND(D95 * E95,2)</f>
        <v>-36.39</v>
      </c>
      <c r="G95" s="25"/>
      <c r="H95" s="25"/>
      <c r="I95" s="25"/>
      <c r="J95" s="25"/>
    </row>
    <row r="96" spans="1:11" ht="15" customHeight="1">
      <c r="A96" s="331"/>
      <c r="B96" s="331"/>
      <c r="C96" s="72"/>
      <c r="D96" s="71"/>
      <c r="E96" s="71"/>
      <c r="F96" s="70">
        <f>ROUND(SUM(F94:F95),2)</f>
        <v>1596.41</v>
      </c>
      <c r="G96" s="25"/>
      <c r="H96" s="25"/>
      <c r="I96" s="25"/>
      <c r="J96" s="25"/>
    </row>
    <row r="97" spans="1:11" ht="9.9" customHeight="1">
      <c r="A97" s="328"/>
      <c r="B97" s="328"/>
      <c r="C97" s="328"/>
      <c r="D97" s="328"/>
      <c r="E97" s="25"/>
      <c r="F97" s="25"/>
      <c r="G97" s="25"/>
      <c r="H97" s="25"/>
      <c r="I97" s="25"/>
      <c r="J97" s="25"/>
    </row>
    <row r="98" spans="1:11" ht="12" customHeight="1">
      <c r="A98" s="25"/>
      <c r="B98" s="25"/>
      <c r="C98" s="25"/>
      <c r="D98" s="25"/>
      <c r="E98" s="323" t="str">
        <f>"TOTAL DA MEMÓRIA DE CÁLCULO: "&amp;TEXT(J92,"0,00")</f>
        <v>TOTAL DA MEMÓRIA DE CÁLCULO: 1596,41</v>
      </c>
      <c r="F98" s="323"/>
      <c r="G98" s="323"/>
      <c r="H98" s="323"/>
      <c r="I98" s="323"/>
      <c r="J98" s="323"/>
    </row>
    <row r="99" spans="1:11" ht="9.9" customHeight="1">
      <c r="A99" s="328"/>
      <c r="B99" s="328"/>
      <c r="C99" s="328"/>
      <c r="D99" s="328"/>
      <c r="E99" s="328"/>
      <c r="F99" s="25"/>
      <c r="G99" s="25"/>
      <c r="H99" s="25"/>
      <c r="I99" s="25"/>
      <c r="J99" s="25"/>
    </row>
    <row r="100" spans="1:11" ht="63" customHeight="1">
      <c r="A100" s="77" t="s">
        <v>82</v>
      </c>
      <c r="B100" s="77" t="s">
        <v>260</v>
      </c>
      <c r="C100" s="332" t="s">
        <v>259</v>
      </c>
      <c r="D100" s="332"/>
      <c r="E100" s="332"/>
      <c r="F100" s="332"/>
      <c r="G100" s="332"/>
      <c r="H100" s="332"/>
      <c r="I100" s="332"/>
      <c r="J100" s="78">
        <f>ROUND(SUM(E103),2)</f>
        <v>4084.98</v>
      </c>
      <c r="K100" s="183" t="s">
        <v>369</v>
      </c>
    </row>
    <row r="101" spans="1:11" ht="15" customHeight="1">
      <c r="A101" s="333"/>
      <c r="B101" s="333"/>
      <c r="C101" s="333"/>
      <c r="D101" s="76" t="s">
        <v>147</v>
      </c>
      <c r="E101" s="76" t="s">
        <v>142</v>
      </c>
      <c r="F101" s="25"/>
      <c r="G101" s="25"/>
      <c r="H101" s="25"/>
      <c r="I101" s="25"/>
      <c r="J101" s="25"/>
    </row>
    <row r="102" spans="1:11">
      <c r="A102" s="330" t="s">
        <v>291</v>
      </c>
      <c r="B102" s="330"/>
      <c r="C102" s="75" t="s">
        <v>149</v>
      </c>
      <c r="D102" s="74">
        <v>4084.98</v>
      </c>
      <c r="E102" s="73">
        <f>ROUND(D102,2)</f>
        <v>4084.98</v>
      </c>
      <c r="F102" s="25"/>
      <c r="G102" s="25"/>
      <c r="H102" s="25"/>
      <c r="I102" s="25"/>
      <c r="J102" s="25"/>
      <c r="K102" s="184"/>
    </row>
    <row r="103" spans="1:11" ht="15" customHeight="1">
      <c r="A103" s="331"/>
      <c r="B103" s="331"/>
      <c r="C103" s="72"/>
      <c r="D103" s="71"/>
      <c r="E103" s="70">
        <f>ROUND(SUM(E102:E102),2)</f>
        <v>4084.98</v>
      </c>
      <c r="F103" s="25"/>
      <c r="G103" s="25"/>
      <c r="H103" s="25"/>
      <c r="I103" s="25"/>
      <c r="J103" s="25"/>
    </row>
    <row r="104" spans="1:11" ht="9.9" customHeight="1">
      <c r="A104" s="328"/>
      <c r="B104" s="328"/>
      <c r="C104" s="328"/>
      <c r="D104" s="328"/>
      <c r="E104" s="25"/>
      <c r="F104" s="25"/>
      <c r="G104" s="25"/>
      <c r="H104" s="25"/>
      <c r="I104" s="25"/>
      <c r="J104" s="25"/>
    </row>
    <row r="105" spans="1:11" ht="12" customHeight="1">
      <c r="A105" s="25"/>
      <c r="B105" s="25"/>
      <c r="C105" s="25"/>
      <c r="D105" s="25"/>
      <c r="E105" s="323" t="str">
        <f>"TOTAL DA MEMÓRIA DE CÁLCULO: "&amp;TEXT(J100,"0,00")</f>
        <v>TOTAL DA MEMÓRIA DE CÁLCULO: 4084,98</v>
      </c>
      <c r="F105" s="323"/>
      <c r="G105" s="323"/>
      <c r="H105" s="323"/>
      <c r="I105" s="323"/>
      <c r="J105" s="323"/>
    </row>
    <row r="106" spans="1:11" ht="9.9" customHeight="1">
      <c r="A106" s="328"/>
      <c r="B106" s="328"/>
      <c r="C106" s="328"/>
      <c r="D106" s="328"/>
      <c r="E106" s="25"/>
      <c r="F106" s="25"/>
      <c r="G106" s="25"/>
      <c r="H106" s="25"/>
      <c r="I106" s="25"/>
      <c r="J106" s="25"/>
    </row>
    <row r="107" spans="1:11">
      <c r="A107" s="327" t="s">
        <v>270</v>
      </c>
      <c r="B107" s="327"/>
      <c r="C107" s="327"/>
      <c r="D107" s="327"/>
      <c r="E107" s="327"/>
      <c r="F107" s="327"/>
      <c r="G107" s="327"/>
      <c r="H107" s="327"/>
      <c r="I107" s="327"/>
      <c r="J107" s="327"/>
    </row>
    <row r="108" spans="1:11" ht="9.9" customHeight="1">
      <c r="A108" s="328"/>
      <c r="B108" s="328"/>
      <c r="C108" s="328"/>
      <c r="D108" s="328"/>
      <c r="E108" s="25"/>
      <c r="F108" s="25"/>
      <c r="G108" s="25"/>
      <c r="H108" s="25"/>
      <c r="I108" s="25"/>
      <c r="J108" s="25"/>
    </row>
    <row r="109" spans="1:11" ht="77.25" customHeight="1">
      <c r="A109" s="77" t="s">
        <v>80</v>
      </c>
      <c r="B109" s="77" t="s">
        <v>264</v>
      </c>
      <c r="C109" s="336" t="s">
        <v>414</v>
      </c>
      <c r="D109" s="337"/>
      <c r="E109" s="337"/>
      <c r="F109" s="337"/>
      <c r="G109" s="337"/>
      <c r="H109" s="337"/>
      <c r="I109" s="338"/>
      <c r="J109" s="78">
        <f>ROUND(SUM(E113),2)</f>
        <v>2</v>
      </c>
      <c r="K109" s="183" t="s">
        <v>369</v>
      </c>
    </row>
    <row r="110" spans="1:11" ht="15" customHeight="1">
      <c r="A110" s="330"/>
      <c r="B110" s="330"/>
      <c r="C110" s="75"/>
      <c r="D110" s="76" t="s">
        <v>129</v>
      </c>
      <c r="E110" s="76" t="s">
        <v>142</v>
      </c>
      <c r="F110" s="25"/>
      <c r="G110" s="25"/>
      <c r="H110" s="25"/>
      <c r="I110" s="25"/>
      <c r="J110" s="25"/>
    </row>
    <row r="111" spans="1:11">
      <c r="A111" s="324" t="s">
        <v>283</v>
      </c>
      <c r="B111" s="325"/>
      <c r="C111" s="326"/>
      <c r="D111" s="74"/>
      <c r="E111" s="73"/>
      <c r="F111" s="25"/>
      <c r="G111" s="25"/>
      <c r="H111" s="25"/>
      <c r="I111" s="25"/>
      <c r="J111" s="25"/>
    </row>
    <row r="112" spans="1:11">
      <c r="A112" s="330" t="s">
        <v>284</v>
      </c>
      <c r="B112" s="330"/>
      <c r="C112" s="75" t="s">
        <v>145</v>
      </c>
      <c r="D112" s="74">
        <v>2</v>
      </c>
      <c r="E112" s="73">
        <f t="shared" ref="E112" si="2">ROUND(D112,2)</f>
        <v>2</v>
      </c>
      <c r="F112" s="25"/>
      <c r="G112" s="25"/>
      <c r="H112" s="25"/>
      <c r="I112" s="25"/>
      <c r="J112" s="25"/>
    </row>
    <row r="113" spans="1:11" ht="15" customHeight="1">
      <c r="A113" s="331"/>
      <c r="B113" s="331"/>
      <c r="C113" s="72"/>
      <c r="D113" s="71"/>
      <c r="E113" s="70">
        <f>ROUND(SUM(E112:E112),2)</f>
        <v>2</v>
      </c>
      <c r="F113" s="25"/>
      <c r="G113" s="25"/>
      <c r="H113" s="25"/>
      <c r="I113" s="25"/>
      <c r="J113" s="25"/>
    </row>
    <row r="114" spans="1:11" ht="9.9" customHeight="1">
      <c r="A114" s="328"/>
      <c r="B114" s="328"/>
      <c r="C114" s="328"/>
      <c r="D114" s="328"/>
      <c r="E114" s="25"/>
      <c r="F114" s="25"/>
      <c r="G114" s="25"/>
      <c r="H114" s="25"/>
      <c r="I114" s="25"/>
      <c r="J114" s="25"/>
    </row>
    <row r="115" spans="1:11" ht="12" customHeight="1">
      <c r="A115" s="25"/>
      <c r="B115" s="25"/>
      <c r="C115" s="25"/>
      <c r="D115" s="25"/>
      <c r="E115" s="323" t="str">
        <f>"TOTAL DA MEMÓRIA DE CÁLCULO: "&amp;TEXT(J109,"0,00")</f>
        <v>TOTAL DA MEMÓRIA DE CÁLCULO: 2,00</v>
      </c>
      <c r="F115" s="323"/>
      <c r="G115" s="323"/>
      <c r="H115" s="323"/>
      <c r="I115" s="323"/>
      <c r="J115" s="323"/>
    </row>
    <row r="116" spans="1:11" ht="9.9" customHeight="1">
      <c r="A116" s="328"/>
      <c r="B116" s="328"/>
      <c r="C116" s="328"/>
      <c r="D116" s="328"/>
      <c r="E116" s="328"/>
      <c r="F116" s="25"/>
      <c r="G116" s="25"/>
      <c r="H116" s="25"/>
      <c r="I116" s="25"/>
      <c r="J116" s="25"/>
    </row>
    <row r="117" spans="1:11">
      <c r="A117" s="327" t="s">
        <v>293</v>
      </c>
      <c r="B117" s="327"/>
      <c r="C117" s="327"/>
      <c r="D117" s="327"/>
      <c r="E117" s="327"/>
      <c r="F117" s="327"/>
      <c r="G117" s="327"/>
      <c r="H117" s="327"/>
      <c r="I117" s="327"/>
      <c r="J117" s="327"/>
    </row>
    <row r="118" spans="1:11" ht="9.9" customHeight="1">
      <c r="A118" s="328"/>
      <c r="B118" s="328"/>
      <c r="C118" s="328"/>
      <c r="D118" s="328"/>
      <c r="E118" s="25"/>
      <c r="F118" s="25"/>
      <c r="G118" s="25"/>
      <c r="H118" s="25"/>
      <c r="I118" s="25"/>
      <c r="J118" s="25"/>
    </row>
    <row r="119" spans="1:11">
      <c r="A119" s="327" t="s">
        <v>294</v>
      </c>
      <c r="B119" s="327"/>
      <c r="C119" s="327"/>
      <c r="D119" s="327"/>
      <c r="E119" s="327"/>
      <c r="F119" s="327"/>
      <c r="G119" s="327"/>
      <c r="H119" s="327"/>
      <c r="I119" s="327"/>
      <c r="J119" s="327"/>
    </row>
    <row r="120" spans="1:11" ht="9.9" customHeight="1">
      <c r="A120" s="328"/>
      <c r="B120" s="328"/>
      <c r="C120" s="328"/>
      <c r="D120" s="328"/>
      <c r="E120" s="25"/>
      <c r="F120" s="25"/>
      <c r="G120" s="25"/>
      <c r="H120" s="25"/>
      <c r="I120" s="25"/>
      <c r="J120" s="25"/>
    </row>
    <row r="121" spans="1:11" ht="54.9" customHeight="1">
      <c r="A121" s="77" t="s">
        <v>77</v>
      </c>
      <c r="B121" s="77" t="s">
        <v>152</v>
      </c>
      <c r="C121" s="332" t="s">
        <v>151</v>
      </c>
      <c r="D121" s="332"/>
      <c r="E121" s="332"/>
      <c r="F121" s="332"/>
      <c r="G121" s="332"/>
      <c r="H121" s="332"/>
      <c r="I121" s="332"/>
      <c r="J121" s="78">
        <f>ROUND(SUM(F125),2)</f>
        <v>475.64</v>
      </c>
      <c r="K121" s="183" t="s">
        <v>369</v>
      </c>
    </row>
    <row r="122" spans="1:11" ht="15" customHeight="1">
      <c r="A122" s="333"/>
      <c r="B122" s="333"/>
      <c r="C122" s="333"/>
      <c r="D122" s="79" t="s">
        <v>143</v>
      </c>
      <c r="E122" s="76" t="s">
        <v>146</v>
      </c>
      <c r="F122" s="76" t="s">
        <v>142</v>
      </c>
      <c r="G122" s="25"/>
      <c r="H122" s="25"/>
      <c r="I122" s="25"/>
      <c r="J122" s="25"/>
    </row>
    <row r="123" spans="1:11" ht="18.899999999999999" customHeight="1">
      <c r="A123" s="330" t="s">
        <v>267</v>
      </c>
      <c r="B123" s="330" t="s">
        <v>267</v>
      </c>
      <c r="C123" s="75" t="s">
        <v>150</v>
      </c>
      <c r="D123" s="74">
        <v>235.35</v>
      </c>
      <c r="E123" s="74">
        <v>2</v>
      </c>
      <c r="F123" s="73">
        <f>ROUND(D123 * E123,2)</f>
        <v>470.7</v>
      </c>
      <c r="G123" s="25"/>
      <c r="H123" s="25"/>
      <c r="I123" s="25"/>
      <c r="J123" s="25"/>
    </row>
    <row r="124" spans="1:11" ht="18.899999999999999" customHeight="1">
      <c r="A124" s="330" t="s">
        <v>510</v>
      </c>
      <c r="B124" s="330"/>
      <c r="C124" s="75" t="s">
        <v>150</v>
      </c>
      <c r="D124" s="74">
        <v>4.9400000000000004</v>
      </c>
      <c r="E124" s="74">
        <v>1</v>
      </c>
      <c r="F124" s="73">
        <f>ROUND(D124 * E124,2)</f>
        <v>4.9400000000000004</v>
      </c>
      <c r="G124" s="25"/>
      <c r="H124" s="25"/>
      <c r="I124" s="25"/>
      <c r="J124" s="25"/>
    </row>
    <row r="125" spans="1:11" ht="15" customHeight="1">
      <c r="A125" s="331"/>
      <c r="B125" s="331"/>
      <c r="C125" s="72"/>
      <c r="D125" s="71"/>
      <c r="E125" s="71"/>
      <c r="F125" s="70">
        <f>ROUND(SUM(F123:F124),2)</f>
        <v>475.64</v>
      </c>
      <c r="G125" s="25"/>
      <c r="H125" s="25"/>
      <c r="I125" s="25"/>
      <c r="J125" s="25"/>
    </row>
    <row r="126" spans="1:11" ht="9.9" customHeight="1">
      <c r="A126" s="328"/>
      <c r="B126" s="328"/>
      <c r="C126" s="328"/>
      <c r="D126" s="328"/>
      <c r="E126" s="25"/>
      <c r="F126" s="25"/>
      <c r="G126" s="25"/>
      <c r="H126" s="25"/>
      <c r="I126" s="25"/>
      <c r="J126" s="25"/>
    </row>
    <row r="127" spans="1:11" ht="12" customHeight="1">
      <c r="A127" s="25"/>
      <c r="B127" s="25"/>
      <c r="C127" s="25"/>
      <c r="D127" s="25"/>
      <c r="E127" s="323" t="str">
        <f>"TOTAL DA MEMÓRIA DE CÁLCULO: "&amp;TEXT(J121,"0,00")</f>
        <v>TOTAL DA MEMÓRIA DE CÁLCULO: 475,64</v>
      </c>
      <c r="F127" s="323"/>
      <c r="G127" s="323"/>
      <c r="H127" s="323"/>
      <c r="I127" s="323"/>
      <c r="J127" s="323"/>
    </row>
    <row r="128" spans="1:11" ht="9.9" customHeight="1">
      <c r="A128" s="328"/>
      <c r="B128" s="328"/>
      <c r="C128" s="328"/>
      <c r="D128" s="328"/>
      <c r="E128" s="328"/>
      <c r="F128" s="25"/>
      <c r="G128" s="25"/>
      <c r="H128" s="25"/>
      <c r="I128" s="25"/>
      <c r="J128" s="25"/>
    </row>
    <row r="129" spans="1:11" ht="63" customHeight="1">
      <c r="A129" s="77" t="s">
        <v>76</v>
      </c>
      <c r="B129" s="77" t="s">
        <v>260</v>
      </c>
      <c r="C129" s="332" t="s">
        <v>259</v>
      </c>
      <c r="D129" s="332"/>
      <c r="E129" s="332"/>
      <c r="F129" s="332"/>
      <c r="G129" s="332"/>
      <c r="H129" s="332"/>
      <c r="I129" s="332"/>
      <c r="J129" s="78">
        <f>ROUND(SUM(E132),2)</f>
        <v>1224.94</v>
      </c>
      <c r="K129" s="183" t="s">
        <v>369</v>
      </c>
    </row>
    <row r="130" spans="1:11" ht="15" customHeight="1">
      <c r="A130" s="333"/>
      <c r="B130" s="333"/>
      <c r="C130" s="333"/>
      <c r="D130" s="76" t="s">
        <v>147</v>
      </c>
      <c r="E130" s="76" t="s">
        <v>142</v>
      </c>
      <c r="F130" s="25"/>
      <c r="G130" s="25"/>
      <c r="H130" s="25"/>
      <c r="I130" s="25"/>
      <c r="J130" s="25"/>
    </row>
    <row r="131" spans="1:11">
      <c r="A131" s="330" t="s">
        <v>291</v>
      </c>
      <c r="B131" s="330"/>
      <c r="C131" s="75" t="s">
        <v>149</v>
      </c>
      <c r="D131" s="74">
        <v>1224.94</v>
      </c>
      <c r="E131" s="73">
        <f>ROUND(D131,2)</f>
        <v>1224.94</v>
      </c>
      <c r="F131" s="25"/>
      <c r="G131" s="25"/>
      <c r="H131" s="25"/>
      <c r="I131" s="25"/>
      <c r="J131" s="25"/>
      <c r="K131" s="185"/>
    </row>
    <row r="132" spans="1:11" ht="15" customHeight="1">
      <c r="A132" s="331"/>
      <c r="B132" s="331"/>
      <c r="C132" s="72"/>
      <c r="D132" s="71"/>
      <c r="E132" s="70">
        <f>ROUND(SUM(E131:E131),2)</f>
        <v>1224.94</v>
      </c>
      <c r="F132" s="25"/>
      <c r="G132" s="25"/>
      <c r="H132" s="25"/>
      <c r="I132" s="25"/>
      <c r="J132" s="25"/>
    </row>
    <row r="133" spans="1:11" ht="9.9" customHeight="1">
      <c r="A133" s="328"/>
      <c r="B133" s="328"/>
      <c r="C133" s="328"/>
      <c r="D133" s="328"/>
      <c r="E133" s="25"/>
      <c r="F133" s="25"/>
      <c r="G133" s="25"/>
      <c r="H133" s="25"/>
      <c r="I133" s="25"/>
      <c r="J133" s="25"/>
    </row>
    <row r="134" spans="1:11" ht="12" customHeight="1">
      <c r="A134" s="25"/>
      <c r="B134" s="25"/>
      <c r="C134" s="25"/>
      <c r="D134" s="25"/>
      <c r="E134" s="323" t="str">
        <f>"TOTAL DA MEMÓRIA DE CÁLCULO: "&amp;TEXT(J129,"0,00")</f>
        <v>TOTAL DA MEMÓRIA DE CÁLCULO: 1224,94</v>
      </c>
      <c r="F134" s="323"/>
      <c r="G134" s="323"/>
      <c r="H134" s="323"/>
      <c r="I134" s="323"/>
      <c r="J134" s="323"/>
    </row>
    <row r="135" spans="1:11" ht="9.9" customHeight="1">
      <c r="A135" s="328"/>
      <c r="B135" s="328"/>
      <c r="C135" s="328"/>
      <c r="D135" s="328"/>
      <c r="E135" s="25"/>
      <c r="F135" s="25"/>
      <c r="G135" s="25"/>
      <c r="H135" s="25"/>
      <c r="I135" s="25"/>
      <c r="J135" s="25"/>
    </row>
    <row r="136" spans="1:11">
      <c r="A136" s="327" t="s">
        <v>296</v>
      </c>
      <c r="B136" s="327"/>
      <c r="C136" s="327"/>
      <c r="D136" s="327"/>
      <c r="E136" s="327"/>
      <c r="F136" s="327"/>
      <c r="G136" s="327"/>
      <c r="H136" s="327"/>
      <c r="I136" s="327"/>
      <c r="J136" s="327"/>
    </row>
    <row r="137" spans="1:11" ht="9.9" customHeight="1">
      <c r="A137" s="328"/>
      <c r="B137" s="328"/>
      <c r="C137" s="328"/>
      <c r="D137" s="328"/>
      <c r="E137" s="25"/>
      <c r="F137" s="25"/>
      <c r="G137" s="25"/>
      <c r="H137" s="25"/>
      <c r="I137" s="25"/>
      <c r="J137" s="25"/>
    </row>
    <row r="138" spans="1:11" ht="73.5" customHeight="1">
      <c r="A138" s="77" t="s">
        <v>74</v>
      </c>
      <c r="B138" s="77" t="s">
        <v>264</v>
      </c>
      <c r="C138" s="336" t="s">
        <v>414</v>
      </c>
      <c r="D138" s="337"/>
      <c r="E138" s="337"/>
      <c r="F138" s="337"/>
      <c r="G138" s="337"/>
      <c r="H138" s="337"/>
      <c r="I138" s="338"/>
      <c r="J138" s="78">
        <f>ROUND(SUM(E142),2)</f>
        <v>2</v>
      </c>
      <c r="K138" s="183" t="s">
        <v>369</v>
      </c>
    </row>
    <row r="139" spans="1:11" ht="15" customHeight="1">
      <c r="A139" s="330"/>
      <c r="B139" s="330"/>
      <c r="C139" s="75"/>
      <c r="D139" s="76" t="s">
        <v>129</v>
      </c>
      <c r="E139" s="76" t="s">
        <v>142</v>
      </c>
      <c r="F139" s="25"/>
      <c r="G139" s="25"/>
      <c r="H139" s="25"/>
      <c r="I139" s="25"/>
      <c r="J139" s="25"/>
    </row>
    <row r="140" spans="1:11">
      <c r="A140" s="324" t="s">
        <v>283</v>
      </c>
      <c r="B140" s="325"/>
      <c r="C140" s="326"/>
      <c r="D140" s="74"/>
      <c r="E140" s="73"/>
      <c r="F140" s="25"/>
      <c r="G140" s="25"/>
      <c r="H140" s="25"/>
      <c r="I140" s="25"/>
      <c r="J140" s="25"/>
    </row>
    <row r="141" spans="1:11" ht="12.75" customHeight="1">
      <c r="A141" s="330" t="s">
        <v>295</v>
      </c>
      <c r="B141" s="330"/>
      <c r="C141" s="75" t="s">
        <v>145</v>
      </c>
      <c r="D141" s="74">
        <v>2</v>
      </c>
      <c r="E141" s="73">
        <f t="shared" ref="E141" si="3">ROUND(D141,2)</f>
        <v>2</v>
      </c>
      <c r="F141" s="25"/>
      <c r="G141" s="25"/>
      <c r="H141" s="25"/>
      <c r="I141" s="25"/>
      <c r="J141" s="25"/>
    </row>
    <row r="142" spans="1:11" ht="15" customHeight="1">
      <c r="A142" s="331"/>
      <c r="B142" s="331"/>
      <c r="C142" s="72"/>
      <c r="D142" s="71"/>
      <c r="E142" s="70">
        <f>ROUND(SUM(E141:E141),2)</f>
        <v>2</v>
      </c>
      <c r="F142" s="25"/>
      <c r="G142" s="25"/>
      <c r="H142" s="25"/>
      <c r="I142" s="25"/>
      <c r="J142" s="25"/>
    </row>
    <row r="143" spans="1:11" ht="9.9" customHeight="1">
      <c r="A143" s="328"/>
      <c r="B143" s="328"/>
      <c r="C143" s="328"/>
      <c r="D143" s="328"/>
      <c r="E143" s="25"/>
      <c r="F143" s="25"/>
      <c r="G143" s="25"/>
      <c r="H143" s="25"/>
      <c r="I143" s="25"/>
      <c r="J143" s="25"/>
    </row>
    <row r="144" spans="1:11" ht="12" customHeight="1">
      <c r="A144" s="25"/>
      <c r="B144" s="25"/>
      <c r="C144" s="25"/>
      <c r="D144" s="25"/>
      <c r="E144" s="323" t="str">
        <f>"TOTAL DA MEMÓRIA DE CÁLCULO: "&amp;TEXT(J138,"0,00")</f>
        <v>TOTAL DA MEMÓRIA DE CÁLCULO: 2,00</v>
      </c>
      <c r="F144" s="323"/>
      <c r="G144" s="323"/>
      <c r="H144" s="323"/>
      <c r="I144" s="323"/>
      <c r="J144" s="323"/>
    </row>
    <row r="145" spans="1:11" ht="9.9" customHeight="1">
      <c r="A145" s="328"/>
      <c r="B145" s="328"/>
      <c r="C145" s="328"/>
      <c r="D145" s="328"/>
      <c r="E145" s="328"/>
      <c r="F145" s="25"/>
      <c r="G145" s="25"/>
      <c r="H145" s="25"/>
      <c r="I145" s="25"/>
      <c r="J145" s="25"/>
    </row>
    <row r="146" spans="1:11">
      <c r="A146" s="344" t="s">
        <v>297</v>
      </c>
      <c r="B146" s="345"/>
      <c r="C146" s="345"/>
      <c r="D146" s="345"/>
      <c r="E146" s="345"/>
      <c r="F146" s="345"/>
      <c r="G146" s="345"/>
      <c r="H146" s="345"/>
      <c r="I146" s="345"/>
      <c r="J146" s="346"/>
    </row>
    <row r="147" spans="1:11" ht="9.9" customHeight="1">
      <c r="A147" s="328"/>
      <c r="B147" s="328"/>
      <c r="C147" s="328"/>
      <c r="D147" s="328"/>
      <c r="E147" s="25"/>
      <c r="F147" s="25"/>
      <c r="G147" s="25"/>
      <c r="H147" s="25"/>
      <c r="I147" s="25"/>
      <c r="J147" s="25"/>
    </row>
    <row r="148" spans="1:11">
      <c r="A148" s="327" t="s">
        <v>298</v>
      </c>
      <c r="B148" s="327"/>
      <c r="C148" s="327"/>
      <c r="D148" s="327"/>
      <c r="E148" s="327"/>
      <c r="F148" s="327"/>
      <c r="G148" s="327"/>
      <c r="H148" s="327"/>
      <c r="I148" s="327"/>
      <c r="J148" s="327"/>
    </row>
    <row r="149" spans="1:11" ht="9.9" customHeight="1">
      <c r="A149" s="328"/>
      <c r="B149" s="328"/>
      <c r="C149" s="328"/>
      <c r="D149" s="328"/>
      <c r="E149" s="25"/>
      <c r="F149" s="25"/>
      <c r="G149" s="25"/>
      <c r="H149" s="25"/>
      <c r="I149" s="25"/>
      <c r="J149" s="25"/>
    </row>
    <row r="150" spans="1:11" ht="54.9" customHeight="1">
      <c r="A150" s="77" t="s">
        <v>299</v>
      </c>
      <c r="B150" s="77" t="s">
        <v>152</v>
      </c>
      <c r="C150" s="332" t="s">
        <v>151</v>
      </c>
      <c r="D150" s="332"/>
      <c r="E150" s="332"/>
      <c r="F150" s="332"/>
      <c r="G150" s="332"/>
      <c r="H150" s="332"/>
      <c r="I150" s="332"/>
      <c r="J150" s="78">
        <f>ROUND(SUM(F154),2)</f>
        <v>94.79</v>
      </c>
      <c r="K150" s="183" t="s">
        <v>369</v>
      </c>
    </row>
    <row r="151" spans="1:11" ht="15" customHeight="1">
      <c r="A151" s="333"/>
      <c r="B151" s="333"/>
      <c r="C151" s="333"/>
      <c r="D151" s="79" t="s">
        <v>143</v>
      </c>
      <c r="E151" s="76" t="s">
        <v>146</v>
      </c>
      <c r="F151" s="76" t="s">
        <v>142</v>
      </c>
      <c r="G151" s="25"/>
      <c r="H151" s="25"/>
      <c r="I151" s="25"/>
      <c r="J151" s="25"/>
    </row>
    <row r="152" spans="1:11">
      <c r="A152" s="330" t="s">
        <v>292</v>
      </c>
      <c r="B152" s="330" t="s">
        <v>268</v>
      </c>
      <c r="C152" s="75" t="s">
        <v>150</v>
      </c>
      <c r="D152" s="74">
        <v>54.42</v>
      </c>
      <c r="E152" s="74">
        <v>2</v>
      </c>
      <c r="F152" s="73">
        <f t="shared" ref="F152" si="4">ROUND(D152 * E152,2)</f>
        <v>108.84</v>
      </c>
      <c r="G152" s="25"/>
      <c r="H152" s="25"/>
      <c r="I152" s="25"/>
      <c r="J152" s="25"/>
    </row>
    <row r="153" spans="1:11">
      <c r="A153" s="330" t="s">
        <v>511</v>
      </c>
      <c r="B153" s="330"/>
      <c r="C153" s="75" t="s">
        <v>150</v>
      </c>
      <c r="D153" s="74">
        <v>14.05</v>
      </c>
      <c r="E153" s="74">
        <v>-1</v>
      </c>
      <c r="F153" s="73">
        <f>ROUND(D153 * E153,2)</f>
        <v>-14.05</v>
      </c>
      <c r="G153" s="25"/>
      <c r="H153" s="25"/>
      <c r="I153" s="25"/>
      <c r="J153" s="25"/>
    </row>
    <row r="154" spans="1:11" ht="15" customHeight="1">
      <c r="A154" s="331"/>
      <c r="B154" s="331"/>
      <c r="C154" s="72"/>
      <c r="D154" s="71"/>
      <c r="E154" s="71"/>
      <c r="F154" s="70">
        <f>ROUND(SUM(F152:F153),2)</f>
        <v>94.79</v>
      </c>
      <c r="G154" s="25"/>
      <c r="H154" s="25"/>
      <c r="I154" s="25"/>
      <c r="J154" s="25"/>
    </row>
    <row r="155" spans="1:11" ht="9.9" customHeight="1">
      <c r="A155" s="328"/>
      <c r="B155" s="328"/>
      <c r="C155" s="328"/>
      <c r="D155" s="328"/>
      <c r="E155" s="25"/>
      <c r="F155" s="25"/>
      <c r="G155" s="25"/>
      <c r="H155" s="25"/>
      <c r="I155" s="25"/>
      <c r="J155" s="25"/>
    </row>
    <row r="156" spans="1:11" ht="12" customHeight="1">
      <c r="A156" s="25"/>
      <c r="B156" s="25"/>
      <c r="C156" s="25"/>
      <c r="D156" s="25"/>
      <c r="E156" s="323" t="str">
        <f>"TOTAL DA MEMÓRIA DE CÁLCULO: "&amp;TEXT(J150,"0,00")</f>
        <v>TOTAL DA MEMÓRIA DE CÁLCULO: 94,79</v>
      </c>
      <c r="F156" s="323"/>
      <c r="G156" s="323"/>
      <c r="H156" s="323"/>
      <c r="I156" s="323"/>
      <c r="J156" s="323"/>
    </row>
    <row r="157" spans="1:11" ht="9.9" customHeight="1">
      <c r="A157" s="328"/>
      <c r="B157" s="328"/>
      <c r="C157" s="328"/>
      <c r="D157" s="328"/>
      <c r="E157" s="328"/>
      <c r="F157" s="25"/>
      <c r="G157" s="25"/>
      <c r="H157" s="25"/>
      <c r="I157" s="25"/>
      <c r="J157" s="25"/>
    </row>
    <row r="158" spans="1:11" ht="63" customHeight="1">
      <c r="A158" s="77" t="s">
        <v>300</v>
      </c>
      <c r="B158" s="77" t="s">
        <v>260</v>
      </c>
      <c r="C158" s="332" t="s">
        <v>259</v>
      </c>
      <c r="D158" s="332"/>
      <c r="E158" s="332"/>
      <c r="F158" s="332"/>
      <c r="G158" s="332"/>
      <c r="H158" s="332"/>
      <c r="I158" s="332"/>
      <c r="J158" s="78">
        <f>ROUND(SUM(E161),2)</f>
        <v>390.32</v>
      </c>
      <c r="K158" s="183" t="s">
        <v>369</v>
      </c>
    </row>
    <row r="159" spans="1:11" ht="15" customHeight="1">
      <c r="A159" s="333"/>
      <c r="B159" s="333"/>
      <c r="C159" s="333"/>
      <c r="D159" s="76" t="s">
        <v>147</v>
      </c>
      <c r="E159" s="76" t="s">
        <v>142</v>
      </c>
      <c r="F159" s="25"/>
      <c r="G159" s="25"/>
      <c r="H159" s="25"/>
      <c r="I159" s="25"/>
      <c r="J159" s="25"/>
    </row>
    <row r="160" spans="1:11">
      <c r="A160" s="330" t="s">
        <v>291</v>
      </c>
      <c r="B160" s="330"/>
      <c r="C160" s="75" t="s">
        <v>149</v>
      </c>
      <c r="D160" s="74">
        <v>390.32</v>
      </c>
      <c r="E160" s="73">
        <f>ROUND(D160,2)</f>
        <v>390.32</v>
      </c>
      <c r="F160" s="25"/>
      <c r="G160" s="25"/>
      <c r="H160" s="25"/>
      <c r="I160" s="25"/>
      <c r="J160" s="25"/>
    </row>
    <row r="161" spans="1:11" ht="15" customHeight="1">
      <c r="A161" s="331"/>
      <c r="B161" s="331"/>
      <c r="C161" s="72"/>
      <c r="D161" s="71"/>
      <c r="E161" s="70">
        <f>ROUND(SUM(E160:E160),2)</f>
        <v>390.32</v>
      </c>
      <c r="F161" s="25"/>
      <c r="G161" s="25"/>
      <c r="H161" s="25"/>
      <c r="I161" s="25"/>
      <c r="J161" s="25"/>
    </row>
    <row r="162" spans="1:11" ht="9.9" customHeight="1">
      <c r="A162" s="328"/>
      <c r="B162" s="328"/>
      <c r="C162" s="328"/>
      <c r="D162" s="328"/>
      <c r="E162" s="25"/>
      <c r="F162" s="25"/>
      <c r="G162" s="25"/>
      <c r="H162" s="25"/>
      <c r="I162" s="25"/>
      <c r="J162" s="25"/>
    </row>
    <row r="163" spans="1:11" ht="12" customHeight="1">
      <c r="A163" s="25"/>
      <c r="B163" s="25"/>
      <c r="C163" s="25"/>
      <c r="D163" s="25"/>
      <c r="E163" s="323" t="str">
        <f>"TOTAL DA MEMÓRIA DE CÁLCULO: "&amp;TEXT(J158,"0,00")</f>
        <v>TOTAL DA MEMÓRIA DE CÁLCULO: 390,32</v>
      </c>
      <c r="F163" s="323"/>
      <c r="G163" s="323"/>
      <c r="H163" s="323"/>
      <c r="I163" s="323"/>
      <c r="J163" s="323"/>
    </row>
    <row r="164" spans="1:11" ht="9.9" customHeight="1">
      <c r="A164" s="328"/>
      <c r="B164" s="328"/>
      <c r="C164" s="328"/>
      <c r="D164" s="328"/>
      <c r="E164" s="25"/>
      <c r="F164" s="25"/>
      <c r="G164" s="25"/>
      <c r="H164" s="25"/>
      <c r="I164" s="25"/>
      <c r="J164" s="25"/>
    </row>
    <row r="165" spans="1:11">
      <c r="A165" s="327" t="s">
        <v>301</v>
      </c>
      <c r="B165" s="327"/>
      <c r="C165" s="327"/>
      <c r="D165" s="327"/>
      <c r="E165" s="327"/>
      <c r="F165" s="327"/>
      <c r="G165" s="327"/>
      <c r="H165" s="327"/>
      <c r="I165" s="327"/>
      <c r="J165" s="327"/>
    </row>
    <row r="166" spans="1:11" ht="9.9" customHeight="1">
      <c r="A166" s="328"/>
      <c r="B166" s="328"/>
      <c r="C166" s="328"/>
      <c r="D166" s="328"/>
      <c r="E166" s="25"/>
      <c r="F166" s="25"/>
      <c r="G166" s="25"/>
      <c r="H166" s="25"/>
      <c r="I166" s="25"/>
      <c r="J166" s="25"/>
    </row>
    <row r="167" spans="1:11" ht="74.25" customHeight="1">
      <c r="A167" s="77" t="s">
        <v>302</v>
      </c>
      <c r="B167" s="77" t="s">
        <v>264</v>
      </c>
      <c r="C167" s="336" t="s">
        <v>414</v>
      </c>
      <c r="D167" s="337"/>
      <c r="E167" s="337"/>
      <c r="F167" s="337"/>
      <c r="G167" s="337"/>
      <c r="H167" s="337"/>
      <c r="I167" s="338"/>
      <c r="J167" s="78">
        <f>ROUND(SUM(E171),2)</f>
        <v>2</v>
      </c>
      <c r="K167" s="183" t="s">
        <v>369</v>
      </c>
    </row>
    <row r="168" spans="1:11" ht="15" customHeight="1">
      <c r="A168" s="330"/>
      <c r="B168" s="330"/>
      <c r="C168" s="75"/>
      <c r="D168" s="76" t="s">
        <v>129</v>
      </c>
      <c r="E168" s="76" t="s">
        <v>142</v>
      </c>
      <c r="F168" s="25"/>
      <c r="G168" s="25"/>
      <c r="H168" s="25"/>
      <c r="I168" s="25"/>
      <c r="J168" s="25"/>
    </row>
    <row r="169" spans="1:11">
      <c r="A169" s="324" t="s">
        <v>283</v>
      </c>
      <c r="B169" s="325"/>
      <c r="C169" s="326"/>
      <c r="D169" s="74"/>
      <c r="E169" s="73"/>
      <c r="F169" s="25"/>
      <c r="G169" s="25"/>
      <c r="H169" s="25"/>
      <c r="I169" s="25"/>
      <c r="J169" s="25"/>
    </row>
    <row r="170" spans="1:11" ht="15" customHeight="1">
      <c r="A170" s="330" t="s">
        <v>284</v>
      </c>
      <c r="B170" s="330"/>
      <c r="C170" s="75" t="s">
        <v>145</v>
      </c>
      <c r="D170" s="74">
        <v>2</v>
      </c>
      <c r="E170" s="73">
        <f t="shared" ref="E170" si="5">ROUND(D170,2)</f>
        <v>2</v>
      </c>
      <c r="F170" s="25"/>
      <c r="G170" s="25"/>
      <c r="H170" s="25"/>
      <c r="I170" s="25"/>
      <c r="J170" s="25"/>
    </row>
    <row r="171" spans="1:11" ht="15" customHeight="1">
      <c r="A171" s="331"/>
      <c r="B171" s="331"/>
      <c r="C171" s="72"/>
      <c r="D171" s="71"/>
      <c r="E171" s="70">
        <f>ROUND(SUM(E169:E170),2)</f>
        <v>2</v>
      </c>
      <c r="F171" s="25"/>
      <c r="G171" s="25"/>
      <c r="H171" s="25"/>
      <c r="I171" s="25"/>
      <c r="J171" s="25"/>
    </row>
    <row r="172" spans="1:11" ht="9.9" customHeight="1">
      <c r="A172" s="328"/>
      <c r="B172" s="328"/>
      <c r="C172" s="328"/>
      <c r="D172" s="328"/>
      <c r="E172" s="25"/>
      <c r="F172" s="25"/>
      <c r="G172" s="25"/>
      <c r="H172" s="25"/>
      <c r="I172" s="25"/>
      <c r="J172" s="25"/>
    </row>
    <row r="173" spans="1:11" ht="12" customHeight="1">
      <c r="A173" s="25"/>
      <c r="B173" s="25"/>
      <c r="C173" s="25"/>
      <c r="D173" s="25"/>
      <c r="E173" s="323" t="str">
        <f>"TOTAL DA MEMÓRIA DE CÁLCULO: "&amp;TEXT(J167,"0,00")</f>
        <v>TOTAL DA MEMÓRIA DE CÁLCULO: 2,00</v>
      </c>
      <c r="F173" s="323"/>
      <c r="G173" s="323"/>
      <c r="H173" s="323"/>
      <c r="I173" s="323"/>
      <c r="J173" s="323"/>
    </row>
    <row r="174" spans="1:11" ht="9.9" customHeight="1">
      <c r="A174" s="328"/>
      <c r="B174" s="328"/>
      <c r="C174" s="328"/>
      <c r="D174" s="328"/>
      <c r="E174" s="328"/>
      <c r="F174" s="25"/>
      <c r="G174" s="25"/>
      <c r="H174" s="25"/>
      <c r="I174" s="25"/>
      <c r="J174" s="25"/>
    </row>
    <row r="175" spans="1:11">
      <c r="A175" s="327" t="s">
        <v>303</v>
      </c>
      <c r="B175" s="327"/>
      <c r="C175" s="327"/>
      <c r="D175" s="327"/>
      <c r="E175" s="327"/>
      <c r="F175" s="327"/>
      <c r="G175" s="327"/>
      <c r="H175" s="327"/>
      <c r="I175" s="327"/>
      <c r="J175" s="327"/>
    </row>
    <row r="176" spans="1:11" ht="9.9" customHeight="1">
      <c r="A176" s="328"/>
      <c r="B176" s="328"/>
      <c r="C176" s="328"/>
      <c r="D176" s="328"/>
      <c r="E176" s="25"/>
      <c r="F176" s="25"/>
      <c r="G176" s="25"/>
      <c r="H176" s="25"/>
      <c r="I176" s="25"/>
      <c r="J176" s="25"/>
    </row>
    <row r="177" spans="1:11">
      <c r="A177" s="327" t="s">
        <v>304</v>
      </c>
      <c r="B177" s="327"/>
      <c r="C177" s="327"/>
      <c r="D177" s="327"/>
      <c r="E177" s="327"/>
      <c r="F177" s="327"/>
      <c r="G177" s="327"/>
      <c r="H177" s="327"/>
      <c r="I177" s="327"/>
      <c r="J177" s="327"/>
    </row>
    <row r="178" spans="1:11" ht="9.9" customHeight="1">
      <c r="A178" s="328"/>
      <c r="B178" s="328"/>
      <c r="C178" s="328"/>
      <c r="D178" s="328"/>
      <c r="E178" s="25"/>
      <c r="F178" s="25"/>
      <c r="G178" s="25"/>
      <c r="H178" s="25"/>
      <c r="I178" s="25"/>
      <c r="J178" s="25"/>
    </row>
    <row r="179" spans="1:11" ht="54.9" customHeight="1">
      <c r="A179" s="77" t="s">
        <v>305</v>
      </c>
      <c r="B179" s="77" t="s">
        <v>152</v>
      </c>
      <c r="C179" s="332" t="s">
        <v>151</v>
      </c>
      <c r="D179" s="332"/>
      <c r="E179" s="332"/>
      <c r="F179" s="332"/>
      <c r="G179" s="332"/>
      <c r="H179" s="332"/>
      <c r="I179" s="332"/>
      <c r="J179" s="78">
        <f>ROUND(SUM(F187),2)</f>
        <v>1152.42</v>
      </c>
      <c r="K179" s="183" t="s">
        <v>369</v>
      </c>
    </row>
    <row r="180" spans="1:11" ht="15" customHeight="1">
      <c r="A180" s="333"/>
      <c r="B180" s="333"/>
      <c r="C180" s="333"/>
      <c r="D180" s="79" t="s">
        <v>143</v>
      </c>
      <c r="E180" s="76" t="s">
        <v>146</v>
      </c>
      <c r="F180" s="76" t="s">
        <v>142</v>
      </c>
      <c r="G180" s="25"/>
      <c r="H180" s="25"/>
      <c r="I180" s="25"/>
      <c r="J180" s="25"/>
    </row>
    <row r="181" spans="1:11" ht="15" customHeight="1">
      <c r="A181" s="330" t="s">
        <v>292</v>
      </c>
      <c r="B181" s="330" t="s">
        <v>269</v>
      </c>
      <c r="C181" s="75" t="s">
        <v>150</v>
      </c>
      <c r="D181" s="74">
        <v>576.94000000000005</v>
      </c>
      <c r="E181" s="74">
        <v>2</v>
      </c>
      <c r="F181" s="73">
        <f t="shared" ref="F181:F186" si="6">ROUND(D181 * E181,2)</f>
        <v>1153.8800000000001</v>
      </c>
      <c r="G181" s="25"/>
      <c r="H181" s="25"/>
      <c r="I181" s="25"/>
      <c r="J181" s="25"/>
    </row>
    <row r="182" spans="1:11" ht="15" customHeight="1">
      <c r="A182" s="330" t="s">
        <v>258</v>
      </c>
      <c r="B182" s="330"/>
      <c r="C182" s="75" t="s">
        <v>150</v>
      </c>
      <c r="D182" s="74">
        <v>4.75</v>
      </c>
      <c r="E182" s="74">
        <v>1</v>
      </c>
      <c r="F182" s="73">
        <f t="shared" si="6"/>
        <v>4.75</v>
      </c>
      <c r="G182" s="25"/>
      <c r="H182" s="25"/>
      <c r="I182" s="25"/>
      <c r="J182" s="25"/>
    </row>
    <row r="183" spans="1:11" ht="15" customHeight="1">
      <c r="A183" s="330" t="s">
        <v>372</v>
      </c>
      <c r="B183" s="330"/>
      <c r="C183" s="75" t="s">
        <v>150</v>
      </c>
      <c r="D183" s="74">
        <v>4.58</v>
      </c>
      <c r="E183" s="74">
        <v>1</v>
      </c>
      <c r="F183" s="73">
        <f t="shared" si="6"/>
        <v>4.58</v>
      </c>
      <c r="G183" s="25"/>
      <c r="H183" s="25"/>
      <c r="I183" s="25"/>
      <c r="J183" s="25"/>
    </row>
    <row r="184" spans="1:11">
      <c r="A184" s="330" t="s">
        <v>373</v>
      </c>
      <c r="B184" s="330"/>
      <c r="C184" s="75" t="s">
        <v>150</v>
      </c>
      <c r="D184" s="74">
        <v>11.28</v>
      </c>
      <c r="E184" s="74">
        <v>-1</v>
      </c>
      <c r="F184" s="73">
        <f t="shared" si="6"/>
        <v>-11.28</v>
      </c>
      <c r="G184" s="25"/>
      <c r="H184" s="25"/>
      <c r="I184" s="25"/>
      <c r="J184" s="25"/>
    </row>
    <row r="185" spans="1:11">
      <c r="A185" s="330" t="s">
        <v>374</v>
      </c>
      <c r="B185" s="330" t="s">
        <v>269</v>
      </c>
      <c r="C185" s="75" t="s">
        <v>150</v>
      </c>
      <c r="D185" s="74">
        <v>2.89</v>
      </c>
      <c r="E185" s="74">
        <v>2</v>
      </c>
      <c r="F185" s="73">
        <f t="shared" si="6"/>
        <v>5.78</v>
      </c>
      <c r="G185" s="25"/>
      <c r="H185" s="25"/>
      <c r="I185" s="25"/>
      <c r="J185" s="25"/>
    </row>
    <row r="186" spans="1:11" ht="15" customHeight="1">
      <c r="A186" s="330" t="s">
        <v>375</v>
      </c>
      <c r="B186" s="330"/>
      <c r="C186" s="75" t="s">
        <v>150</v>
      </c>
      <c r="D186" s="74">
        <v>5.29</v>
      </c>
      <c r="E186" s="74">
        <v>-1</v>
      </c>
      <c r="F186" s="73">
        <f t="shared" si="6"/>
        <v>-5.29</v>
      </c>
      <c r="G186" s="25"/>
      <c r="H186" s="25"/>
      <c r="I186" s="25"/>
      <c r="J186" s="25"/>
    </row>
    <row r="187" spans="1:11" ht="15" customHeight="1">
      <c r="A187" s="331"/>
      <c r="B187" s="331"/>
      <c r="C187" s="72"/>
      <c r="D187" s="71"/>
      <c r="E187" s="71"/>
      <c r="F187" s="70">
        <f>ROUND(SUM(F181:F186),2)</f>
        <v>1152.42</v>
      </c>
      <c r="G187" s="25"/>
      <c r="H187" s="25"/>
      <c r="I187" s="25"/>
      <c r="J187" s="25"/>
    </row>
    <row r="188" spans="1:11" ht="9.9" customHeight="1">
      <c r="A188" s="328"/>
      <c r="B188" s="328"/>
      <c r="C188" s="328"/>
      <c r="D188" s="328"/>
      <c r="E188" s="25"/>
      <c r="F188" s="25"/>
      <c r="G188" s="25"/>
      <c r="H188" s="25"/>
      <c r="I188" s="25"/>
      <c r="J188" s="25"/>
    </row>
    <row r="189" spans="1:11" ht="12" customHeight="1">
      <c r="A189" s="25"/>
      <c r="B189" s="25"/>
      <c r="C189" s="25"/>
      <c r="D189" s="25"/>
      <c r="E189" s="323" t="str">
        <f>"TOTAL DA MEMÓRIA DE CÁLCULO: "&amp;TEXT(J179,"0,00")</f>
        <v>TOTAL DA MEMÓRIA DE CÁLCULO: 1152,42</v>
      </c>
      <c r="F189" s="323"/>
      <c r="G189" s="323"/>
      <c r="H189" s="323"/>
      <c r="I189" s="323"/>
      <c r="J189" s="323"/>
    </row>
    <row r="190" spans="1:11" ht="9.9" customHeight="1">
      <c r="A190" s="328"/>
      <c r="B190" s="328"/>
      <c r="C190" s="328"/>
      <c r="D190" s="328"/>
      <c r="E190" s="328"/>
      <c r="F190" s="25"/>
      <c r="G190" s="25"/>
      <c r="H190" s="25"/>
      <c r="I190" s="25"/>
      <c r="J190" s="25"/>
    </row>
    <row r="191" spans="1:11" ht="63" customHeight="1">
      <c r="A191" s="77" t="s">
        <v>306</v>
      </c>
      <c r="B191" s="77" t="s">
        <v>260</v>
      </c>
      <c r="C191" s="332" t="s">
        <v>259</v>
      </c>
      <c r="D191" s="332"/>
      <c r="E191" s="332"/>
      <c r="F191" s="332"/>
      <c r="G191" s="332"/>
      <c r="H191" s="332"/>
      <c r="I191" s="332"/>
      <c r="J191" s="78">
        <f>ROUND(SUM(E194),2)</f>
        <v>2899.34</v>
      </c>
      <c r="K191" s="183" t="s">
        <v>369</v>
      </c>
    </row>
    <row r="192" spans="1:11" ht="15" customHeight="1">
      <c r="A192" s="333"/>
      <c r="B192" s="333"/>
      <c r="C192" s="333"/>
      <c r="D192" s="76" t="s">
        <v>147</v>
      </c>
      <c r="E192" s="76" t="s">
        <v>142</v>
      </c>
      <c r="F192" s="25"/>
      <c r="G192" s="25"/>
      <c r="H192" s="25"/>
      <c r="I192" s="25"/>
      <c r="J192" s="25"/>
    </row>
    <row r="193" spans="1:11">
      <c r="A193" s="330" t="s">
        <v>291</v>
      </c>
      <c r="B193" s="330"/>
      <c r="C193" s="75" t="s">
        <v>149</v>
      </c>
      <c r="D193" s="74">
        <v>2899.34</v>
      </c>
      <c r="E193" s="73">
        <f>ROUND(D193,2)</f>
        <v>2899.34</v>
      </c>
      <c r="F193" s="25"/>
      <c r="G193" s="25"/>
      <c r="H193" s="25"/>
      <c r="I193" s="25"/>
      <c r="J193" s="25"/>
    </row>
    <row r="194" spans="1:11" ht="15" customHeight="1">
      <c r="A194" s="331"/>
      <c r="B194" s="331"/>
      <c r="C194" s="72"/>
      <c r="D194" s="71"/>
      <c r="E194" s="70">
        <f>ROUND(SUM(E193:E193),2)</f>
        <v>2899.34</v>
      </c>
      <c r="F194" s="25"/>
      <c r="G194" s="25"/>
      <c r="H194" s="25"/>
      <c r="I194" s="25"/>
      <c r="J194" s="25"/>
    </row>
    <row r="195" spans="1:11" ht="9.9" customHeight="1">
      <c r="A195" s="328"/>
      <c r="B195" s="328"/>
      <c r="C195" s="328"/>
      <c r="D195" s="328"/>
      <c r="E195" s="25"/>
      <c r="F195" s="25"/>
      <c r="G195" s="25"/>
      <c r="H195" s="25"/>
      <c r="I195" s="25"/>
      <c r="J195" s="25"/>
    </row>
    <row r="196" spans="1:11" ht="12" customHeight="1">
      <c r="A196" s="25"/>
      <c r="B196" s="25"/>
      <c r="C196" s="25"/>
      <c r="D196" s="25"/>
      <c r="E196" s="323" t="str">
        <f>"TOTAL DA MEMÓRIA DE CÁLCULO: "&amp;TEXT(J191,"0,00")</f>
        <v>TOTAL DA MEMÓRIA DE CÁLCULO: 2899,34</v>
      </c>
      <c r="F196" s="323"/>
      <c r="G196" s="323"/>
      <c r="H196" s="323"/>
      <c r="I196" s="323"/>
      <c r="J196" s="323"/>
    </row>
    <row r="197" spans="1:11" ht="9.9" customHeight="1">
      <c r="A197" s="328"/>
      <c r="B197" s="328"/>
      <c r="C197" s="328"/>
      <c r="D197" s="328"/>
      <c r="E197" s="25"/>
      <c r="F197" s="25"/>
      <c r="G197" s="25"/>
      <c r="H197" s="25"/>
      <c r="I197" s="25"/>
      <c r="J197" s="25"/>
    </row>
    <row r="198" spans="1:11">
      <c r="A198" s="327" t="s">
        <v>307</v>
      </c>
      <c r="B198" s="327"/>
      <c r="C198" s="327"/>
      <c r="D198" s="327"/>
      <c r="E198" s="327"/>
      <c r="F198" s="327"/>
      <c r="G198" s="327"/>
      <c r="H198" s="327"/>
      <c r="I198" s="327"/>
      <c r="J198" s="327"/>
    </row>
    <row r="199" spans="1:11" ht="9.9" customHeight="1">
      <c r="A199" s="328"/>
      <c r="B199" s="328"/>
      <c r="C199" s="328"/>
      <c r="D199" s="328"/>
      <c r="E199" s="25"/>
      <c r="F199" s="25"/>
      <c r="G199" s="25"/>
      <c r="H199" s="25"/>
      <c r="I199" s="25"/>
      <c r="J199" s="25"/>
    </row>
    <row r="200" spans="1:11" ht="72.75" customHeight="1">
      <c r="A200" s="77" t="s">
        <v>308</v>
      </c>
      <c r="B200" s="77" t="s">
        <v>264</v>
      </c>
      <c r="C200" s="336" t="s">
        <v>414</v>
      </c>
      <c r="D200" s="337"/>
      <c r="E200" s="337"/>
      <c r="F200" s="337"/>
      <c r="G200" s="337"/>
      <c r="H200" s="337"/>
      <c r="I200" s="338"/>
      <c r="J200" s="78">
        <f>ROUND(SUM(E204),2)</f>
        <v>2</v>
      </c>
      <c r="K200" s="183" t="s">
        <v>369</v>
      </c>
    </row>
    <row r="201" spans="1:11" ht="15" customHeight="1">
      <c r="A201" s="330"/>
      <c r="B201" s="330"/>
      <c r="C201" s="75"/>
      <c r="D201" s="76" t="s">
        <v>129</v>
      </c>
      <c r="E201" s="76" t="s">
        <v>142</v>
      </c>
      <c r="F201" s="25"/>
      <c r="G201" s="25"/>
      <c r="H201" s="25"/>
      <c r="I201" s="25"/>
      <c r="J201" s="25"/>
    </row>
    <row r="202" spans="1:11">
      <c r="A202" s="324" t="s">
        <v>283</v>
      </c>
      <c r="B202" s="325"/>
      <c r="C202" s="326"/>
      <c r="D202" s="74"/>
      <c r="E202" s="73"/>
      <c r="F202" s="25"/>
      <c r="G202" s="25"/>
      <c r="H202" s="25"/>
      <c r="I202" s="25"/>
      <c r="J202" s="25"/>
    </row>
    <row r="203" spans="1:11">
      <c r="A203" s="330" t="s">
        <v>284</v>
      </c>
      <c r="B203" s="330"/>
      <c r="C203" s="75" t="s">
        <v>145</v>
      </c>
      <c r="D203" s="74">
        <v>2</v>
      </c>
      <c r="E203" s="73">
        <f>ROUND(D203,2)</f>
        <v>2</v>
      </c>
      <c r="F203" s="25"/>
      <c r="G203" s="25"/>
      <c r="H203" s="25"/>
      <c r="I203" s="25"/>
      <c r="J203" s="25"/>
    </row>
    <row r="204" spans="1:11" ht="15" customHeight="1">
      <c r="A204" s="331"/>
      <c r="B204" s="331"/>
      <c r="C204" s="72"/>
      <c r="D204" s="71"/>
      <c r="E204" s="70">
        <f>ROUND(SUM(E203:E203),2)</f>
        <v>2</v>
      </c>
      <c r="F204" s="25"/>
      <c r="G204" s="25"/>
      <c r="H204" s="25"/>
      <c r="I204" s="25"/>
      <c r="J204" s="25"/>
    </row>
    <row r="205" spans="1:11" ht="9.9" customHeight="1">
      <c r="A205" s="328"/>
      <c r="B205" s="328"/>
      <c r="C205" s="328"/>
      <c r="D205" s="328"/>
      <c r="E205" s="25"/>
      <c r="F205" s="25"/>
      <c r="G205" s="25"/>
      <c r="H205" s="25"/>
      <c r="I205" s="25"/>
      <c r="J205" s="25"/>
    </row>
    <row r="206" spans="1:11" ht="12" customHeight="1">
      <c r="A206" s="25"/>
      <c r="B206" s="25"/>
      <c r="C206" s="25"/>
      <c r="D206" s="25"/>
      <c r="E206" s="323" t="str">
        <f>"TOTAL DA MEMÓRIA DE CÁLCULO: "&amp;TEXT(J200,"0,00")</f>
        <v>TOTAL DA MEMÓRIA DE CÁLCULO: 2,00</v>
      </c>
      <c r="F206" s="323"/>
      <c r="G206" s="323"/>
      <c r="H206" s="323"/>
      <c r="I206" s="323"/>
      <c r="J206" s="323"/>
    </row>
    <row r="207" spans="1:11" ht="9.9" customHeight="1">
      <c r="A207" s="328"/>
      <c r="B207" s="328"/>
      <c r="C207" s="328"/>
      <c r="D207" s="328"/>
      <c r="E207" s="328"/>
      <c r="F207" s="25"/>
      <c r="G207" s="25"/>
      <c r="H207" s="25"/>
      <c r="I207" s="25"/>
      <c r="J207" s="25"/>
    </row>
    <row r="208" spans="1:11">
      <c r="A208" s="327" t="s">
        <v>271</v>
      </c>
      <c r="B208" s="327"/>
      <c r="C208" s="327"/>
      <c r="D208" s="327"/>
      <c r="E208" s="327"/>
      <c r="F208" s="327"/>
      <c r="G208" s="327"/>
      <c r="H208" s="327"/>
      <c r="I208" s="327"/>
      <c r="J208" s="327"/>
    </row>
    <row r="209" spans="1:11" ht="9.9" customHeight="1">
      <c r="A209" s="328"/>
      <c r="B209" s="328"/>
      <c r="C209" s="328"/>
      <c r="D209" s="328"/>
      <c r="E209" s="25"/>
      <c r="F209" s="25"/>
      <c r="G209" s="25"/>
      <c r="H209" s="25"/>
      <c r="I209" s="25"/>
      <c r="J209" s="25"/>
    </row>
    <row r="210" spans="1:11">
      <c r="A210" s="327" t="s">
        <v>310</v>
      </c>
      <c r="B210" s="327"/>
      <c r="C210" s="327"/>
      <c r="D210" s="327"/>
      <c r="E210" s="327"/>
      <c r="F210" s="327"/>
      <c r="G210" s="327"/>
      <c r="H210" s="327"/>
      <c r="I210" s="327"/>
      <c r="J210" s="327"/>
    </row>
    <row r="211" spans="1:11" ht="9.9" customHeight="1">
      <c r="A211" s="328"/>
      <c r="B211" s="328"/>
      <c r="C211" s="328"/>
      <c r="D211" s="328"/>
      <c r="E211" s="25"/>
      <c r="F211" s="25"/>
      <c r="G211" s="25"/>
      <c r="H211" s="25"/>
      <c r="I211" s="25"/>
      <c r="J211" s="25"/>
    </row>
    <row r="212" spans="1:11">
      <c r="A212" s="327" t="s">
        <v>272</v>
      </c>
      <c r="B212" s="327"/>
      <c r="C212" s="327"/>
      <c r="D212" s="327"/>
      <c r="E212" s="327"/>
      <c r="F212" s="327"/>
      <c r="G212" s="327"/>
      <c r="H212" s="327"/>
      <c r="I212" s="327"/>
      <c r="J212" s="327"/>
    </row>
    <row r="213" spans="1:11" ht="9.9" customHeight="1">
      <c r="A213" s="328"/>
      <c r="B213" s="328"/>
      <c r="C213" s="328"/>
      <c r="D213" s="328"/>
      <c r="E213" s="25"/>
      <c r="F213" s="25"/>
      <c r="G213" s="25"/>
      <c r="H213" s="25"/>
      <c r="I213" s="25"/>
      <c r="J213" s="25"/>
    </row>
    <row r="214" spans="1:11" ht="54.9" customHeight="1">
      <c r="A214" s="77" t="s">
        <v>70</v>
      </c>
      <c r="B214" s="77" t="s">
        <v>152</v>
      </c>
      <c r="C214" s="332" t="s">
        <v>151</v>
      </c>
      <c r="D214" s="332"/>
      <c r="E214" s="332"/>
      <c r="F214" s="332"/>
      <c r="G214" s="332"/>
      <c r="H214" s="332"/>
      <c r="I214" s="332"/>
      <c r="J214" s="78">
        <f>ROUND(SUM(F219),2)</f>
        <v>2077.64</v>
      </c>
      <c r="K214" s="183" t="s">
        <v>369</v>
      </c>
    </row>
    <row r="215" spans="1:11" ht="15" customHeight="1">
      <c r="A215" s="333"/>
      <c r="B215" s="333"/>
      <c r="C215" s="333"/>
      <c r="D215" s="79" t="s">
        <v>143</v>
      </c>
      <c r="E215" s="76" t="s">
        <v>146</v>
      </c>
      <c r="F215" s="76" t="s">
        <v>142</v>
      </c>
      <c r="G215" s="25"/>
      <c r="H215" s="25"/>
      <c r="I215" s="25"/>
      <c r="J215" s="25"/>
    </row>
    <row r="216" spans="1:11">
      <c r="A216" s="330" t="s">
        <v>309</v>
      </c>
      <c r="B216" s="330"/>
      <c r="C216" s="75" t="s">
        <v>150</v>
      </c>
      <c r="D216" s="74">
        <v>1030.3599999999999</v>
      </c>
      <c r="E216" s="74">
        <v>2</v>
      </c>
      <c r="F216" s="73">
        <f>ROUND(D216 * E216,2)</f>
        <v>2060.7199999999998</v>
      </c>
      <c r="G216" s="25"/>
      <c r="H216" s="25"/>
      <c r="I216" s="25"/>
      <c r="J216" s="25"/>
    </row>
    <row r="217" spans="1:11">
      <c r="A217" s="330" t="s">
        <v>257</v>
      </c>
      <c r="B217" s="330"/>
      <c r="C217" s="75" t="s">
        <v>150</v>
      </c>
      <c r="D217" s="74">
        <v>6</v>
      </c>
      <c r="E217" s="74">
        <v>1</v>
      </c>
      <c r="F217" s="73">
        <f t="shared" ref="F217:F218" si="7">ROUND(D217 * E217,2)</f>
        <v>6</v>
      </c>
      <c r="G217" s="25"/>
      <c r="H217" s="25"/>
      <c r="I217" s="25"/>
      <c r="J217" s="25"/>
    </row>
    <row r="218" spans="1:11">
      <c r="A218" s="330" t="s">
        <v>508</v>
      </c>
      <c r="B218" s="330"/>
      <c r="C218" s="75" t="s">
        <v>150</v>
      </c>
      <c r="D218" s="74">
        <v>10.92</v>
      </c>
      <c r="E218" s="74">
        <v>1</v>
      </c>
      <c r="F218" s="73">
        <f t="shared" si="7"/>
        <v>10.92</v>
      </c>
      <c r="G218" s="25"/>
      <c r="H218" s="25"/>
      <c r="I218" s="25"/>
      <c r="J218" s="25"/>
    </row>
    <row r="219" spans="1:11" ht="15" customHeight="1">
      <c r="A219" s="331"/>
      <c r="B219" s="331"/>
      <c r="C219" s="72"/>
      <c r="D219" s="71"/>
      <c r="E219" s="71"/>
      <c r="F219" s="70">
        <f>ROUND(SUM(F216:F218),2)</f>
        <v>2077.64</v>
      </c>
      <c r="G219" s="25"/>
      <c r="H219" s="25"/>
      <c r="I219" s="25"/>
      <c r="J219" s="25"/>
    </row>
    <row r="220" spans="1:11" ht="9.9" customHeight="1">
      <c r="A220" s="328"/>
      <c r="B220" s="328"/>
      <c r="C220" s="328"/>
      <c r="D220" s="328"/>
      <c r="E220" s="25"/>
      <c r="F220" s="25"/>
      <c r="G220" s="25"/>
      <c r="H220" s="25"/>
      <c r="I220" s="25"/>
      <c r="J220" s="25"/>
    </row>
    <row r="221" spans="1:11" ht="12" customHeight="1">
      <c r="A221" s="25"/>
      <c r="B221" s="25"/>
      <c r="C221" s="25"/>
      <c r="D221" s="25"/>
      <c r="E221" s="323" t="str">
        <f>"TOTAL DA MEMÓRIA DE CÁLCULO: "&amp;TEXT(J214,"0,00")</f>
        <v>TOTAL DA MEMÓRIA DE CÁLCULO: 2077,64</v>
      </c>
      <c r="F221" s="323"/>
      <c r="G221" s="323"/>
      <c r="H221" s="323"/>
      <c r="I221" s="323"/>
      <c r="J221" s="323"/>
    </row>
    <row r="222" spans="1:11" ht="9.9" customHeight="1">
      <c r="A222" s="328"/>
      <c r="B222" s="328"/>
      <c r="C222" s="328"/>
      <c r="D222" s="328"/>
      <c r="E222" s="328"/>
      <c r="F222" s="25"/>
      <c r="G222" s="25"/>
      <c r="H222" s="25"/>
      <c r="I222" s="25"/>
      <c r="J222" s="25"/>
    </row>
    <row r="223" spans="1:11" ht="70.5" customHeight="1">
      <c r="A223" s="77" t="s">
        <v>69</v>
      </c>
      <c r="B223" s="77" t="s">
        <v>260</v>
      </c>
      <c r="C223" s="332" t="s">
        <v>259</v>
      </c>
      <c r="D223" s="332"/>
      <c r="E223" s="332"/>
      <c r="F223" s="332"/>
      <c r="G223" s="332"/>
      <c r="H223" s="332"/>
      <c r="I223" s="332"/>
      <c r="J223" s="78">
        <f>ROUND(SUM(E226),2)</f>
        <v>6226.66</v>
      </c>
      <c r="K223" s="183" t="s">
        <v>369</v>
      </c>
    </row>
    <row r="224" spans="1:11" ht="15" customHeight="1">
      <c r="A224" s="333"/>
      <c r="B224" s="333"/>
      <c r="C224" s="333"/>
      <c r="D224" s="76" t="s">
        <v>147</v>
      </c>
      <c r="E224" s="76" t="s">
        <v>142</v>
      </c>
      <c r="F224" s="25"/>
      <c r="G224" s="25"/>
      <c r="H224" s="25"/>
      <c r="I224" s="25"/>
      <c r="J224" s="25"/>
    </row>
    <row r="225" spans="1:11">
      <c r="A225" s="330" t="s">
        <v>291</v>
      </c>
      <c r="B225" s="330"/>
      <c r="C225" s="75" t="s">
        <v>149</v>
      </c>
      <c r="D225" s="74">
        <v>6226.66</v>
      </c>
      <c r="E225" s="73">
        <f>ROUND(D225,2)</f>
        <v>6226.66</v>
      </c>
      <c r="F225" s="25"/>
      <c r="G225" s="25"/>
      <c r="H225" s="25"/>
      <c r="I225" s="25"/>
      <c r="J225" s="25"/>
    </row>
    <row r="226" spans="1:11" ht="15" customHeight="1">
      <c r="A226" s="331"/>
      <c r="B226" s="331"/>
      <c r="C226" s="72"/>
      <c r="D226" s="71"/>
      <c r="E226" s="70">
        <f>ROUND(SUM(E225:E225),2)</f>
        <v>6226.66</v>
      </c>
      <c r="F226" s="25"/>
      <c r="G226" s="25"/>
      <c r="H226" s="25"/>
      <c r="I226" s="25"/>
      <c r="J226" s="25"/>
    </row>
    <row r="227" spans="1:11" ht="9.9" customHeight="1">
      <c r="A227" s="328"/>
      <c r="B227" s="328"/>
      <c r="C227" s="328"/>
      <c r="D227" s="328"/>
      <c r="E227" s="25"/>
      <c r="F227" s="25"/>
      <c r="G227" s="25"/>
      <c r="H227" s="25"/>
      <c r="I227" s="25"/>
      <c r="J227" s="25"/>
    </row>
    <row r="228" spans="1:11" ht="12" customHeight="1">
      <c r="A228" s="25"/>
      <c r="B228" s="25"/>
      <c r="C228" s="25"/>
      <c r="D228" s="25"/>
      <c r="E228" s="323" t="str">
        <f>"TOTAL DA MEMÓRIA DE CÁLCULO: "&amp;TEXT(J223,"0,00")</f>
        <v>TOTAL DA MEMÓRIA DE CÁLCULO: 6226,66</v>
      </c>
      <c r="F228" s="323"/>
      <c r="G228" s="323"/>
      <c r="H228" s="323"/>
      <c r="I228" s="323"/>
      <c r="J228" s="323"/>
    </row>
    <row r="229" spans="1:11">
      <c r="A229" s="327" t="s">
        <v>273</v>
      </c>
      <c r="B229" s="327"/>
      <c r="C229" s="327"/>
      <c r="D229" s="327"/>
      <c r="E229" s="327"/>
      <c r="F229" s="327"/>
      <c r="G229" s="327"/>
      <c r="H229" s="327"/>
      <c r="I229" s="327"/>
      <c r="J229" s="327"/>
    </row>
    <row r="230" spans="1:11" ht="9.9" customHeight="1">
      <c r="A230" s="328"/>
      <c r="B230" s="328"/>
      <c r="C230" s="328"/>
      <c r="D230" s="328"/>
      <c r="E230" s="25"/>
      <c r="F230" s="25"/>
      <c r="G230" s="25"/>
      <c r="H230" s="25"/>
      <c r="I230" s="25"/>
      <c r="J230" s="25"/>
    </row>
    <row r="231" spans="1:11" ht="76.5" customHeight="1">
      <c r="A231" s="77" t="s">
        <v>67</v>
      </c>
      <c r="B231" s="77" t="s">
        <v>264</v>
      </c>
      <c r="C231" s="336" t="s">
        <v>414</v>
      </c>
      <c r="D231" s="337"/>
      <c r="E231" s="337"/>
      <c r="F231" s="337"/>
      <c r="G231" s="337"/>
      <c r="H231" s="337"/>
      <c r="I231" s="338"/>
      <c r="J231" s="78">
        <f>ROUND(SUM(E235),2)</f>
        <v>2</v>
      </c>
      <c r="K231" s="183" t="s">
        <v>369</v>
      </c>
    </row>
    <row r="232" spans="1:11" ht="15" customHeight="1">
      <c r="A232" s="333"/>
      <c r="B232" s="333"/>
      <c r="C232" s="333"/>
      <c r="D232" s="76" t="s">
        <v>129</v>
      </c>
      <c r="E232" s="76" t="s">
        <v>142</v>
      </c>
      <c r="F232" s="25"/>
      <c r="G232" s="25"/>
      <c r="H232" s="25"/>
      <c r="I232" s="25"/>
      <c r="J232" s="25"/>
    </row>
    <row r="233" spans="1:11">
      <c r="A233" s="324" t="s">
        <v>283</v>
      </c>
      <c r="B233" s="325"/>
      <c r="C233" s="326"/>
      <c r="D233" s="74"/>
      <c r="E233" s="73"/>
      <c r="F233" s="25"/>
      <c r="G233" s="25"/>
      <c r="H233" s="25"/>
      <c r="I233" s="25"/>
      <c r="J233" s="25"/>
    </row>
    <row r="234" spans="1:11">
      <c r="A234" s="330" t="s">
        <v>284</v>
      </c>
      <c r="B234" s="330"/>
      <c r="C234" s="75" t="s">
        <v>145</v>
      </c>
      <c r="D234" s="74">
        <v>2</v>
      </c>
      <c r="E234" s="73">
        <f>ROUND(D234,2)</f>
        <v>2</v>
      </c>
      <c r="F234" s="25"/>
      <c r="G234" s="25"/>
      <c r="H234" s="25"/>
      <c r="I234" s="25"/>
      <c r="J234" s="25"/>
    </row>
    <row r="235" spans="1:11" ht="15" customHeight="1">
      <c r="A235" s="331"/>
      <c r="B235" s="331"/>
      <c r="C235" s="72"/>
      <c r="D235" s="71"/>
      <c r="E235" s="70">
        <f>ROUND(SUM(E234:E234),2)</f>
        <v>2</v>
      </c>
      <c r="F235" s="25"/>
      <c r="G235" s="25"/>
      <c r="H235" s="25"/>
      <c r="I235" s="25"/>
      <c r="J235" s="25"/>
    </row>
    <row r="236" spans="1:11" ht="9.9" customHeight="1">
      <c r="A236" s="328"/>
      <c r="B236" s="328"/>
      <c r="C236" s="328"/>
      <c r="D236" s="328"/>
      <c r="E236" s="25"/>
      <c r="F236" s="25"/>
      <c r="G236" s="25"/>
      <c r="H236" s="25"/>
      <c r="I236" s="25"/>
      <c r="J236" s="25"/>
    </row>
    <row r="237" spans="1:11" ht="12" customHeight="1">
      <c r="A237" s="25"/>
      <c r="B237" s="25"/>
      <c r="C237" s="25"/>
      <c r="D237" s="25"/>
      <c r="E237" s="323" t="str">
        <f>"TOTAL DA MEMÓRIA DE CÁLCULO: "&amp;TEXT(J231,"0,00")</f>
        <v>TOTAL DA MEMÓRIA DE CÁLCULO: 2,00</v>
      </c>
      <c r="F237" s="323"/>
      <c r="G237" s="323"/>
      <c r="H237" s="323"/>
      <c r="I237" s="323"/>
      <c r="J237" s="323"/>
    </row>
    <row r="238" spans="1:11" ht="9.9" customHeight="1">
      <c r="A238" s="328"/>
      <c r="B238" s="328"/>
      <c r="C238" s="328"/>
      <c r="D238" s="328"/>
      <c r="E238" s="328"/>
      <c r="F238" s="25"/>
      <c r="G238" s="25"/>
      <c r="H238" s="25"/>
      <c r="I238" s="25"/>
      <c r="J238" s="25"/>
    </row>
    <row r="239" spans="1:11">
      <c r="A239" s="327" t="s">
        <v>274</v>
      </c>
      <c r="B239" s="327"/>
      <c r="C239" s="327"/>
      <c r="D239" s="327"/>
      <c r="E239" s="327"/>
      <c r="F239" s="327"/>
      <c r="G239" s="327"/>
      <c r="H239" s="327"/>
      <c r="I239" s="327"/>
      <c r="J239" s="327"/>
    </row>
    <row r="240" spans="1:11" ht="9.9" customHeight="1">
      <c r="A240" s="328"/>
      <c r="B240" s="328"/>
      <c r="C240" s="328"/>
      <c r="D240" s="328"/>
      <c r="E240" s="25"/>
      <c r="F240" s="25"/>
      <c r="G240" s="25"/>
      <c r="H240" s="25"/>
      <c r="I240" s="25"/>
      <c r="J240" s="25"/>
    </row>
    <row r="241" spans="1:11">
      <c r="A241" s="327" t="s">
        <v>311</v>
      </c>
      <c r="B241" s="327"/>
      <c r="C241" s="327"/>
      <c r="D241" s="327"/>
      <c r="E241" s="327"/>
      <c r="F241" s="327"/>
      <c r="G241" s="327"/>
      <c r="H241" s="327"/>
      <c r="I241" s="327"/>
      <c r="J241" s="327"/>
    </row>
    <row r="242" spans="1:11" ht="9.9" customHeight="1">
      <c r="A242" s="328"/>
      <c r="B242" s="328"/>
      <c r="C242" s="328"/>
      <c r="D242" s="328"/>
      <c r="E242" s="25"/>
      <c r="F242" s="25"/>
      <c r="G242" s="25"/>
      <c r="H242" s="25"/>
      <c r="I242" s="25"/>
      <c r="J242" s="25"/>
    </row>
    <row r="243" spans="1:11" ht="20.100000000000001" customHeight="1">
      <c r="A243" s="327" t="s">
        <v>275</v>
      </c>
      <c r="B243" s="327"/>
      <c r="C243" s="327"/>
      <c r="D243" s="327"/>
      <c r="E243" s="327"/>
      <c r="F243" s="327"/>
      <c r="G243" s="327"/>
      <c r="H243" s="327"/>
      <c r="I243" s="327"/>
      <c r="J243" s="327"/>
    </row>
    <row r="244" spans="1:11" ht="9.9" customHeight="1">
      <c r="A244" s="328"/>
      <c r="B244" s="328"/>
      <c r="C244" s="328"/>
      <c r="D244" s="328"/>
      <c r="E244" s="25"/>
      <c r="F244" s="25"/>
      <c r="G244" s="25"/>
      <c r="H244" s="25"/>
      <c r="I244" s="25"/>
      <c r="J244" s="25"/>
    </row>
    <row r="245" spans="1:11" ht="54.9" customHeight="1">
      <c r="A245" s="77" t="s">
        <v>63</v>
      </c>
      <c r="B245" s="77" t="s">
        <v>152</v>
      </c>
      <c r="C245" s="332" t="s">
        <v>151</v>
      </c>
      <c r="D245" s="332"/>
      <c r="E245" s="332"/>
      <c r="F245" s="332"/>
      <c r="G245" s="332"/>
      <c r="H245" s="332"/>
      <c r="I245" s="332"/>
      <c r="J245" s="78">
        <f>ROUND(SUM(F251),2)</f>
        <v>1187.72</v>
      </c>
      <c r="K245" s="183" t="s">
        <v>369</v>
      </c>
    </row>
    <row r="246" spans="1:11" ht="15" customHeight="1">
      <c r="A246" s="333"/>
      <c r="B246" s="333"/>
      <c r="C246" s="333"/>
      <c r="D246" s="79" t="s">
        <v>143</v>
      </c>
      <c r="E246" s="76" t="s">
        <v>146</v>
      </c>
      <c r="F246" s="76" t="s">
        <v>142</v>
      </c>
      <c r="G246" s="25"/>
      <c r="H246" s="25"/>
      <c r="I246" s="25"/>
      <c r="J246" s="25"/>
    </row>
    <row r="247" spans="1:11">
      <c r="A247" s="330" t="s">
        <v>309</v>
      </c>
      <c r="B247" s="330"/>
      <c r="C247" s="75" t="s">
        <v>150</v>
      </c>
      <c r="D247" s="74">
        <v>549.87</v>
      </c>
      <c r="E247" s="74">
        <v>2</v>
      </c>
      <c r="F247" s="73">
        <f>ROUND(D247 * E247,2)</f>
        <v>1099.74</v>
      </c>
      <c r="G247" s="25"/>
      <c r="H247" s="25"/>
      <c r="I247" s="25"/>
      <c r="J247" s="25"/>
    </row>
    <row r="248" spans="1:11">
      <c r="A248" s="330" t="s">
        <v>368</v>
      </c>
      <c r="B248" s="330"/>
      <c r="C248" s="75" t="s">
        <v>150</v>
      </c>
      <c r="D248" s="74">
        <v>22.64</v>
      </c>
      <c r="E248" s="74">
        <v>-1</v>
      </c>
      <c r="F248" s="73">
        <f>ROUND(D248 * E248,2)</f>
        <v>-22.64</v>
      </c>
      <c r="G248" s="25"/>
      <c r="H248" s="25"/>
      <c r="I248" s="25"/>
      <c r="J248" s="25"/>
    </row>
    <row r="249" spans="1:11">
      <c r="A249" s="330" t="s">
        <v>257</v>
      </c>
      <c r="B249" s="330"/>
      <c r="C249" s="75" t="s">
        <v>150</v>
      </c>
      <c r="D249" s="74">
        <v>6</v>
      </c>
      <c r="E249" s="74">
        <v>3</v>
      </c>
      <c r="F249" s="73">
        <f>ROUND(D249 * E249,2)</f>
        <v>18</v>
      </c>
      <c r="G249" s="25"/>
      <c r="H249" s="25"/>
      <c r="I249" s="25"/>
      <c r="J249" s="25"/>
    </row>
    <row r="250" spans="1:11">
      <c r="A250" s="330" t="s">
        <v>376</v>
      </c>
      <c r="B250" s="330"/>
      <c r="C250" s="75" t="s">
        <v>150</v>
      </c>
      <c r="D250" s="74">
        <v>46.31</v>
      </c>
      <c r="E250" s="74">
        <v>2</v>
      </c>
      <c r="F250" s="73">
        <f>ROUND(D250 * E250,2)</f>
        <v>92.62</v>
      </c>
      <c r="G250" s="25"/>
      <c r="H250" s="25"/>
      <c r="I250" s="25"/>
      <c r="J250" s="25"/>
    </row>
    <row r="251" spans="1:11" ht="15" customHeight="1">
      <c r="A251" s="331"/>
      <c r="B251" s="331"/>
      <c r="C251" s="72"/>
      <c r="D251" s="71"/>
      <c r="E251" s="71"/>
      <c r="F251" s="70">
        <f>ROUND(SUM(F247:F250),2)</f>
        <v>1187.72</v>
      </c>
      <c r="G251" s="25"/>
      <c r="H251" s="25"/>
      <c r="I251" s="25"/>
      <c r="J251" s="25"/>
    </row>
    <row r="252" spans="1:11" ht="9.9" customHeight="1">
      <c r="A252" s="328"/>
      <c r="B252" s="328"/>
      <c r="C252" s="328"/>
      <c r="D252" s="328"/>
      <c r="E252" s="25"/>
      <c r="F252" s="25"/>
      <c r="G252" s="25"/>
      <c r="H252" s="25"/>
      <c r="I252" s="25"/>
      <c r="J252" s="25"/>
    </row>
    <row r="253" spans="1:11" ht="12" customHeight="1">
      <c r="A253" s="25"/>
      <c r="B253" s="25"/>
      <c r="C253" s="25"/>
      <c r="D253" s="25"/>
      <c r="E253" s="323" t="str">
        <f>"TOTAL DA MEMÓRIA DE CÁLCULO: "&amp;TEXT(J245,"0,00")</f>
        <v>TOTAL DA MEMÓRIA DE CÁLCULO: 1187,72</v>
      </c>
      <c r="F253" s="323"/>
      <c r="G253" s="323"/>
      <c r="H253" s="323"/>
      <c r="I253" s="323"/>
      <c r="J253" s="323"/>
    </row>
    <row r="254" spans="1:11" ht="9.9" customHeight="1">
      <c r="A254" s="328"/>
      <c r="B254" s="328"/>
      <c r="C254" s="328"/>
      <c r="D254" s="328"/>
      <c r="E254" s="328"/>
      <c r="F254" s="25"/>
      <c r="G254" s="25"/>
      <c r="H254" s="25"/>
      <c r="I254" s="25"/>
      <c r="J254" s="25"/>
    </row>
    <row r="255" spans="1:11" ht="60" customHeight="1">
      <c r="A255" s="77" t="s">
        <v>62</v>
      </c>
      <c r="B255" s="77" t="s">
        <v>260</v>
      </c>
      <c r="C255" s="332" t="s">
        <v>259</v>
      </c>
      <c r="D255" s="332"/>
      <c r="E255" s="332"/>
      <c r="F255" s="332"/>
      <c r="G255" s="332"/>
      <c r="H255" s="332"/>
      <c r="I255" s="332"/>
      <c r="J255" s="78">
        <f>ROUND(SUM(E258),2)</f>
        <v>3681.34</v>
      </c>
      <c r="K255" s="183" t="s">
        <v>369</v>
      </c>
    </row>
    <row r="256" spans="1:11" ht="15" customHeight="1">
      <c r="A256" s="333"/>
      <c r="B256" s="333"/>
      <c r="C256" s="333"/>
      <c r="D256" s="76" t="s">
        <v>147</v>
      </c>
      <c r="E256" s="76" t="s">
        <v>142</v>
      </c>
      <c r="F256" s="25"/>
      <c r="G256" s="25"/>
      <c r="H256" s="25"/>
      <c r="I256" s="25"/>
      <c r="J256" s="25"/>
    </row>
    <row r="257" spans="1:11">
      <c r="A257" s="330" t="s">
        <v>291</v>
      </c>
      <c r="B257" s="330"/>
      <c r="C257" s="75" t="s">
        <v>149</v>
      </c>
      <c r="D257" s="74">
        <v>3681.34</v>
      </c>
      <c r="E257" s="73">
        <f>ROUND(D257,2)</f>
        <v>3681.34</v>
      </c>
      <c r="F257" s="25"/>
      <c r="G257" s="25"/>
      <c r="H257" s="25"/>
      <c r="I257" s="25"/>
      <c r="J257" s="25"/>
    </row>
    <row r="258" spans="1:11" ht="15" customHeight="1">
      <c r="A258" s="331"/>
      <c r="B258" s="331"/>
      <c r="C258" s="72"/>
      <c r="D258" s="71"/>
      <c r="E258" s="70">
        <f>ROUND(SUM(E257:E257),2)</f>
        <v>3681.34</v>
      </c>
      <c r="F258" s="25"/>
      <c r="G258" s="25"/>
      <c r="H258" s="25"/>
      <c r="I258" s="25"/>
      <c r="J258" s="25"/>
    </row>
    <row r="259" spans="1:11" ht="9.9" customHeight="1">
      <c r="A259" s="328"/>
      <c r="B259" s="328"/>
      <c r="C259" s="328"/>
      <c r="D259" s="328"/>
      <c r="E259" s="25"/>
      <c r="F259" s="25"/>
      <c r="G259" s="25"/>
      <c r="H259" s="25"/>
      <c r="I259" s="25"/>
      <c r="J259" s="25"/>
    </row>
    <row r="260" spans="1:11" ht="12" customHeight="1">
      <c r="A260" s="25"/>
      <c r="B260" s="25"/>
      <c r="C260" s="25"/>
      <c r="D260" s="25"/>
      <c r="E260" s="323" t="str">
        <f>"TOTAL DA MEMÓRIA DE CÁLCULO: "&amp;TEXT(J255,"0,00")</f>
        <v>TOTAL DA MEMÓRIA DE CÁLCULO: 3681,34</v>
      </c>
      <c r="F260" s="323"/>
      <c r="G260" s="323"/>
      <c r="H260" s="323"/>
      <c r="I260" s="323"/>
      <c r="J260" s="323"/>
    </row>
    <row r="261" spans="1:11" ht="20.100000000000001" customHeight="1">
      <c r="A261" s="327" t="s">
        <v>276</v>
      </c>
      <c r="B261" s="327"/>
      <c r="C261" s="327"/>
      <c r="D261" s="327"/>
      <c r="E261" s="327"/>
      <c r="F261" s="327"/>
      <c r="G261" s="327"/>
      <c r="H261" s="327"/>
      <c r="I261" s="327"/>
      <c r="J261" s="327"/>
    </row>
    <row r="262" spans="1:11" ht="9.9" customHeight="1">
      <c r="A262" s="328"/>
      <c r="B262" s="328"/>
      <c r="C262" s="328"/>
      <c r="D262" s="328"/>
      <c r="E262" s="25"/>
      <c r="F262" s="25"/>
      <c r="G262" s="25"/>
      <c r="H262" s="25"/>
      <c r="I262" s="25"/>
      <c r="J262" s="25"/>
    </row>
    <row r="263" spans="1:11" ht="75" customHeight="1">
      <c r="A263" s="77" t="s">
        <v>60</v>
      </c>
      <c r="B263" s="77" t="s">
        <v>264</v>
      </c>
      <c r="C263" s="336" t="s">
        <v>414</v>
      </c>
      <c r="D263" s="337"/>
      <c r="E263" s="337"/>
      <c r="F263" s="337"/>
      <c r="G263" s="337"/>
      <c r="H263" s="337"/>
      <c r="I263" s="338"/>
      <c r="J263" s="78">
        <f>ROUND(SUM(E267),2)</f>
        <v>2</v>
      </c>
      <c r="K263" s="183" t="s">
        <v>369</v>
      </c>
    </row>
    <row r="264" spans="1:11" ht="15" customHeight="1">
      <c r="A264" s="333"/>
      <c r="B264" s="333"/>
      <c r="C264" s="333"/>
      <c r="D264" s="76" t="s">
        <v>129</v>
      </c>
      <c r="E264" s="76" t="s">
        <v>142</v>
      </c>
      <c r="F264" s="25"/>
      <c r="G264" s="25"/>
      <c r="H264" s="25"/>
      <c r="I264" s="25"/>
      <c r="J264" s="25"/>
    </row>
    <row r="265" spans="1:11">
      <c r="A265" s="324" t="s">
        <v>283</v>
      </c>
      <c r="B265" s="325"/>
      <c r="C265" s="326"/>
      <c r="D265" s="74"/>
      <c r="E265" s="73"/>
      <c r="F265" s="25"/>
      <c r="G265" s="25"/>
      <c r="H265" s="25"/>
      <c r="I265" s="25"/>
      <c r="J265" s="25"/>
    </row>
    <row r="266" spans="1:11">
      <c r="A266" s="330" t="s">
        <v>284</v>
      </c>
      <c r="B266" s="330"/>
      <c r="C266" s="75" t="s">
        <v>145</v>
      </c>
      <c r="D266" s="74">
        <v>2</v>
      </c>
      <c r="E266" s="73">
        <f>ROUND(D266,2)</f>
        <v>2</v>
      </c>
      <c r="F266" s="25"/>
      <c r="G266" s="25"/>
      <c r="H266" s="25"/>
      <c r="I266" s="25"/>
      <c r="J266" s="25"/>
    </row>
    <row r="267" spans="1:11" ht="15" customHeight="1">
      <c r="A267" s="331"/>
      <c r="B267" s="331"/>
      <c r="C267" s="72"/>
      <c r="D267" s="71"/>
      <c r="E267" s="70">
        <f>ROUND(SUM(E266:E266),2)</f>
        <v>2</v>
      </c>
      <c r="F267" s="25"/>
      <c r="G267" s="25"/>
      <c r="H267" s="25"/>
      <c r="I267" s="25"/>
      <c r="J267" s="25"/>
    </row>
    <row r="268" spans="1:11" ht="9.9" customHeight="1">
      <c r="A268" s="328"/>
      <c r="B268" s="328"/>
      <c r="C268" s="328"/>
      <c r="D268" s="328"/>
      <c r="E268" s="25"/>
      <c r="F268" s="25"/>
      <c r="G268" s="25"/>
      <c r="H268" s="25"/>
      <c r="I268" s="25"/>
      <c r="J268" s="25"/>
    </row>
    <row r="269" spans="1:11" ht="12" customHeight="1">
      <c r="A269" s="25"/>
      <c r="B269" s="25"/>
      <c r="C269" s="25"/>
      <c r="D269" s="25"/>
      <c r="E269" s="323" t="str">
        <f>"TOTAL DA MEMÓRIA DE CÁLCULO: "&amp;TEXT(J263,"0,00")</f>
        <v>TOTAL DA MEMÓRIA DE CÁLCULO: 2,00</v>
      </c>
      <c r="F269" s="323"/>
      <c r="G269" s="323"/>
      <c r="H269" s="323"/>
      <c r="I269" s="323"/>
      <c r="J269" s="323"/>
    </row>
    <row r="270" spans="1:11">
      <c r="A270" s="327" t="s">
        <v>277</v>
      </c>
      <c r="B270" s="327"/>
      <c r="C270" s="327"/>
      <c r="D270" s="327"/>
      <c r="E270" s="327"/>
      <c r="F270" s="327"/>
      <c r="G270" s="327"/>
      <c r="H270" s="327"/>
      <c r="I270" s="327"/>
      <c r="J270" s="327"/>
    </row>
    <row r="271" spans="1:11" ht="9.9" customHeight="1">
      <c r="A271" s="328"/>
      <c r="B271" s="328"/>
      <c r="C271" s="328"/>
      <c r="D271" s="328"/>
      <c r="E271" s="25"/>
      <c r="F271" s="25"/>
      <c r="G271" s="25"/>
      <c r="H271" s="25"/>
      <c r="I271" s="25"/>
      <c r="J271" s="25"/>
    </row>
    <row r="272" spans="1:11">
      <c r="A272" s="327" t="s">
        <v>312</v>
      </c>
      <c r="B272" s="327"/>
      <c r="C272" s="327"/>
      <c r="D272" s="327"/>
      <c r="E272" s="327"/>
      <c r="F272" s="327"/>
      <c r="G272" s="327"/>
      <c r="H272" s="327"/>
      <c r="I272" s="327"/>
      <c r="J272" s="327"/>
    </row>
    <row r="273" spans="1:11" ht="9.9" customHeight="1">
      <c r="A273" s="328"/>
      <c r="B273" s="328"/>
      <c r="C273" s="328"/>
      <c r="D273" s="328"/>
      <c r="E273" s="25"/>
      <c r="F273" s="25"/>
      <c r="G273" s="25"/>
      <c r="H273" s="25"/>
      <c r="I273" s="25"/>
      <c r="J273" s="25"/>
    </row>
    <row r="274" spans="1:11">
      <c r="A274" s="327" t="s">
        <v>278</v>
      </c>
      <c r="B274" s="327"/>
      <c r="C274" s="327"/>
      <c r="D274" s="327"/>
      <c r="E274" s="327"/>
      <c r="F274" s="327"/>
      <c r="G274" s="327"/>
      <c r="H274" s="327"/>
      <c r="I274" s="327"/>
      <c r="J274" s="327"/>
    </row>
    <row r="275" spans="1:11" ht="9.9" customHeight="1">
      <c r="A275" s="328"/>
      <c r="B275" s="328"/>
      <c r="C275" s="328"/>
      <c r="D275" s="328"/>
      <c r="E275" s="25"/>
      <c r="F275" s="25"/>
      <c r="G275" s="25"/>
      <c r="H275" s="25"/>
      <c r="I275" s="25"/>
      <c r="J275" s="25"/>
    </row>
    <row r="276" spans="1:11" ht="54.9" customHeight="1">
      <c r="A276" s="77" t="s">
        <v>56</v>
      </c>
      <c r="B276" s="77" t="s">
        <v>152</v>
      </c>
      <c r="C276" s="332" t="s">
        <v>151</v>
      </c>
      <c r="D276" s="332"/>
      <c r="E276" s="332"/>
      <c r="F276" s="332"/>
      <c r="G276" s="332"/>
      <c r="H276" s="332"/>
      <c r="I276" s="332"/>
      <c r="J276" s="78">
        <f>ROUND(SUM(F281),2)</f>
        <v>2587.38</v>
      </c>
      <c r="K276" s="183" t="s">
        <v>369</v>
      </c>
    </row>
    <row r="277" spans="1:11" ht="15" customHeight="1">
      <c r="A277" s="333"/>
      <c r="B277" s="333"/>
      <c r="C277" s="333"/>
      <c r="D277" s="79" t="s">
        <v>143</v>
      </c>
      <c r="E277" s="76" t="s">
        <v>146</v>
      </c>
      <c r="F277" s="76" t="s">
        <v>142</v>
      </c>
      <c r="G277" s="25"/>
      <c r="H277" s="25"/>
      <c r="I277" s="25"/>
      <c r="J277" s="25"/>
    </row>
    <row r="278" spans="1:11">
      <c r="A278" s="330" t="s">
        <v>309</v>
      </c>
      <c r="B278" s="330"/>
      <c r="C278" s="75" t="s">
        <v>150</v>
      </c>
      <c r="D278" s="74">
        <v>1286.1099999999999</v>
      </c>
      <c r="E278" s="74">
        <v>2</v>
      </c>
      <c r="F278" s="73">
        <f>ROUND(D278 * E278,2)</f>
        <v>2572.2199999999998</v>
      </c>
      <c r="G278" s="25"/>
      <c r="H278" s="25"/>
      <c r="I278" s="25"/>
      <c r="J278" s="25"/>
    </row>
    <row r="279" spans="1:11">
      <c r="A279" s="330" t="s">
        <v>258</v>
      </c>
      <c r="B279" s="330"/>
      <c r="C279" s="75" t="s">
        <v>150</v>
      </c>
      <c r="D279" s="74">
        <v>6</v>
      </c>
      <c r="E279" s="74">
        <v>1</v>
      </c>
      <c r="F279" s="73">
        <f t="shared" ref="F279" si="8">ROUND(D279 * E279,2)</f>
        <v>6</v>
      </c>
      <c r="G279" s="25"/>
      <c r="H279" s="25"/>
      <c r="I279" s="25"/>
      <c r="J279" s="25"/>
    </row>
    <row r="280" spans="1:11">
      <c r="A280" s="330" t="s">
        <v>508</v>
      </c>
      <c r="B280" s="330"/>
      <c r="C280" s="75" t="s">
        <v>150</v>
      </c>
      <c r="D280" s="74">
        <v>9.16</v>
      </c>
      <c r="E280" s="74">
        <v>1</v>
      </c>
      <c r="F280" s="73">
        <f t="shared" ref="F280" si="9">ROUND(D280 * E280,2)</f>
        <v>9.16</v>
      </c>
      <c r="G280" s="25"/>
      <c r="H280" s="25"/>
      <c r="I280" s="25"/>
      <c r="J280" s="25"/>
    </row>
    <row r="281" spans="1:11" ht="15" customHeight="1">
      <c r="A281" s="331"/>
      <c r="B281" s="331"/>
      <c r="C281" s="72"/>
      <c r="D281" s="71"/>
      <c r="E281" s="71"/>
      <c r="F281" s="70">
        <f>ROUND(SUM(F278:F280),2)</f>
        <v>2587.38</v>
      </c>
      <c r="G281" s="25"/>
      <c r="H281" s="25"/>
      <c r="I281" s="25"/>
      <c r="J281" s="25"/>
    </row>
    <row r="282" spans="1:11" ht="9.9" customHeight="1">
      <c r="A282" s="328"/>
      <c r="B282" s="328"/>
      <c r="C282" s="328"/>
      <c r="D282" s="328"/>
      <c r="E282" s="25"/>
      <c r="F282" s="25"/>
      <c r="G282" s="25"/>
      <c r="H282" s="25"/>
      <c r="I282" s="25"/>
      <c r="J282" s="25"/>
    </row>
    <row r="283" spans="1:11" ht="12" customHeight="1">
      <c r="A283" s="25"/>
      <c r="B283" s="25"/>
      <c r="C283" s="25"/>
      <c r="D283" s="25"/>
      <c r="E283" s="323" t="str">
        <f>"TOTAL DA MEMÓRIA DE CÁLCULO: "&amp;TEXT(J276,"0,00")</f>
        <v>TOTAL DA MEMÓRIA DE CÁLCULO: 2587,38</v>
      </c>
      <c r="F283" s="323"/>
      <c r="G283" s="323"/>
      <c r="H283" s="323"/>
      <c r="I283" s="323"/>
      <c r="J283" s="323"/>
    </row>
    <row r="284" spans="1:11" ht="9.9" customHeight="1">
      <c r="A284" s="328"/>
      <c r="B284" s="328"/>
      <c r="C284" s="328"/>
      <c r="D284" s="328"/>
      <c r="E284" s="328"/>
      <c r="F284" s="25"/>
      <c r="G284" s="25"/>
      <c r="H284" s="25"/>
      <c r="I284" s="25"/>
      <c r="J284" s="25"/>
    </row>
    <row r="285" spans="1:11" ht="63" customHeight="1">
      <c r="A285" s="77" t="s">
        <v>55</v>
      </c>
      <c r="B285" s="77" t="s">
        <v>260</v>
      </c>
      <c r="C285" s="332" t="s">
        <v>259</v>
      </c>
      <c r="D285" s="332"/>
      <c r="E285" s="332"/>
      <c r="F285" s="332"/>
      <c r="G285" s="332"/>
      <c r="H285" s="332"/>
      <c r="I285" s="332"/>
      <c r="J285" s="78">
        <f>ROUND(SUM(E288),2)</f>
        <v>7758.57</v>
      </c>
      <c r="K285" s="183" t="s">
        <v>369</v>
      </c>
    </row>
    <row r="286" spans="1:11" ht="15" customHeight="1">
      <c r="A286" s="342"/>
      <c r="B286" s="342"/>
      <c r="C286" s="343"/>
      <c r="D286" s="76" t="s">
        <v>147</v>
      </c>
      <c r="E286" s="76" t="s">
        <v>142</v>
      </c>
      <c r="F286" s="25"/>
      <c r="G286" s="25"/>
      <c r="H286" s="25"/>
      <c r="I286" s="25"/>
      <c r="J286" s="25"/>
    </row>
    <row r="287" spans="1:11">
      <c r="A287" s="334" t="s">
        <v>291</v>
      </c>
      <c r="B287" s="335"/>
      <c r="C287" s="75" t="s">
        <v>149</v>
      </c>
      <c r="D287" s="74">
        <v>7758.57</v>
      </c>
      <c r="E287" s="73">
        <f>ROUND(D287,2)</f>
        <v>7758.57</v>
      </c>
      <c r="F287" s="25"/>
      <c r="G287" s="25"/>
      <c r="H287" s="25"/>
      <c r="I287" s="25"/>
      <c r="J287" s="25"/>
    </row>
    <row r="288" spans="1:11" ht="15" customHeight="1">
      <c r="A288" s="331"/>
      <c r="B288" s="339"/>
      <c r="C288" s="72"/>
      <c r="D288" s="71"/>
      <c r="E288" s="70">
        <f>ROUND(SUM(E287:E287),2)</f>
        <v>7758.57</v>
      </c>
      <c r="F288" s="25"/>
      <c r="G288" s="25"/>
      <c r="H288" s="25"/>
      <c r="I288" s="25"/>
      <c r="J288" s="25"/>
    </row>
    <row r="289" spans="1:11" ht="9.9" customHeight="1">
      <c r="A289" s="340"/>
      <c r="B289" s="340"/>
      <c r="C289" s="340"/>
      <c r="D289" s="340"/>
      <c r="E289" s="25"/>
      <c r="F289" s="25"/>
      <c r="G289" s="25"/>
      <c r="H289" s="25"/>
      <c r="I289" s="25"/>
      <c r="J289" s="25"/>
    </row>
    <row r="290" spans="1:11" ht="12" customHeight="1">
      <c r="A290" s="25"/>
      <c r="B290" s="25"/>
      <c r="C290" s="25"/>
      <c r="D290" s="25"/>
      <c r="E290" s="341" t="str">
        <f>"TOTAL DA MEMÓRIA DE CÁLCULO: "&amp;TEXT(J285,"0,00")</f>
        <v>TOTAL DA MEMÓRIA DE CÁLCULO: 7758,57</v>
      </c>
      <c r="F290" s="341"/>
      <c r="G290" s="341"/>
      <c r="H290" s="341"/>
      <c r="I290" s="341"/>
      <c r="J290" s="341"/>
    </row>
    <row r="291" spans="1:11">
      <c r="A291" s="327" t="s">
        <v>279</v>
      </c>
      <c r="B291" s="327"/>
      <c r="C291" s="327"/>
      <c r="D291" s="327"/>
      <c r="E291" s="327"/>
      <c r="F291" s="327"/>
      <c r="G291" s="327"/>
      <c r="H291" s="327"/>
      <c r="I291" s="327"/>
      <c r="J291" s="327"/>
    </row>
    <row r="292" spans="1:11" ht="9.9" customHeight="1">
      <c r="A292" s="328"/>
      <c r="B292" s="328"/>
      <c r="C292" s="328"/>
      <c r="D292" s="328"/>
      <c r="E292" s="25"/>
      <c r="F292" s="25"/>
      <c r="G292" s="25"/>
      <c r="H292" s="25"/>
      <c r="I292" s="25"/>
      <c r="J292" s="25"/>
    </row>
    <row r="293" spans="1:11" ht="74.25" customHeight="1">
      <c r="A293" s="77" t="s">
        <v>53</v>
      </c>
      <c r="B293" s="77" t="s">
        <v>264</v>
      </c>
      <c r="C293" s="336" t="s">
        <v>414</v>
      </c>
      <c r="D293" s="337"/>
      <c r="E293" s="337"/>
      <c r="F293" s="337"/>
      <c r="G293" s="337"/>
      <c r="H293" s="337"/>
      <c r="I293" s="338"/>
      <c r="J293" s="78">
        <f>ROUND(SUM(E297),2)</f>
        <v>2</v>
      </c>
      <c r="K293" s="183" t="s">
        <v>369</v>
      </c>
    </row>
    <row r="294" spans="1:11" ht="15" customHeight="1">
      <c r="A294" s="333"/>
      <c r="B294" s="333"/>
      <c r="C294" s="333"/>
      <c r="D294" s="76" t="s">
        <v>129</v>
      </c>
      <c r="E294" s="76" t="s">
        <v>142</v>
      </c>
      <c r="F294" s="25"/>
      <c r="G294" s="25"/>
      <c r="H294" s="25"/>
      <c r="I294" s="25"/>
      <c r="J294" s="25"/>
    </row>
    <row r="295" spans="1:11">
      <c r="A295" s="324" t="s">
        <v>283</v>
      </c>
      <c r="B295" s="325"/>
      <c r="C295" s="326"/>
      <c r="D295" s="74"/>
      <c r="E295" s="73"/>
      <c r="F295" s="25"/>
      <c r="G295" s="25"/>
      <c r="H295" s="25"/>
      <c r="I295" s="25"/>
      <c r="J295" s="25"/>
    </row>
    <row r="296" spans="1:11">
      <c r="A296" s="330" t="s">
        <v>295</v>
      </c>
      <c r="B296" s="330"/>
      <c r="C296" s="75" t="s">
        <v>145</v>
      </c>
      <c r="D296" s="74">
        <v>2</v>
      </c>
      <c r="E296" s="73">
        <f>ROUND(D296,2)</f>
        <v>2</v>
      </c>
      <c r="F296" s="25"/>
      <c r="G296" s="25"/>
      <c r="H296" s="25"/>
      <c r="I296" s="25"/>
      <c r="J296" s="25"/>
    </row>
    <row r="297" spans="1:11" ht="15" customHeight="1">
      <c r="A297" s="331"/>
      <c r="B297" s="331"/>
      <c r="C297" s="72"/>
      <c r="D297" s="71"/>
      <c r="E297" s="70">
        <f>ROUND(SUM(E296:E296),2)</f>
        <v>2</v>
      </c>
      <c r="F297" s="25"/>
      <c r="G297" s="25"/>
      <c r="H297" s="25"/>
      <c r="I297" s="25"/>
      <c r="J297" s="25"/>
    </row>
    <row r="298" spans="1:11" ht="9.9" customHeight="1">
      <c r="A298" s="328"/>
      <c r="B298" s="328"/>
      <c r="C298" s="328"/>
      <c r="D298" s="328"/>
      <c r="E298" s="25"/>
      <c r="F298" s="25"/>
      <c r="G298" s="25"/>
      <c r="H298" s="25"/>
      <c r="I298" s="25"/>
      <c r="J298" s="25"/>
    </row>
    <row r="299" spans="1:11" ht="12" customHeight="1">
      <c r="A299" s="25"/>
      <c r="B299" s="25"/>
      <c r="C299" s="25"/>
      <c r="D299" s="25"/>
      <c r="E299" s="323" t="str">
        <f>"TOTAL DA MEMÓRIA DE CÁLCULO: "&amp;TEXT(J293,"0,00")</f>
        <v>TOTAL DA MEMÓRIA DE CÁLCULO: 2,00</v>
      </c>
      <c r="F299" s="323"/>
      <c r="G299" s="323"/>
      <c r="H299" s="323"/>
      <c r="I299" s="323"/>
      <c r="J299" s="323"/>
    </row>
    <row r="300" spans="1:11">
      <c r="A300" s="327" t="s">
        <v>313</v>
      </c>
      <c r="B300" s="327"/>
      <c r="C300" s="327"/>
      <c r="D300" s="327"/>
      <c r="E300" s="327"/>
      <c r="F300" s="327"/>
      <c r="G300" s="327"/>
      <c r="H300" s="327"/>
      <c r="I300" s="327"/>
      <c r="J300" s="327"/>
    </row>
    <row r="301" spans="1:11" ht="9.9" customHeight="1">
      <c r="A301" s="328"/>
      <c r="B301" s="328"/>
      <c r="C301" s="328"/>
      <c r="D301" s="328"/>
      <c r="E301" s="25"/>
      <c r="F301" s="25"/>
      <c r="G301" s="25"/>
      <c r="H301" s="25"/>
      <c r="I301" s="25"/>
      <c r="J301" s="25"/>
    </row>
    <row r="302" spans="1:11">
      <c r="A302" s="327" t="s">
        <v>314</v>
      </c>
      <c r="B302" s="327"/>
      <c r="C302" s="327"/>
      <c r="D302" s="327"/>
      <c r="E302" s="327"/>
      <c r="F302" s="327"/>
      <c r="G302" s="327"/>
      <c r="H302" s="327"/>
      <c r="I302" s="327"/>
      <c r="J302" s="327"/>
    </row>
    <row r="303" spans="1:11" ht="9.9" customHeight="1">
      <c r="A303" s="328"/>
      <c r="B303" s="328"/>
      <c r="C303" s="328"/>
      <c r="D303" s="328"/>
      <c r="E303" s="25"/>
      <c r="F303" s="25"/>
      <c r="G303" s="25"/>
      <c r="H303" s="25"/>
      <c r="I303" s="25"/>
      <c r="J303" s="25"/>
    </row>
    <row r="304" spans="1:11" ht="54.9" customHeight="1">
      <c r="A304" s="77" t="s">
        <v>50</v>
      </c>
      <c r="B304" s="77" t="s">
        <v>152</v>
      </c>
      <c r="C304" s="332" t="s">
        <v>151</v>
      </c>
      <c r="D304" s="332"/>
      <c r="E304" s="332"/>
      <c r="F304" s="332"/>
      <c r="G304" s="332"/>
      <c r="H304" s="332"/>
      <c r="I304" s="332"/>
      <c r="J304" s="78">
        <f>ROUND(SUM(F309),2)</f>
        <v>2028.54</v>
      </c>
      <c r="K304" s="183" t="s">
        <v>369</v>
      </c>
    </row>
    <row r="305" spans="1:11" ht="15" customHeight="1">
      <c r="A305" s="333"/>
      <c r="B305" s="333"/>
      <c r="C305" s="333"/>
      <c r="D305" s="79" t="s">
        <v>143</v>
      </c>
      <c r="E305" s="76" t="s">
        <v>146</v>
      </c>
      <c r="F305" s="76" t="s">
        <v>142</v>
      </c>
      <c r="G305" s="25"/>
      <c r="H305" s="25"/>
      <c r="I305" s="25"/>
      <c r="J305" s="25"/>
    </row>
    <row r="306" spans="1:11">
      <c r="A306" s="330" t="s">
        <v>309</v>
      </c>
      <c r="B306" s="330"/>
      <c r="C306" s="75" t="s">
        <v>150</v>
      </c>
      <c r="D306" s="74">
        <v>1020.19</v>
      </c>
      <c r="E306" s="74">
        <v>2</v>
      </c>
      <c r="F306" s="73">
        <f t="shared" ref="F306" si="10">ROUND(D306 * E306,2)</f>
        <v>2040.38</v>
      </c>
      <c r="G306" s="25"/>
      <c r="H306" s="25"/>
      <c r="I306" s="25"/>
      <c r="J306" s="25"/>
    </row>
    <row r="307" spans="1:11">
      <c r="A307" s="330" t="s">
        <v>371</v>
      </c>
      <c r="B307" s="330"/>
      <c r="C307" s="75" t="s">
        <v>150</v>
      </c>
      <c r="D307" s="74">
        <v>23.84</v>
      </c>
      <c r="E307" s="74">
        <v>-1</v>
      </c>
      <c r="F307" s="73">
        <f t="shared" ref="F307" si="11">ROUND(D307 * E307,2)</f>
        <v>-23.84</v>
      </c>
      <c r="G307" s="25"/>
      <c r="H307" s="25"/>
      <c r="I307" s="25"/>
      <c r="J307" s="25"/>
    </row>
    <row r="308" spans="1:11">
      <c r="A308" s="330" t="s">
        <v>257</v>
      </c>
      <c r="B308" s="330"/>
      <c r="C308" s="75" t="s">
        <v>150</v>
      </c>
      <c r="D308" s="74">
        <v>6</v>
      </c>
      <c r="E308" s="74">
        <v>2</v>
      </c>
      <c r="F308" s="73">
        <f t="shared" ref="F308" si="12">ROUND(D308 * E308,2)</f>
        <v>12</v>
      </c>
      <c r="G308" s="25"/>
      <c r="H308" s="25"/>
      <c r="I308" s="25"/>
      <c r="J308" s="25"/>
    </row>
    <row r="309" spans="1:11" ht="15" customHeight="1">
      <c r="A309" s="331"/>
      <c r="B309" s="331"/>
      <c r="C309" s="72"/>
      <c r="D309" s="71"/>
      <c r="E309" s="71"/>
      <c r="F309" s="70">
        <f>ROUND(SUM(F306:F308),2)</f>
        <v>2028.54</v>
      </c>
      <c r="G309" s="25"/>
      <c r="H309" s="25"/>
      <c r="I309" s="25"/>
      <c r="J309" s="25"/>
    </row>
    <row r="310" spans="1:11" ht="9.9" customHeight="1">
      <c r="A310" s="328"/>
      <c r="B310" s="328"/>
      <c r="C310" s="328"/>
      <c r="D310" s="328"/>
      <c r="E310" s="25"/>
      <c r="F310" s="25"/>
      <c r="G310" s="25"/>
      <c r="H310" s="25"/>
      <c r="I310" s="25"/>
      <c r="J310" s="25"/>
    </row>
    <row r="311" spans="1:11" ht="12" customHeight="1">
      <c r="A311" s="25"/>
      <c r="B311" s="25"/>
      <c r="C311" s="25"/>
      <c r="D311" s="25"/>
      <c r="E311" s="323" t="str">
        <f>"TOTAL DA MEMÓRIA DE CÁLCULO: "&amp;TEXT(J304,"0,00")</f>
        <v>TOTAL DA MEMÓRIA DE CÁLCULO: 2028,54</v>
      </c>
      <c r="F311" s="323"/>
      <c r="G311" s="323"/>
      <c r="H311" s="323"/>
      <c r="I311" s="323"/>
      <c r="J311" s="323"/>
    </row>
    <row r="312" spans="1:11" ht="9.9" customHeight="1">
      <c r="A312" s="328"/>
      <c r="B312" s="328"/>
      <c r="C312" s="328"/>
      <c r="D312" s="328"/>
      <c r="E312" s="328"/>
      <c r="F312" s="25"/>
      <c r="G312" s="25"/>
      <c r="H312" s="25"/>
      <c r="I312" s="25"/>
      <c r="J312" s="25"/>
    </row>
    <row r="313" spans="1:11" ht="63" customHeight="1">
      <c r="A313" s="77" t="s">
        <v>49</v>
      </c>
      <c r="B313" s="77" t="s">
        <v>260</v>
      </c>
      <c r="C313" s="332" t="s">
        <v>259</v>
      </c>
      <c r="D313" s="332"/>
      <c r="E313" s="332"/>
      <c r="F313" s="332"/>
      <c r="G313" s="332"/>
      <c r="H313" s="332"/>
      <c r="I313" s="332"/>
      <c r="J313" s="78">
        <f>ROUND(SUM(E316),2)</f>
        <v>6112.19</v>
      </c>
      <c r="K313" s="183" t="s">
        <v>369</v>
      </c>
    </row>
    <row r="314" spans="1:11" ht="15" customHeight="1">
      <c r="A314" s="342"/>
      <c r="B314" s="342"/>
      <c r="C314" s="343"/>
      <c r="D314" s="76" t="s">
        <v>147</v>
      </c>
      <c r="E314" s="76" t="s">
        <v>142</v>
      </c>
      <c r="F314" s="25"/>
      <c r="G314" s="25"/>
      <c r="H314" s="25"/>
      <c r="I314" s="25"/>
      <c r="J314" s="25"/>
    </row>
    <row r="315" spans="1:11" ht="18.899999999999999" customHeight="1">
      <c r="A315" s="334" t="s">
        <v>291</v>
      </c>
      <c r="B315" s="335"/>
      <c r="C315" s="75" t="s">
        <v>149</v>
      </c>
      <c r="D315" s="74">
        <v>6112.19</v>
      </c>
      <c r="E315" s="73">
        <f>ROUND(D315,2)</f>
        <v>6112.19</v>
      </c>
      <c r="F315" s="25"/>
      <c r="G315" s="25"/>
      <c r="H315" s="25"/>
      <c r="I315" s="25"/>
      <c r="J315" s="25"/>
    </row>
    <row r="316" spans="1:11" ht="15" customHeight="1">
      <c r="A316" s="331"/>
      <c r="B316" s="339"/>
      <c r="C316" s="72"/>
      <c r="D316" s="71"/>
      <c r="E316" s="70">
        <f>ROUND(SUM(E315:E315),2)</f>
        <v>6112.19</v>
      </c>
      <c r="F316" s="25"/>
      <c r="G316" s="25"/>
      <c r="H316" s="25"/>
      <c r="I316" s="25"/>
      <c r="J316" s="25"/>
    </row>
    <row r="317" spans="1:11" ht="9.9" customHeight="1">
      <c r="A317" s="340"/>
      <c r="B317" s="340"/>
      <c r="C317" s="340"/>
      <c r="D317" s="340"/>
      <c r="E317" s="25"/>
      <c r="F317" s="25"/>
      <c r="G317" s="25"/>
      <c r="H317" s="25"/>
      <c r="I317" s="25"/>
      <c r="J317" s="25"/>
    </row>
    <row r="318" spans="1:11" ht="12" customHeight="1">
      <c r="A318" s="25"/>
      <c r="B318" s="25"/>
      <c r="C318" s="25"/>
      <c r="D318" s="25"/>
      <c r="E318" s="341" t="str">
        <f>"TOTAL DA MEMÓRIA DE CÁLCULO: "&amp;TEXT(J313,"0,00")</f>
        <v>TOTAL DA MEMÓRIA DE CÁLCULO: 6112,19</v>
      </c>
      <c r="F318" s="341"/>
      <c r="G318" s="341"/>
      <c r="H318" s="341"/>
      <c r="I318" s="341"/>
      <c r="J318" s="341"/>
    </row>
    <row r="319" spans="1:11">
      <c r="A319" s="327" t="s">
        <v>315</v>
      </c>
      <c r="B319" s="327"/>
      <c r="C319" s="327"/>
      <c r="D319" s="327"/>
      <c r="E319" s="327"/>
      <c r="F319" s="327"/>
      <c r="G319" s="327"/>
      <c r="H319" s="327"/>
      <c r="I319" s="327"/>
      <c r="J319" s="327"/>
    </row>
    <row r="320" spans="1:11" ht="9.9" customHeight="1">
      <c r="A320" s="328"/>
      <c r="B320" s="328"/>
      <c r="C320" s="328"/>
      <c r="D320" s="328"/>
      <c r="E320" s="25"/>
      <c r="F320" s="25"/>
      <c r="G320" s="25"/>
      <c r="H320" s="25"/>
      <c r="I320" s="25"/>
      <c r="J320" s="25"/>
    </row>
    <row r="321" spans="1:11" ht="75.75" customHeight="1">
      <c r="A321" s="77" t="s">
        <v>47</v>
      </c>
      <c r="B321" s="77" t="s">
        <v>264</v>
      </c>
      <c r="C321" s="336" t="s">
        <v>414</v>
      </c>
      <c r="D321" s="337"/>
      <c r="E321" s="337"/>
      <c r="F321" s="337"/>
      <c r="G321" s="337"/>
      <c r="H321" s="337"/>
      <c r="I321" s="338"/>
      <c r="J321" s="78">
        <f>ROUND(SUM(E325),2)</f>
        <v>2</v>
      </c>
      <c r="K321" s="183" t="s">
        <v>369</v>
      </c>
    </row>
    <row r="322" spans="1:11" ht="15" customHeight="1">
      <c r="A322" s="333"/>
      <c r="B322" s="333"/>
      <c r="C322" s="333"/>
      <c r="D322" s="76" t="s">
        <v>129</v>
      </c>
      <c r="E322" s="76" t="s">
        <v>142</v>
      </c>
      <c r="F322" s="25"/>
      <c r="G322" s="25"/>
      <c r="H322" s="25"/>
      <c r="I322" s="25"/>
      <c r="J322" s="25"/>
    </row>
    <row r="323" spans="1:11">
      <c r="A323" s="324" t="s">
        <v>283</v>
      </c>
      <c r="B323" s="325"/>
      <c r="C323" s="326"/>
      <c r="D323" s="74"/>
      <c r="E323" s="73"/>
      <c r="F323" s="25"/>
      <c r="G323" s="25"/>
      <c r="H323" s="25"/>
      <c r="I323" s="25"/>
      <c r="J323" s="25"/>
    </row>
    <row r="324" spans="1:11">
      <c r="A324" s="330" t="s">
        <v>284</v>
      </c>
      <c r="B324" s="330"/>
      <c r="C324" s="75" t="s">
        <v>145</v>
      </c>
      <c r="D324" s="74">
        <v>2</v>
      </c>
      <c r="E324" s="73">
        <f>ROUND(D324,2)</f>
        <v>2</v>
      </c>
      <c r="F324" s="25"/>
      <c r="G324" s="25"/>
      <c r="H324" s="25"/>
      <c r="I324" s="25"/>
      <c r="J324" s="25"/>
    </row>
    <row r="325" spans="1:11" ht="15" customHeight="1">
      <c r="A325" s="331"/>
      <c r="B325" s="331"/>
      <c r="C325" s="72"/>
      <c r="D325" s="71"/>
      <c r="E325" s="70">
        <f>ROUND(SUM(E323:E324),2)</f>
        <v>2</v>
      </c>
      <c r="F325" s="25"/>
      <c r="G325" s="25"/>
      <c r="H325" s="25"/>
      <c r="I325" s="25"/>
      <c r="J325" s="25"/>
    </row>
    <row r="326" spans="1:11" ht="9.9" customHeight="1">
      <c r="A326" s="328"/>
      <c r="B326" s="328"/>
      <c r="C326" s="328"/>
      <c r="D326" s="328"/>
      <c r="E326" s="25"/>
      <c r="F326" s="25"/>
      <c r="G326" s="25"/>
      <c r="H326" s="25"/>
      <c r="I326" s="25"/>
      <c r="J326" s="25"/>
    </row>
    <row r="327" spans="1:11" ht="12" customHeight="1">
      <c r="A327" s="25"/>
      <c r="B327" s="25"/>
      <c r="C327" s="25"/>
      <c r="D327" s="25"/>
      <c r="E327" s="323" t="str">
        <f>"TOTAL DA MEMÓRIA DE CÁLCULO: "&amp;TEXT(J321,"0,00")</f>
        <v>TOTAL DA MEMÓRIA DE CÁLCULO: 2,00</v>
      </c>
      <c r="F327" s="323"/>
      <c r="G327" s="323"/>
      <c r="H327" s="323"/>
      <c r="I327" s="323"/>
      <c r="J327" s="323"/>
    </row>
    <row r="328" spans="1:11">
      <c r="A328" s="327" t="s">
        <v>280</v>
      </c>
      <c r="B328" s="327"/>
      <c r="C328" s="327"/>
      <c r="D328" s="327"/>
      <c r="E328" s="327"/>
      <c r="F328" s="327"/>
      <c r="G328" s="327"/>
      <c r="H328" s="327"/>
      <c r="I328" s="327"/>
      <c r="J328" s="327"/>
    </row>
    <row r="329" spans="1:11" ht="9.9" customHeight="1">
      <c r="A329" s="328"/>
      <c r="B329" s="328"/>
      <c r="C329" s="328"/>
      <c r="D329" s="328"/>
      <c r="E329" s="25"/>
      <c r="F329" s="25"/>
      <c r="G329" s="25"/>
      <c r="H329" s="25"/>
      <c r="I329" s="25"/>
      <c r="J329" s="25"/>
    </row>
    <row r="330" spans="1:11">
      <c r="A330" s="327" t="s">
        <v>316</v>
      </c>
      <c r="B330" s="327"/>
      <c r="C330" s="327"/>
      <c r="D330" s="327"/>
      <c r="E330" s="327"/>
      <c r="F330" s="327"/>
      <c r="G330" s="327"/>
      <c r="H330" s="327"/>
      <c r="I330" s="327"/>
      <c r="J330" s="327"/>
    </row>
    <row r="331" spans="1:11" ht="9.9" customHeight="1">
      <c r="A331" s="328"/>
      <c r="B331" s="328"/>
      <c r="C331" s="328"/>
      <c r="D331" s="328"/>
      <c r="E331" s="25"/>
      <c r="F331" s="25"/>
      <c r="G331" s="25"/>
      <c r="H331" s="25"/>
      <c r="I331" s="25"/>
      <c r="J331" s="25"/>
    </row>
    <row r="332" spans="1:11">
      <c r="A332" s="329" t="s">
        <v>281</v>
      </c>
      <c r="B332" s="329"/>
      <c r="C332" s="329"/>
      <c r="D332" s="329"/>
      <c r="E332" s="329"/>
      <c r="F332" s="329"/>
      <c r="G332" s="329"/>
      <c r="H332" s="329"/>
      <c r="I332" s="329"/>
      <c r="J332" s="329"/>
    </row>
    <row r="333" spans="1:11" ht="9.9" customHeight="1">
      <c r="A333" s="328"/>
      <c r="B333" s="328"/>
      <c r="C333" s="328"/>
      <c r="D333" s="328"/>
      <c r="E333" s="25"/>
      <c r="F333" s="25"/>
      <c r="G333" s="25"/>
      <c r="H333" s="25"/>
      <c r="I333" s="25"/>
      <c r="J333" s="25"/>
    </row>
    <row r="334" spans="1:11" ht="54.9" customHeight="1">
      <c r="A334" s="77" t="s">
        <v>43</v>
      </c>
      <c r="B334" s="77" t="s">
        <v>152</v>
      </c>
      <c r="C334" s="332" t="s">
        <v>151</v>
      </c>
      <c r="D334" s="332"/>
      <c r="E334" s="332"/>
      <c r="F334" s="332"/>
      <c r="G334" s="332"/>
      <c r="H334" s="332"/>
      <c r="I334" s="332"/>
      <c r="J334" s="78">
        <f>ROUND(SUM(F338),2)</f>
        <v>1178.43</v>
      </c>
      <c r="K334" s="183" t="s">
        <v>369</v>
      </c>
    </row>
    <row r="335" spans="1:11" ht="15" customHeight="1">
      <c r="A335" s="333"/>
      <c r="B335" s="333"/>
      <c r="C335" s="333"/>
      <c r="D335" s="79" t="s">
        <v>143</v>
      </c>
      <c r="E335" s="76" t="s">
        <v>146</v>
      </c>
      <c r="F335" s="76" t="s">
        <v>142</v>
      </c>
      <c r="G335" s="25"/>
      <c r="H335" s="25"/>
      <c r="I335" s="25"/>
      <c r="J335" s="25"/>
    </row>
    <row r="336" spans="1:11">
      <c r="A336" s="330" t="s">
        <v>309</v>
      </c>
      <c r="B336" s="330"/>
      <c r="C336" s="75" t="s">
        <v>150</v>
      </c>
      <c r="D336" s="74">
        <v>605.16</v>
      </c>
      <c r="E336" s="74">
        <v>2</v>
      </c>
      <c r="F336" s="73">
        <f>ROUND(D336 * E336,2)</f>
        <v>1210.32</v>
      </c>
      <c r="G336" s="25"/>
      <c r="H336" s="25"/>
      <c r="I336" s="25"/>
      <c r="J336" s="25"/>
    </row>
    <row r="337" spans="1:11">
      <c r="A337" s="330" t="s">
        <v>377</v>
      </c>
      <c r="B337" s="330"/>
      <c r="C337" s="75" t="s">
        <v>150</v>
      </c>
      <c r="D337" s="74">
        <v>31.89</v>
      </c>
      <c r="E337" s="74">
        <v>-1</v>
      </c>
      <c r="F337" s="73">
        <f t="shared" ref="F337" si="13">ROUND(D337 * E337,2)</f>
        <v>-31.89</v>
      </c>
      <c r="G337" s="25"/>
      <c r="H337" s="25"/>
      <c r="I337" s="25"/>
      <c r="J337" s="25"/>
    </row>
    <row r="338" spans="1:11" ht="15" customHeight="1">
      <c r="A338" s="331"/>
      <c r="B338" s="331"/>
      <c r="C338" s="72"/>
      <c r="D338" s="71"/>
      <c r="E338" s="71"/>
      <c r="F338" s="70">
        <f>ROUND(SUM(F336:F337),2)</f>
        <v>1178.43</v>
      </c>
      <c r="G338" s="25"/>
      <c r="H338" s="25"/>
      <c r="I338" s="25"/>
      <c r="J338" s="25"/>
    </row>
    <row r="339" spans="1:11" ht="9.9" customHeight="1">
      <c r="A339" s="328"/>
      <c r="B339" s="328"/>
      <c r="C339" s="328"/>
      <c r="D339" s="328"/>
      <c r="E339" s="25"/>
      <c r="F339" s="25"/>
      <c r="G339" s="25"/>
      <c r="H339" s="25"/>
      <c r="I339" s="25"/>
      <c r="J339" s="25"/>
    </row>
    <row r="340" spans="1:11" ht="12" customHeight="1">
      <c r="A340" s="25"/>
      <c r="B340" s="25"/>
      <c r="C340" s="25"/>
      <c r="D340" s="25"/>
      <c r="E340" s="323" t="str">
        <f>"TOTAL DA MEMÓRIA DE CÁLCULO: "&amp;TEXT(J334,"0,00")</f>
        <v>TOTAL DA MEMÓRIA DE CÁLCULO: 1178,43</v>
      </c>
      <c r="F340" s="323"/>
      <c r="G340" s="323"/>
      <c r="H340" s="323"/>
      <c r="I340" s="323"/>
      <c r="J340" s="323"/>
    </row>
    <row r="341" spans="1:11" ht="9.9" customHeight="1">
      <c r="A341" s="328"/>
      <c r="B341" s="328"/>
      <c r="C341" s="328"/>
      <c r="D341" s="328"/>
      <c r="E341" s="328"/>
      <c r="F341" s="25"/>
      <c r="G341" s="25"/>
      <c r="H341" s="25"/>
      <c r="I341" s="25"/>
      <c r="J341" s="25"/>
    </row>
    <row r="342" spans="1:11" ht="62.25" customHeight="1">
      <c r="A342" s="77" t="s">
        <v>42</v>
      </c>
      <c r="B342" s="77" t="s">
        <v>260</v>
      </c>
      <c r="C342" s="332" t="s">
        <v>259</v>
      </c>
      <c r="D342" s="332"/>
      <c r="E342" s="332"/>
      <c r="F342" s="332"/>
      <c r="G342" s="332"/>
      <c r="H342" s="332"/>
      <c r="I342" s="332"/>
      <c r="J342" s="78">
        <f>ROUND(SUM(E345),2)</f>
        <v>3565.97</v>
      </c>
      <c r="K342" s="183" t="s">
        <v>369</v>
      </c>
    </row>
    <row r="343" spans="1:11" ht="15" customHeight="1">
      <c r="A343" s="333"/>
      <c r="B343" s="333"/>
      <c r="C343" s="333"/>
      <c r="D343" s="76" t="s">
        <v>147</v>
      </c>
      <c r="E343" s="76" t="s">
        <v>142</v>
      </c>
      <c r="F343" s="25"/>
      <c r="G343" s="25"/>
      <c r="H343" s="25"/>
      <c r="I343" s="25"/>
      <c r="J343" s="25"/>
    </row>
    <row r="344" spans="1:11">
      <c r="A344" s="334" t="s">
        <v>291</v>
      </c>
      <c r="B344" s="335"/>
      <c r="C344" s="75" t="s">
        <v>149</v>
      </c>
      <c r="D344" s="74">
        <v>3565.97</v>
      </c>
      <c r="E344" s="73">
        <f>ROUND(D344,2)</f>
        <v>3565.97</v>
      </c>
      <c r="F344" s="25"/>
      <c r="G344" s="25"/>
      <c r="H344" s="25"/>
      <c r="I344" s="25"/>
      <c r="J344" s="25"/>
    </row>
    <row r="345" spans="1:11" ht="15" customHeight="1">
      <c r="A345" s="331"/>
      <c r="B345" s="331"/>
      <c r="C345" s="72"/>
      <c r="D345" s="71"/>
      <c r="E345" s="70">
        <f>ROUND(SUM(E344:E344),2)</f>
        <v>3565.97</v>
      </c>
      <c r="F345" s="25"/>
      <c r="G345" s="25"/>
      <c r="H345" s="25"/>
      <c r="I345" s="25"/>
      <c r="J345" s="25"/>
    </row>
    <row r="346" spans="1:11" ht="9.9" customHeight="1">
      <c r="A346" s="328"/>
      <c r="B346" s="328"/>
      <c r="C346" s="328"/>
      <c r="D346" s="328"/>
      <c r="E346" s="25"/>
      <c r="F346" s="25"/>
      <c r="G346" s="25"/>
      <c r="H346" s="25"/>
      <c r="I346" s="25"/>
      <c r="J346" s="25"/>
    </row>
    <row r="347" spans="1:11" ht="12" customHeight="1">
      <c r="A347" s="25"/>
      <c r="B347" s="25"/>
      <c r="C347" s="25"/>
      <c r="D347" s="25"/>
      <c r="E347" s="323" t="str">
        <f>"TOTAL DA MEMÓRIA DE CÁLCULO: "&amp;TEXT(J342,"0,00")</f>
        <v>TOTAL DA MEMÓRIA DE CÁLCULO: 3565,97</v>
      </c>
      <c r="F347" s="323"/>
      <c r="G347" s="323"/>
      <c r="H347" s="323"/>
      <c r="I347" s="323"/>
      <c r="J347" s="323"/>
    </row>
    <row r="348" spans="1:11" ht="9.9" customHeight="1">
      <c r="A348" s="328"/>
      <c r="B348" s="328"/>
      <c r="C348" s="328"/>
      <c r="D348" s="328"/>
      <c r="E348" s="328"/>
      <c r="F348" s="25"/>
      <c r="G348" s="25"/>
      <c r="H348" s="25"/>
      <c r="I348" s="25"/>
      <c r="J348" s="25"/>
    </row>
    <row r="349" spans="1:11">
      <c r="A349" s="327" t="s">
        <v>282</v>
      </c>
      <c r="B349" s="327"/>
      <c r="C349" s="327"/>
      <c r="D349" s="327"/>
      <c r="E349" s="327"/>
      <c r="F349" s="327"/>
      <c r="G349" s="327"/>
      <c r="H349" s="327"/>
      <c r="I349" s="327"/>
      <c r="J349" s="327"/>
    </row>
    <row r="350" spans="1:11" ht="9.9" customHeight="1">
      <c r="A350" s="328"/>
      <c r="B350" s="328"/>
      <c r="C350" s="328"/>
      <c r="D350" s="328"/>
      <c r="E350" s="25"/>
      <c r="F350" s="25"/>
      <c r="G350" s="25"/>
      <c r="H350" s="25"/>
      <c r="I350" s="25"/>
      <c r="J350" s="25"/>
    </row>
    <row r="351" spans="1:11" ht="76.5" customHeight="1">
      <c r="A351" s="77" t="s">
        <v>40</v>
      </c>
      <c r="B351" s="77" t="s">
        <v>264</v>
      </c>
      <c r="C351" s="336" t="s">
        <v>414</v>
      </c>
      <c r="D351" s="337"/>
      <c r="E351" s="337"/>
      <c r="F351" s="337"/>
      <c r="G351" s="337"/>
      <c r="H351" s="337"/>
      <c r="I351" s="338"/>
      <c r="J351" s="78">
        <f>ROUND(SUM(E355),2)</f>
        <v>2</v>
      </c>
      <c r="K351" s="183" t="s">
        <v>369</v>
      </c>
    </row>
    <row r="352" spans="1:11" ht="15" customHeight="1">
      <c r="A352" s="333"/>
      <c r="B352" s="333"/>
      <c r="C352" s="333"/>
      <c r="D352" s="76" t="s">
        <v>129</v>
      </c>
      <c r="E352" s="76" t="s">
        <v>142</v>
      </c>
      <c r="F352" s="25"/>
      <c r="G352" s="25"/>
      <c r="H352" s="25"/>
      <c r="I352" s="25"/>
      <c r="J352" s="25"/>
    </row>
    <row r="353" spans="1:11">
      <c r="A353" s="324" t="s">
        <v>283</v>
      </c>
      <c r="B353" s="325"/>
      <c r="C353" s="326"/>
      <c r="D353" s="74"/>
      <c r="E353" s="73"/>
      <c r="F353" s="25"/>
      <c r="G353" s="25"/>
      <c r="H353" s="25"/>
      <c r="I353" s="25"/>
      <c r="J353" s="25"/>
    </row>
    <row r="354" spans="1:11">
      <c r="A354" s="330" t="s">
        <v>288</v>
      </c>
      <c r="B354" s="330"/>
      <c r="C354" s="75" t="s">
        <v>145</v>
      </c>
      <c r="D354" s="74">
        <v>2</v>
      </c>
      <c r="E354" s="73">
        <f>ROUND(D354,2)</f>
        <v>2</v>
      </c>
      <c r="F354" s="25"/>
      <c r="G354" s="25"/>
      <c r="H354" s="25"/>
      <c r="I354" s="25"/>
      <c r="J354" s="25"/>
    </row>
    <row r="355" spans="1:11" ht="15" customHeight="1">
      <c r="A355" s="331"/>
      <c r="B355" s="331"/>
      <c r="C355" s="72"/>
      <c r="D355" s="71"/>
      <c r="E355" s="70">
        <f>ROUND(SUM(E354:E354),2)</f>
        <v>2</v>
      </c>
      <c r="F355" s="25"/>
      <c r="G355" s="25"/>
      <c r="H355" s="25"/>
      <c r="I355" s="25"/>
      <c r="J355" s="25"/>
    </row>
    <row r="356" spans="1:11" ht="9.9" customHeight="1">
      <c r="A356" s="328"/>
      <c r="B356" s="328"/>
      <c r="C356" s="328"/>
      <c r="D356" s="328"/>
      <c r="E356" s="25"/>
      <c r="F356" s="25"/>
      <c r="G356" s="25"/>
      <c r="H356" s="25"/>
      <c r="I356" s="25"/>
      <c r="J356" s="25"/>
    </row>
    <row r="357" spans="1:11" ht="12" customHeight="1">
      <c r="A357" s="25"/>
      <c r="B357" s="25"/>
      <c r="C357" s="25"/>
      <c r="D357" s="25"/>
      <c r="E357" s="323" t="str">
        <f>"TOTAL DA MEMÓRIA DE CÁLCULO: "&amp;TEXT(J351,"0,00")</f>
        <v>TOTAL DA MEMÓRIA DE CÁLCULO: 2,00</v>
      </c>
      <c r="F357" s="323"/>
      <c r="G357" s="323"/>
      <c r="H357" s="323"/>
      <c r="I357" s="323"/>
      <c r="J357" s="323"/>
    </row>
    <row r="358" spans="1:11">
      <c r="A358" s="327" t="s">
        <v>317</v>
      </c>
      <c r="B358" s="327"/>
      <c r="C358" s="327"/>
      <c r="D358" s="327"/>
      <c r="E358" s="327"/>
      <c r="F358" s="327"/>
      <c r="G358" s="327"/>
      <c r="H358" s="327"/>
      <c r="I358" s="327"/>
      <c r="J358" s="327"/>
    </row>
    <row r="359" spans="1:11" ht="9.9" customHeight="1">
      <c r="A359" s="328"/>
      <c r="B359" s="328"/>
      <c r="C359" s="328"/>
      <c r="D359" s="328"/>
      <c r="E359" s="25"/>
      <c r="F359" s="25"/>
      <c r="G359" s="25"/>
      <c r="H359" s="25"/>
      <c r="I359" s="25"/>
      <c r="J359" s="25"/>
    </row>
    <row r="360" spans="1:11">
      <c r="A360" s="329" t="s">
        <v>318</v>
      </c>
      <c r="B360" s="329"/>
      <c r="C360" s="329"/>
      <c r="D360" s="329"/>
      <c r="E360" s="329"/>
      <c r="F360" s="329"/>
      <c r="G360" s="329"/>
      <c r="H360" s="329"/>
      <c r="I360" s="329"/>
      <c r="J360" s="329"/>
    </row>
    <row r="361" spans="1:11" ht="9.9" customHeight="1">
      <c r="A361" s="328"/>
      <c r="B361" s="328"/>
      <c r="C361" s="328"/>
      <c r="D361" s="328"/>
      <c r="E361" s="25"/>
      <c r="F361" s="25"/>
      <c r="G361" s="25"/>
      <c r="H361" s="25"/>
      <c r="I361" s="25"/>
      <c r="J361" s="25"/>
    </row>
    <row r="362" spans="1:11" ht="54.9" customHeight="1">
      <c r="A362" s="77" t="s">
        <v>319</v>
      </c>
      <c r="B362" s="77" t="s">
        <v>152</v>
      </c>
      <c r="C362" s="332" t="s">
        <v>151</v>
      </c>
      <c r="D362" s="332"/>
      <c r="E362" s="332"/>
      <c r="F362" s="332"/>
      <c r="G362" s="332"/>
      <c r="H362" s="332"/>
      <c r="I362" s="332"/>
      <c r="J362" s="78">
        <f>ROUND(SUM(F367),2)</f>
        <v>1093.23</v>
      </c>
      <c r="K362" s="183" t="s">
        <v>369</v>
      </c>
    </row>
    <row r="363" spans="1:11" ht="15" customHeight="1">
      <c r="A363" s="333"/>
      <c r="B363" s="333"/>
      <c r="C363" s="333"/>
      <c r="D363" s="79" t="s">
        <v>143</v>
      </c>
      <c r="E363" s="76" t="s">
        <v>146</v>
      </c>
      <c r="F363" s="76" t="s">
        <v>142</v>
      </c>
      <c r="G363" s="25"/>
      <c r="H363" s="25"/>
      <c r="I363" s="25"/>
      <c r="J363" s="25"/>
    </row>
    <row r="364" spans="1:11">
      <c r="A364" s="330" t="s">
        <v>320</v>
      </c>
      <c r="B364" s="330"/>
      <c r="C364" s="75" t="s">
        <v>150</v>
      </c>
      <c r="D364" s="74">
        <v>554.70000000000005</v>
      </c>
      <c r="E364" s="74">
        <v>2</v>
      </c>
      <c r="F364" s="73">
        <f t="shared" ref="F364:F365" si="14">ROUND(D364 * E364,2)</f>
        <v>1109.4000000000001</v>
      </c>
      <c r="G364" s="25"/>
      <c r="H364" s="25"/>
      <c r="I364" s="25"/>
      <c r="J364" s="25"/>
    </row>
    <row r="365" spans="1:11">
      <c r="A365" s="330" t="s">
        <v>377</v>
      </c>
      <c r="B365" s="330"/>
      <c r="C365" s="75" t="s">
        <v>150</v>
      </c>
      <c r="D365" s="74">
        <v>24.17</v>
      </c>
      <c r="E365" s="74">
        <v>-1</v>
      </c>
      <c r="F365" s="73">
        <f t="shared" si="14"/>
        <v>-24.17</v>
      </c>
      <c r="G365" s="25"/>
      <c r="H365" s="25"/>
      <c r="I365" s="25"/>
      <c r="J365" s="25"/>
    </row>
    <row r="366" spans="1:11">
      <c r="A366" s="330" t="s">
        <v>257</v>
      </c>
      <c r="B366" s="330"/>
      <c r="C366" s="75" t="s">
        <v>150</v>
      </c>
      <c r="D366" s="74">
        <v>8</v>
      </c>
      <c r="E366" s="74">
        <v>1</v>
      </c>
      <c r="F366" s="73">
        <f>ROUND(D366 * E366,2)</f>
        <v>8</v>
      </c>
      <c r="G366" s="25"/>
      <c r="H366" s="25"/>
      <c r="I366" s="25"/>
      <c r="J366" s="25"/>
    </row>
    <row r="367" spans="1:11" ht="15" customHeight="1">
      <c r="A367" s="331"/>
      <c r="B367" s="331"/>
      <c r="C367" s="72"/>
      <c r="D367" s="71"/>
      <c r="E367" s="71"/>
      <c r="F367" s="70">
        <f>ROUND(SUM(F364:F366),2)</f>
        <v>1093.23</v>
      </c>
      <c r="G367" s="25"/>
      <c r="H367" s="25"/>
      <c r="I367" s="25"/>
      <c r="J367" s="25"/>
    </row>
    <row r="368" spans="1:11" ht="9.9" customHeight="1">
      <c r="A368" s="328"/>
      <c r="B368" s="328"/>
      <c r="C368" s="328"/>
      <c r="D368" s="328"/>
      <c r="E368" s="25"/>
      <c r="F368" s="25"/>
      <c r="G368" s="25"/>
      <c r="H368" s="25"/>
      <c r="I368" s="25"/>
      <c r="J368" s="25"/>
    </row>
    <row r="369" spans="1:11" ht="12" customHeight="1">
      <c r="A369" s="25"/>
      <c r="B369" s="25"/>
      <c r="C369" s="25"/>
      <c r="D369" s="25"/>
      <c r="E369" s="323" t="str">
        <f>"TOTAL DA MEMÓRIA DE CÁLCULO: "&amp;TEXT(J362,"0,00")</f>
        <v>TOTAL DA MEMÓRIA DE CÁLCULO: 1093,23</v>
      </c>
      <c r="F369" s="323"/>
      <c r="G369" s="323"/>
      <c r="H369" s="323"/>
      <c r="I369" s="323"/>
      <c r="J369" s="323"/>
    </row>
    <row r="370" spans="1:11" ht="9.9" customHeight="1">
      <c r="A370" s="328"/>
      <c r="B370" s="328"/>
      <c r="C370" s="328"/>
      <c r="D370" s="328"/>
      <c r="E370" s="328"/>
      <c r="F370" s="25"/>
      <c r="G370" s="25"/>
      <c r="H370" s="25"/>
      <c r="I370" s="25"/>
      <c r="J370" s="25"/>
    </row>
    <row r="371" spans="1:11" ht="62.25" customHeight="1">
      <c r="A371" s="77" t="s">
        <v>321</v>
      </c>
      <c r="B371" s="77" t="s">
        <v>260</v>
      </c>
      <c r="C371" s="332" t="s">
        <v>259</v>
      </c>
      <c r="D371" s="332"/>
      <c r="E371" s="332"/>
      <c r="F371" s="332"/>
      <c r="G371" s="332"/>
      <c r="H371" s="332"/>
      <c r="I371" s="332"/>
      <c r="J371" s="78">
        <f>ROUND(SUM(E374),2)</f>
        <v>4342.3500000000004</v>
      </c>
      <c r="K371" s="183" t="s">
        <v>369</v>
      </c>
    </row>
    <row r="372" spans="1:11" ht="15" customHeight="1">
      <c r="A372" s="333"/>
      <c r="B372" s="333"/>
      <c r="C372" s="333"/>
      <c r="D372" s="76" t="s">
        <v>147</v>
      </c>
      <c r="E372" s="76" t="s">
        <v>142</v>
      </c>
      <c r="F372" s="25"/>
      <c r="G372" s="25"/>
      <c r="H372" s="25"/>
      <c r="I372" s="25"/>
      <c r="J372" s="25"/>
    </row>
    <row r="373" spans="1:11">
      <c r="A373" s="334" t="s">
        <v>291</v>
      </c>
      <c r="B373" s="335"/>
      <c r="C373" s="75" t="s">
        <v>149</v>
      </c>
      <c r="D373" s="74">
        <v>4342.3500000000004</v>
      </c>
      <c r="E373" s="73">
        <f>ROUND(D373,2)</f>
        <v>4342.3500000000004</v>
      </c>
      <c r="F373" s="25"/>
      <c r="G373" s="25"/>
      <c r="H373" s="25"/>
      <c r="I373" s="25"/>
      <c r="J373" s="25"/>
    </row>
    <row r="374" spans="1:11" ht="15" customHeight="1">
      <c r="A374" s="331"/>
      <c r="B374" s="331"/>
      <c r="C374" s="72"/>
      <c r="D374" s="71"/>
      <c r="E374" s="70">
        <f>ROUND(SUM(E373:E373),2)</f>
        <v>4342.3500000000004</v>
      </c>
      <c r="F374" s="25"/>
      <c r="G374" s="25"/>
      <c r="H374" s="25"/>
      <c r="I374" s="25"/>
      <c r="J374" s="25"/>
    </row>
    <row r="375" spans="1:11" ht="9.9" customHeight="1">
      <c r="A375" s="328"/>
      <c r="B375" s="328"/>
      <c r="C375" s="328"/>
      <c r="D375" s="328"/>
      <c r="E375" s="25"/>
      <c r="F375" s="25"/>
      <c r="G375" s="25"/>
      <c r="H375" s="25"/>
      <c r="I375" s="25"/>
      <c r="J375" s="25"/>
    </row>
    <row r="376" spans="1:11" ht="12" customHeight="1">
      <c r="A376" s="25"/>
      <c r="B376" s="25"/>
      <c r="C376" s="25"/>
      <c r="D376" s="25"/>
      <c r="E376" s="323" t="str">
        <f>"TOTAL DA MEMÓRIA DE CÁLCULO: "&amp;TEXT(J371,"0,00")</f>
        <v>TOTAL DA MEMÓRIA DE CÁLCULO: 4342,35</v>
      </c>
      <c r="F376" s="323"/>
      <c r="G376" s="323"/>
      <c r="H376" s="323"/>
      <c r="I376" s="323"/>
      <c r="J376" s="323"/>
    </row>
    <row r="377" spans="1:11" ht="9.9" customHeight="1">
      <c r="A377" s="328"/>
      <c r="B377" s="328"/>
      <c r="C377" s="328"/>
      <c r="D377" s="328"/>
      <c r="E377" s="328"/>
      <c r="F377" s="25"/>
      <c r="G377" s="25"/>
      <c r="H377" s="25"/>
      <c r="I377" s="25"/>
      <c r="J377" s="25"/>
    </row>
    <row r="378" spans="1:11">
      <c r="A378" s="327" t="s">
        <v>322</v>
      </c>
      <c r="B378" s="327"/>
      <c r="C378" s="327"/>
      <c r="D378" s="327"/>
      <c r="E378" s="327"/>
      <c r="F378" s="327"/>
      <c r="G378" s="327"/>
      <c r="H378" s="327"/>
      <c r="I378" s="327"/>
      <c r="J378" s="327"/>
    </row>
    <row r="379" spans="1:11" ht="9.9" customHeight="1">
      <c r="A379" s="328"/>
      <c r="B379" s="328"/>
      <c r="C379" s="328"/>
      <c r="D379" s="328"/>
      <c r="E379" s="25"/>
      <c r="F379" s="25"/>
      <c r="G379" s="25"/>
      <c r="H379" s="25"/>
      <c r="I379" s="25"/>
      <c r="J379" s="25"/>
    </row>
    <row r="380" spans="1:11" ht="72.75" customHeight="1">
      <c r="A380" s="77" t="s">
        <v>323</v>
      </c>
      <c r="B380" s="77" t="s">
        <v>264</v>
      </c>
      <c r="C380" s="336" t="s">
        <v>414</v>
      </c>
      <c r="D380" s="337"/>
      <c r="E380" s="337"/>
      <c r="F380" s="337"/>
      <c r="G380" s="337"/>
      <c r="H380" s="337"/>
      <c r="I380" s="338"/>
      <c r="J380" s="78">
        <f>ROUND(SUM(E384),2)</f>
        <v>2</v>
      </c>
      <c r="K380" s="183" t="s">
        <v>369</v>
      </c>
    </row>
    <row r="381" spans="1:11" ht="15" customHeight="1">
      <c r="A381" s="333"/>
      <c r="B381" s="333"/>
      <c r="C381" s="333"/>
      <c r="D381" s="76" t="s">
        <v>129</v>
      </c>
      <c r="E381" s="76" t="s">
        <v>142</v>
      </c>
      <c r="F381" s="25"/>
      <c r="G381" s="25"/>
      <c r="H381" s="25"/>
      <c r="I381" s="25"/>
      <c r="J381" s="25"/>
    </row>
    <row r="382" spans="1:11">
      <c r="A382" s="324" t="s">
        <v>283</v>
      </c>
      <c r="B382" s="325"/>
      <c r="C382" s="326"/>
      <c r="D382" s="74"/>
      <c r="E382" s="73"/>
      <c r="F382" s="25"/>
      <c r="G382" s="25"/>
      <c r="H382" s="25"/>
      <c r="I382" s="25"/>
      <c r="J382" s="25"/>
    </row>
    <row r="383" spans="1:11">
      <c r="A383" s="330" t="s">
        <v>295</v>
      </c>
      <c r="B383" s="330"/>
      <c r="C383" s="75" t="s">
        <v>145</v>
      </c>
      <c r="D383" s="74">
        <v>2</v>
      </c>
      <c r="E383" s="73">
        <f>ROUND(D383,2)</f>
        <v>2</v>
      </c>
      <c r="F383" s="25"/>
      <c r="G383" s="25"/>
      <c r="H383" s="25"/>
      <c r="I383" s="25"/>
      <c r="J383" s="25"/>
    </row>
    <row r="384" spans="1:11" ht="15" customHeight="1">
      <c r="A384" s="331"/>
      <c r="B384" s="331"/>
      <c r="C384" s="72"/>
      <c r="D384" s="71"/>
      <c r="E384" s="70">
        <f>ROUND(SUM(E382:E383),2)</f>
        <v>2</v>
      </c>
      <c r="F384" s="25"/>
      <c r="G384" s="25"/>
      <c r="H384" s="25"/>
      <c r="I384" s="25"/>
      <c r="J384" s="25"/>
    </row>
    <row r="385" spans="1:10" ht="9.9" customHeight="1">
      <c r="A385" s="328"/>
      <c r="B385" s="328"/>
      <c r="C385" s="328"/>
      <c r="D385" s="328"/>
      <c r="E385" s="25"/>
      <c r="F385" s="25"/>
      <c r="G385" s="25"/>
      <c r="H385" s="25"/>
      <c r="I385" s="25"/>
      <c r="J385" s="25"/>
    </row>
    <row r="386" spans="1:10" ht="12" customHeight="1">
      <c r="A386" s="25"/>
      <c r="B386" s="25"/>
      <c r="C386" s="25"/>
      <c r="D386" s="25"/>
      <c r="E386" s="323" t="str">
        <f>"TOTAL DA MEMÓRIA DE CÁLCULO: "&amp;TEXT(J380,"0,00")</f>
        <v>TOTAL DA MEMÓRIA DE CÁLCULO: 2,00</v>
      </c>
      <c r="F386" s="323"/>
      <c r="G386" s="323"/>
      <c r="H386" s="323"/>
      <c r="I386" s="323"/>
      <c r="J386" s="323"/>
    </row>
    <row r="387" spans="1:10" ht="9.9" customHeight="1">
      <c r="A387" s="328"/>
      <c r="B387" s="328"/>
      <c r="C387" s="328"/>
      <c r="D387" s="328"/>
      <c r="E387" s="328"/>
      <c r="F387" s="25"/>
      <c r="G387" s="25"/>
      <c r="H387" s="25"/>
      <c r="I387" s="25"/>
      <c r="J387" s="25"/>
    </row>
    <row r="388" spans="1:10" ht="100.5" customHeight="1">
      <c r="A388" s="347"/>
      <c r="B388" s="347"/>
      <c r="C388" s="347"/>
      <c r="D388" s="347"/>
      <c r="E388" s="347"/>
      <c r="F388" s="347"/>
      <c r="G388" s="347"/>
      <c r="H388" s="347"/>
      <c r="I388" s="347"/>
      <c r="J388" s="347"/>
    </row>
  </sheetData>
  <autoFilter ref="A8:J357" xr:uid="{00000000-0009-0000-0000-000006000000}"/>
  <mergeCells count="390">
    <mergeCell ref="E1:J1"/>
    <mergeCell ref="E2:J2"/>
    <mergeCell ref="F3:J3"/>
    <mergeCell ref="F4:J4"/>
    <mergeCell ref="F5:J5"/>
    <mergeCell ref="A6:J6"/>
    <mergeCell ref="A7:J7"/>
    <mergeCell ref="C9:I9"/>
    <mergeCell ref="A10:C10"/>
    <mergeCell ref="A1:D2"/>
    <mergeCell ref="B3:D3"/>
    <mergeCell ref="A39:E39"/>
    <mergeCell ref="C31:I31"/>
    <mergeCell ref="A32:C32"/>
    <mergeCell ref="A33:B33"/>
    <mergeCell ref="A27:J27"/>
    <mergeCell ref="A41:C41"/>
    <mergeCell ref="A35:B35"/>
    <mergeCell ref="A388:J388"/>
    <mergeCell ref="B4:D4"/>
    <mergeCell ref="B5:D5"/>
    <mergeCell ref="A16:J16"/>
    <mergeCell ref="A17:D17"/>
    <mergeCell ref="C18:I18"/>
    <mergeCell ref="A19:C19"/>
    <mergeCell ref="A20:B20"/>
    <mergeCell ref="A11:B11"/>
    <mergeCell ref="A12:B12"/>
    <mergeCell ref="A13:D13"/>
    <mergeCell ref="E14:J14"/>
    <mergeCell ref="A15:E15"/>
    <mergeCell ref="C40:I40"/>
    <mergeCell ref="A21:B21"/>
    <mergeCell ref="A22:D22"/>
    <mergeCell ref="E23:J23"/>
    <mergeCell ref="A54:D54"/>
    <mergeCell ref="E55:J55"/>
    <mergeCell ref="A51:C51"/>
    <mergeCell ref="A44:D44"/>
    <mergeCell ref="E45:J45"/>
    <mergeCell ref="A46:E46"/>
    <mergeCell ref="A48:D48"/>
    <mergeCell ref="C49:I49"/>
    <mergeCell ref="A50:C50"/>
    <mergeCell ref="A52:B52"/>
    <mergeCell ref="A53:B53"/>
    <mergeCell ref="A47:J47"/>
    <mergeCell ref="A42:B42"/>
    <mergeCell ref="A43:B43"/>
    <mergeCell ref="A34:B34"/>
    <mergeCell ref="A29:J29"/>
    <mergeCell ref="A30:D30"/>
    <mergeCell ref="A25:J25"/>
    <mergeCell ref="A26:D26"/>
    <mergeCell ref="A24:E24"/>
    <mergeCell ref="A91:D91"/>
    <mergeCell ref="A99:E99"/>
    <mergeCell ref="E67:J67"/>
    <mergeCell ref="A68:E68"/>
    <mergeCell ref="A63:B63"/>
    <mergeCell ref="A64:B64"/>
    <mergeCell ref="A66:D66"/>
    <mergeCell ref="A80:C80"/>
    <mergeCell ref="C78:I78"/>
    <mergeCell ref="A79:C79"/>
    <mergeCell ref="C69:I69"/>
    <mergeCell ref="A70:C70"/>
    <mergeCell ref="A71:B71"/>
    <mergeCell ref="A72:B72"/>
    <mergeCell ref="A73:D73"/>
    <mergeCell ref="E74:J74"/>
    <mergeCell ref="A75:E75"/>
    <mergeCell ref="A57:J57"/>
    <mergeCell ref="A28:D28"/>
    <mergeCell ref="A36:B36"/>
    <mergeCell ref="A37:D37"/>
    <mergeCell ref="E38:J38"/>
    <mergeCell ref="A106:D106"/>
    <mergeCell ref="A96:B96"/>
    <mergeCell ref="A97:D97"/>
    <mergeCell ref="E98:J98"/>
    <mergeCell ref="A102:B102"/>
    <mergeCell ref="A103:B103"/>
    <mergeCell ref="E84:J84"/>
    <mergeCell ref="A81:B81"/>
    <mergeCell ref="A83:D83"/>
    <mergeCell ref="A104:D104"/>
    <mergeCell ref="E105:J105"/>
    <mergeCell ref="C100:I100"/>
    <mergeCell ref="A101:C101"/>
    <mergeCell ref="A90:J90"/>
    <mergeCell ref="C92:I92"/>
    <mergeCell ref="A93:C93"/>
    <mergeCell ref="A82:B82"/>
    <mergeCell ref="A85:E85"/>
    <mergeCell ref="A86:J86"/>
    <mergeCell ref="A87:D87"/>
    <mergeCell ref="A88:J88"/>
    <mergeCell ref="A89:D89"/>
    <mergeCell ref="A95:B95"/>
    <mergeCell ref="A175:J175"/>
    <mergeCell ref="E156:J156"/>
    <mergeCell ref="A201:B201"/>
    <mergeCell ref="A181:B181"/>
    <mergeCell ref="A160:B160"/>
    <mergeCell ref="A137:D137"/>
    <mergeCell ref="C285:I285"/>
    <mergeCell ref="A286:C286"/>
    <mergeCell ref="A287:B287"/>
    <mergeCell ref="A208:J208"/>
    <mergeCell ref="A209:D209"/>
    <mergeCell ref="C191:I191"/>
    <mergeCell ref="A192:C192"/>
    <mergeCell ref="A161:B161"/>
    <mergeCell ref="A162:D162"/>
    <mergeCell ref="A203:B203"/>
    <mergeCell ref="A176:D176"/>
    <mergeCell ref="A177:J177"/>
    <mergeCell ref="A178:D178"/>
    <mergeCell ref="C179:I179"/>
    <mergeCell ref="A180:C180"/>
    <mergeCell ref="A187:B187"/>
    <mergeCell ref="A188:D188"/>
    <mergeCell ref="A170:B170"/>
    <mergeCell ref="A120:D120"/>
    <mergeCell ref="E163:J163"/>
    <mergeCell ref="A165:J165"/>
    <mergeCell ref="A166:D166"/>
    <mergeCell ref="A107:J107"/>
    <mergeCell ref="A108:D108"/>
    <mergeCell ref="C109:I109"/>
    <mergeCell ref="A111:C111"/>
    <mergeCell ref="A113:B113"/>
    <mergeCell ref="A114:D114"/>
    <mergeCell ref="E115:J115"/>
    <mergeCell ref="A117:J117"/>
    <mergeCell ref="A118:D118"/>
    <mergeCell ref="A119:J119"/>
    <mergeCell ref="C121:I121"/>
    <mergeCell ref="A122:C122"/>
    <mergeCell ref="A123:B123"/>
    <mergeCell ref="C129:I129"/>
    <mergeCell ref="A110:B110"/>
    <mergeCell ref="A112:B112"/>
    <mergeCell ref="A116:E116"/>
    <mergeCell ref="A126:D126"/>
    <mergeCell ref="E127:J127"/>
    <mergeCell ref="A128:E128"/>
    <mergeCell ref="A186:B186"/>
    <mergeCell ref="A185:B185"/>
    <mergeCell ref="E221:J221"/>
    <mergeCell ref="A217:B217"/>
    <mergeCell ref="C214:I214"/>
    <mergeCell ref="A225:B225"/>
    <mergeCell ref="A226:B226"/>
    <mergeCell ref="A219:B219"/>
    <mergeCell ref="A288:B288"/>
    <mergeCell ref="A210:J210"/>
    <mergeCell ref="A211:D211"/>
    <mergeCell ref="A218:B218"/>
    <mergeCell ref="A198:J198"/>
    <mergeCell ref="A199:D199"/>
    <mergeCell ref="C200:I200"/>
    <mergeCell ref="A193:B193"/>
    <mergeCell ref="A194:B194"/>
    <mergeCell ref="A195:D195"/>
    <mergeCell ref="E196:J196"/>
    <mergeCell ref="A229:J229"/>
    <mergeCell ref="A230:D230"/>
    <mergeCell ref="C231:I231"/>
    <mergeCell ref="A232:C232"/>
    <mergeCell ref="C223:I223"/>
    <mergeCell ref="C158:I158"/>
    <mergeCell ref="A159:C159"/>
    <mergeCell ref="A143:D143"/>
    <mergeCell ref="E144:J144"/>
    <mergeCell ref="A133:D133"/>
    <mergeCell ref="A142:B142"/>
    <mergeCell ref="A125:B125"/>
    <mergeCell ref="A152:B152"/>
    <mergeCell ref="A130:C130"/>
    <mergeCell ref="A131:B131"/>
    <mergeCell ref="A132:B132"/>
    <mergeCell ref="A141:B141"/>
    <mergeCell ref="A164:D164"/>
    <mergeCell ref="A145:E145"/>
    <mergeCell ref="A146:J146"/>
    <mergeCell ref="A147:D147"/>
    <mergeCell ref="A215:C215"/>
    <mergeCell ref="A216:B216"/>
    <mergeCell ref="A197:D197"/>
    <mergeCell ref="E134:J134"/>
    <mergeCell ref="A136:J136"/>
    <mergeCell ref="C138:I138"/>
    <mergeCell ref="A140:C140"/>
    <mergeCell ref="A148:J148"/>
    <mergeCell ref="A149:D149"/>
    <mergeCell ref="C150:I150"/>
    <mergeCell ref="A151:C151"/>
    <mergeCell ref="A154:B154"/>
    <mergeCell ref="A155:D155"/>
    <mergeCell ref="A139:B139"/>
    <mergeCell ref="A135:D135"/>
    <mergeCell ref="A157:E157"/>
    <mergeCell ref="E189:J189"/>
    <mergeCell ref="A190:E190"/>
    <mergeCell ref="A171:B171"/>
    <mergeCell ref="A172:D172"/>
    <mergeCell ref="A370:E370"/>
    <mergeCell ref="C371:I371"/>
    <mergeCell ref="A325:B325"/>
    <mergeCell ref="A349:J349"/>
    <mergeCell ref="A350:D350"/>
    <mergeCell ref="C351:I351"/>
    <mergeCell ref="A352:C352"/>
    <mergeCell ref="A354:B354"/>
    <mergeCell ref="A332:J332"/>
    <mergeCell ref="A372:C372"/>
    <mergeCell ref="A297:B297"/>
    <mergeCell ref="A298:D298"/>
    <mergeCell ref="E299:J299"/>
    <mergeCell ref="A338:B338"/>
    <mergeCell ref="A339:D339"/>
    <mergeCell ref="A320:D320"/>
    <mergeCell ref="A303:D303"/>
    <mergeCell ref="A310:D310"/>
    <mergeCell ref="E311:J311"/>
    <mergeCell ref="A312:E312"/>
    <mergeCell ref="C313:I313"/>
    <mergeCell ref="A314:C314"/>
    <mergeCell ref="A306:B306"/>
    <mergeCell ref="A309:B309"/>
    <mergeCell ref="A315:B315"/>
    <mergeCell ref="A367:B367"/>
    <mergeCell ref="A324:B324"/>
    <mergeCell ref="C321:I321"/>
    <mergeCell ref="A322:C322"/>
    <mergeCell ref="A337:B337"/>
    <mergeCell ref="A348:E348"/>
    <mergeCell ref="A343:C343"/>
    <mergeCell ref="A344:B344"/>
    <mergeCell ref="C167:I167"/>
    <mergeCell ref="A168:B168"/>
    <mergeCell ref="E173:J173"/>
    <mergeCell ref="A174:E174"/>
    <mergeCell ref="A169:C169"/>
    <mergeCell ref="A204:B204"/>
    <mergeCell ref="A264:C264"/>
    <mergeCell ref="A266:B266"/>
    <mergeCell ref="A267:B267"/>
    <mergeCell ref="A261:J261"/>
    <mergeCell ref="A262:D262"/>
    <mergeCell ref="C263:I263"/>
    <mergeCell ref="E253:J253"/>
    <mergeCell ref="A233:C233"/>
    <mergeCell ref="C245:I245"/>
    <mergeCell ref="A246:C246"/>
    <mergeCell ref="A247:B247"/>
    <mergeCell ref="A256:C256"/>
    <mergeCell ref="A257:B257"/>
    <mergeCell ref="A239:J239"/>
    <mergeCell ref="A240:D240"/>
    <mergeCell ref="A241:J241"/>
    <mergeCell ref="E237:J237"/>
    <mergeCell ref="A238:E238"/>
    <mergeCell ref="A234:B234"/>
    <mergeCell ref="A235:B235"/>
    <mergeCell ref="A236:D236"/>
    <mergeCell ref="A227:D227"/>
    <mergeCell ref="A220:D220"/>
    <mergeCell ref="E228:J228"/>
    <mergeCell ref="A212:J212"/>
    <mergeCell ref="A213:D213"/>
    <mergeCell ref="A224:C224"/>
    <mergeCell ref="A222:E222"/>
    <mergeCell ref="E269:J269"/>
    <mergeCell ref="A280:B280"/>
    <mergeCell ref="A254:E254"/>
    <mergeCell ref="C255:I255"/>
    <mergeCell ref="A270:J270"/>
    <mergeCell ref="A271:D271"/>
    <mergeCell ref="A272:J272"/>
    <mergeCell ref="A273:D273"/>
    <mergeCell ref="A242:D242"/>
    <mergeCell ref="A248:B248"/>
    <mergeCell ref="A250:B250"/>
    <mergeCell ref="A258:B258"/>
    <mergeCell ref="A259:D259"/>
    <mergeCell ref="E260:J260"/>
    <mergeCell ref="A249:B249"/>
    <mergeCell ref="A243:J243"/>
    <mergeCell ref="A244:D244"/>
    <mergeCell ref="A251:B251"/>
    <mergeCell ref="A252:D252"/>
    <mergeCell ref="A202:C202"/>
    <mergeCell ref="A291:J291"/>
    <mergeCell ref="A292:D292"/>
    <mergeCell ref="C293:I293"/>
    <mergeCell ref="A294:C294"/>
    <mergeCell ref="A296:B296"/>
    <mergeCell ref="E290:J290"/>
    <mergeCell ref="A289:D289"/>
    <mergeCell ref="E283:J283"/>
    <mergeCell ref="A284:E284"/>
    <mergeCell ref="C276:I276"/>
    <mergeCell ref="A277:C277"/>
    <mergeCell ref="A278:B278"/>
    <mergeCell ref="A265:C265"/>
    <mergeCell ref="A295:C295"/>
    <mergeCell ref="A281:B281"/>
    <mergeCell ref="A282:D282"/>
    <mergeCell ref="A279:B279"/>
    <mergeCell ref="A274:J274"/>
    <mergeCell ref="A275:D275"/>
    <mergeCell ref="A205:D205"/>
    <mergeCell ref="E206:J206"/>
    <mergeCell ref="A207:E207"/>
    <mergeCell ref="A268:D268"/>
    <mergeCell ref="A316:B316"/>
    <mergeCell ref="A317:D317"/>
    <mergeCell ref="E318:J318"/>
    <mergeCell ref="A300:J300"/>
    <mergeCell ref="A301:D301"/>
    <mergeCell ref="A302:J302"/>
    <mergeCell ref="C304:I304"/>
    <mergeCell ref="A305:C305"/>
    <mergeCell ref="A307:B307"/>
    <mergeCell ref="A308:B308"/>
    <mergeCell ref="A387:E387"/>
    <mergeCell ref="A379:D379"/>
    <mergeCell ref="A384:B384"/>
    <mergeCell ref="A373:B373"/>
    <mergeCell ref="A375:D375"/>
    <mergeCell ref="E376:J376"/>
    <mergeCell ref="A377:E377"/>
    <mergeCell ref="A378:J378"/>
    <mergeCell ref="C380:I380"/>
    <mergeCell ref="A381:C381"/>
    <mergeCell ref="A383:B383"/>
    <mergeCell ref="A385:D385"/>
    <mergeCell ref="E386:J386"/>
    <mergeCell ref="A374:B374"/>
    <mergeCell ref="A319:J319"/>
    <mergeCell ref="A326:D326"/>
    <mergeCell ref="E327:J327"/>
    <mergeCell ref="A323:C323"/>
    <mergeCell ref="A382:C382"/>
    <mergeCell ref="A58:D58"/>
    <mergeCell ref="A59:J59"/>
    <mergeCell ref="A60:D60"/>
    <mergeCell ref="C61:I61"/>
    <mergeCell ref="A62:C62"/>
    <mergeCell ref="A65:B65"/>
    <mergeCell ref="A76:J76"/>
    <mergeCell ref="A77:D77"/>
    <mergeCell ref="A328:J328"/>
    <mergeCell ref="A94:B94"/>
    <mergeCell ref="A124:B124"/>
    <mergeCell ref="A153:B153"/>
    <mergeCell ref="A182:B182"/>
    <mergeCell ref="A183:B183"/>
    <mergeCell ref="A184:B184"/>
    <mergeCell ref="A329:D329"/>
    <mergeCell ref="C342:I342"/>
    <mergeCell ref="E340:J340"/>
    <mergeCell ref="A341:E341"/>
    <mergeCell ref="C334:I334"/>
    <mergeCell ref="A330:J330"/>
    <mergeCell ref="A331:D331"/>
    <mergeCell ref="A361:D361"/>
    <mergeCell ref="C362:I362"/>
    <mergeCell ref="A363:C363"/>
    <mergeCell ref="A364:B364"/>
    <mergeCell ref="A365:B365"/>
    <mergeCell ref="A368:D368"/>
    <mergeCell ref="A345:B345"/>
    <mergeCell ref="A346:D346"/>
    <mergeCell ref="E347:J347"/>
    <mergeCell ref="A335:C335"/>
    <mergeCell ref="A333:D333"/>
    <mergeCell ref="A336:B336"/>
    <mergeCell ref="E369:J369"/>
    <mergeCell ref="A353:C353"/>
    <mergeCell ref="A358:J358"/>
    <mergeCell ref="A359:D359"/>
    <mergeCell ref="A360:J360"/>
    <mergeCell ref="A366:B366"/>
    <mergeCell ref="A355:B355"/>
    <mergeCell ref="A356:D356"/>
    <mergeCell ref="E357:J357"/>
  </mergeCells>
  <pageMargins left="0.7" right="0.7" top="0.75" bottom="0.75" header="0.3" footer="0.3"/>
  <pageSetup paperSize="9" scale="81"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pageSetUpPr fitToPage="1"/>
  </sheetPr>
  <dimension ref="A1:E40"/>
  <sheetViews>
    <sheetView view="pageBreakPreview" topLeftCell="A16" zoomScaleNormal="115" zoomScaleSheetLayoutView="100" workbookViewId="0">
      <selection activeCell="K8" sqref="K8"/>
    </sheetView>
  </sheetViews>
  <sheetFormatPr defaultColWidth="9.109375" defaultRowHeight="14.4"/>
  <cols>
    <col min="1" max="1" width="52.33203125" style="2" customWidth="1"/>
    <col min="2" max="2" width="17.88671875" style="2" customWidth="1"/>
    <col min="3" max="3" width="17.33203125" style="2" customWidth="1"/>
    <col min="4" max="4" width="15.44140625" style="2" customWidth="1"/>
    <col min="5" max="5" width="17.6640625" style="2" customWidth="1"/>
    <col min="6" max="16384" width="9.109375" style="1"/>
  </cols>
  <sheetData>
    <row r="1" spans="1:5" ht="81.599999999999994" customHeight="1">
      <c r="A1" s="376"/>
      <c r="B1" s="376"/>
      <c r="C1" s="377" t="s">
        <v>0</v>
      </c>
      <c r="D1" s="377"/>
      <c r="E1" s="377"/>
    </row>
    <row r="2" spans="1:5" ht="33" customHeight="1">
      <c r="A2" s="141" t="s">
        <v>117</v>
      </c>
      <c r="B2" s="26" t="s">
        <v>248</v>
      </c>
      <c r="C2" s="378" t="s">
        <v>252</v>
      </c>
      <c r="D2" s="378"/>
      <c r="E2" s="378"/>
    </row>
    <row r="3" spans="1:5" ht="39.75" customHeight="1">
      <c r="A3" s="142" t="s">
        <v>118</v>
      </c>
      <c r="B3" s="27" t="s">
        <v>1</v>
      </c>
      <c r="C3" s="28" t="s">
        <v>2</v>
      </c>
      <c r="D3" s="379" t="s">
        <v>249</v>
      </c>
      <c r="E3" s="379"/>
    </row>
    <row r="4" spans="1:5" ht="32.25" customHeight="1">
      <c r="A4" s="143" t="s">
        <v>246</v>
      </c>
      <c r="B4" s="30">
        <v>46001</v>
      </c>
      <c r="C4" s="28" t="s">
        <v>3</v>
      </c>
      <c r="D4" s="380" t="s">
        <v>495</v>
      </c>
      <c r="E4" s="380"/>
    </row>
    <row r="5" spans="1:5" ht="18.75" customHeight="1">
      <c r="A5" s="365"/>
      <c r="B5" s="365"/>
      <c r="C5" s="357" t="s">
        <v>497</v>
      </c>
      <c r="D5" s="357"/>
      <c r="E5" s="357"/>
    </row>
    <row r="6" spans="1:5">
      <c r="A6" s="365"/>
      <c r="B6" s="365"/>
      <c r="C6" s="365"/>
      <c r="D6" s="365"/>
      <c r="E6" s="365"/>
    </row>
    <row r="7" spans="1:5">
      <c r="A7" s="381" t="s">
        <v>4</v>
      </c>
      <c r="B7" s="381"/>
      <c r="C7" s="381"/>
      <c r="D7" s="381"/>
      <c r="E7" s="381"/>
    </row>
    <row r="8" spans="1:5" ht="66" customHeight="1">
      <c r="A8" s="31" t="s">
        <v>5</v>
      </c>
      <c r="B8" s="382" t="s">
        <v>252</v>
      </c>
      <c r="C8" s="383"/>
      <c r="D8" s="383"/>
      <c r="E8" s="384"/>
    </row>
    <row r="9" spans="1:5">
      <c r="A9" s="385" t="s">
        <v>6</v>
      </c>
      <c r="B9" s="387" t="s">
        <v>7</v>
      </c>
      <c r="C9" s="387"/>
      <c r="D9" s="387"/>
      <c r="E9" s="387"/>
    </row>
    <row r="10" spans="1:5" ht="7.95" customHeight="1">
      <c r="A10" s="386"/>
      <c r="B10" s="387"/>
      <c r="C10" s="387"/>
      <c r="D10" s="387"/>
      <c r="E10" s="387"/>
    </row>
    <row r="11" spans="1:5">
      <c r="A11" s="32"/>
      <c r="B11" s="375"/>
      <c r="C11" s="375"/>
      <c r="D11" s="375"/>
      <c r="E11" s="375"/>
    </row>
    <row r="12" spans="1:5">
      <c r="A12" s="33" t="s">
        <v>8</v>
      </c>
      <c r="B12" s="372" t="s">
        <v>9</v>
      </c>
      <c r="C12" s="372"/>
      <c r="D12" s="372"/>
      <c r="E12" s="372"/>
    </row>
    <row r="13" spans="1:5">
      <c r="A13" s="29"/>
      <c r="B13" s="365"/>
      <c r="C13" s="365"/>
      <c r="D13" s="365"/>
      <c r="E13" s="365"/>
    </row>
    <row r="14" spans="1:5">
      <c r="A14" s="373" t="s">
        <v>10</v>
      </c>
      <c r="B14" s="374" t="s">
        <v>11</v>
      </c>
      <c r="C14" s="374"/>
      <c r="D14" s="374"/>
      <c r="E14" s="373" t="s">
        <v>12</v>
      </c>
    </row>
    <row r="15" spans="1:5" ht="33.6" customHeight="1">
      <c r="A15" s="373"/>
      <c r="B15" s="34" t="s">
        <v>13</v>
      </c>
      <c r="C15" s="34" t="s">
        <v>14</v>
      </c>
      <c r="D15" s="34" t="s">
        <v>15</v>
      </c>
      <c r="E15" s="373"/>
    </row>
    <row r="16" spans="1:5">
      <c r="A16" s="35" t="s">
        <v>16</v>
      </c>
      <c r="B16" s="45">
        <v>3.7999999999999999E-2</v>
      </c>
      <c r="C16" s="45">
        <v>4.0099999999999997E-2</v>
      </c>
      <c r="D16" s="45">
        <v>4.6699999999999998E-2</v>
      </c>
      <c r="E16" s="36">
        <v>3.8</v>
      </c>
    </row>
    <row r="17" spans="1:5">
      <c r="A17" s="37" t="s">
        <v>17</v>
      </c>
      <c r="B17" s="46">
        <v>3.2000000000000002E-3</v>
      </c>
      <c r="C17" s="46">
        <v>4.0000000000000001E-3</v>
      </c>
      <c r="D17" s="46">
        <v>7.4000000000000003E-3</v>
      </c>
      <c r="E17" s="38">
        <v>0.32</v>
      </c>
    </row>
    <row r="18" spans="1:5">
      <c r="A18" s="35" t="s">
        <v>18</v>
      </c>
      <c r="B18" s="46">
        <v>5.0000000000000001E-3</v>
      </c>
      <c r="C18" s="46">
        <v>5.5999999999999999E-3</v>
      </c>
      <c r="D18" s="46">
        <v>9.7000000000000003E-3</v>
      </c>
      <c r="E18" s="38">
        <v>0.5</v>
      </c>
    </row>
    <row r="19" spans="1:5">
      <c r="A19" s="37" t="s">
        <v>19</v>
      </c>
      <c r="B19" s="46">
        <v>1.0200000000000001E-2</v>
      </c>
      <c r="C19" s="46">
        <v>1.11E-2</v>
      </c>
      <c r="D19" s="46">
        <v>1.21E-2</v>
      </c>
      <c r="E19" s="38">
        <v>1.02</v>
      </c>
    </row>
    <row r="20" spans="1:5">
      <c r="A20" s="35" t="s">
        <v>20</v>
      </c>
      <c r="B20" s="45">
        <v>6.6400000000000001E-2</v>
      </c>
      <c r="C20" s="45">
        <v>7.2999999999999995E-2</v>
      </c>
      <c r="D20" s="45">
        <v>8.6900000000000005E-2</v>
      </c>
      <c r="E20" s="38">
        <v>6.64</v>
      </c>
    </row>
    <row r="21" spans="1:5">
      <c r="A21" s="39" t="s">
        <v>136</v>
      </c>
      <c r="B21" s="388"/>
      <c r="C21" s="388"/>
      <c r="D21" s="388"/>
      <c r="E21" s="40">
        <f>SUM(E22:E25)</f>
        <v>8.65</v>
      </c>
    </row>
    <row r="22" spans="1:5">
      <c r="A22" s="37" t="s">
        <v>21</v>
      </c>
      <c r="B22" s="389" t="s">
        <v>22</v>
      </c>
      <c r="C22" s="389"/>
      <c r="D22" s="389"/>
      <c r="E22" s="41">
        <v>3</v>
      </c>
    </row>
    <row r="23" spans="1:5">
      <c r="A23" s="37" t="s">
        <v>23</v>
      </c>
      <c r="B23" s="389"/>
      <c r="C23" s="389"/>
      <c r="D23" s="389"/>
      <c r="E23" s="42">
        <v>0.65</v>
      </c>
    </row>
    <row r="24" spans="1:5">
      <c r="A24" s="37" t="s">
        <v>24</v>
      </c>
      <c r="B24" s="389"/>
      <c r="C24" s="389"/>
      <c r="D24" s="389"/>
      <c r="E24" s="41">
        <v>5</v>
      </c>
    </row>
    <row r="25" spans="1:5">
      <c r="A25" s="35" t="s">
        <v>25</v>
      </c>
      <c r="B25" s="367" t="s">
        <v>26</v>
      </c>
      <c r="C25" s="368"/>
      <c r="D25" s="369"/>
      <c r="E25" s="43">
        <v>0</v>
      </c>
    </row>
    <row r="26" spans="1:5">
      <c r="A26" s="370" t="s">
        <v>27</v>
      </c>
      <c r="B26" s="370"/>
      <c r="C26" s="370"/>
      <c r="D26" s="370"/>
      <c r="E26" s="44">
        <f>ROUND(((1+(E16/100+E17/100+E18/100))*(1+E19/100)*(1+E20/100))/(1-E21/100)-1,4)</f>
        <v>0.23380000000000001</v>
      </c>
    </row>
    <row r="27" spans="1:5">
      <c r="A27" s="371" t="s">
        <v>378</v>
      </c>
      <c r="B27" s="371"/>
      <c r="C27" s="371"/>
      <c r="D27" s="371"/>
      <c r="E27" s="371"/>
    </row>
    <row r="28" spans="1:5" ht="41.25" customHeight="1">
      <c r="A28" s="371" t="s">
        <v>505</v>
      </c>
      <c r="B28" s="371"/>
      <c r="C28" s="371"/>
      <c r="D28" s="371"/>
      <c r="E28" s="371"/>
    </row>
    <row r="29" spans="1:5">
      <c r="A29" s="362" t="s">
        <v>28</v>
      </c>
      <c r="B29" s="363"/>
      <c r="C29" s="363"/>
      <c r="D29" s="363"/>
      <c r="E29" s="364"/>
    </row>
    <row r="30" spans="1:5" ht="15" customHeight="1">
      <c r="A30" s="365"/>
      <c r="B30" s="365"/>
      <c r="C30" s="365"/>
      <c r="D30" s="365"/>
      <c r="E30" s="365"/>
    </row>
    <row r="31" spans="1:5" ht="12" customHeight="1">
      <c r="A31" s="365"/>
      <c r="B31" s="365"/>
      <c r="C31" s="365"/>
      <c r="D31" s="365"/>
      <c r="E31" s="365"/>
    </row>
    <row r="32" spans="1:5" ht="11.4" customHeight="1">
      <c r="A32" s="365"/>
      <c r="B32" s="365"/>
      <c r="C32" s="365"/>
      <c r="D32" s="365"/>
      <c r="E32" s="365"/>
    </row>
    <row r="33" spans="1:5">
      <c r="A33" s="365"/>
      <c r="B33" s="365"/>
      <c r="C33" s="365"/>
      <c r="D33" s="365"/>
      <c r="E33" s="365"/>
    </row>
    <row r="34" spans="1:5">
      <c r="A34" s="366" t="s">
        <v>29</v>
      </c>
      <c r="B34" s="366"/>
      <c r="C34" s="366"/>
      <c r="D34" s="366"/>
      <c r="E34" s="366"/>
    </row>
    <row r="35" spans="1:5">
      <c r="A35" s="357" t="s">
        <v>30</v>
      </c>
      <c r="B35" s="357"/>
      <c r="C35" s="357"/>
      <c r="D35" s="357"/>
      <c r="E35" s="357"/>
    </row>
    <row r="36" spans="1:5">
      <c r="A36" s="357" t="s">
        <v>31</v>
      </c>
      <c r="B36" s="357"/>
      <c r="C36" s="357"/>
      <c r="D36" s="357"/>
      <c r="E36" s="357"/>
    </row>
    <row r="37" spans="1:5">
      <c r="A37" s="357" t="s">
        <v>32</v>
      </c>
      <c r="B37" s="357"/>
      <c r="C37" s="357"/>
      <c r="D37" s="357"/>
      <c r="E37" s="357"/>
    </row>
    <row r="38" spans="1:5">
      <c r="A38" s="357" t="s">
        <v>33</v>
      </c>
      <c r="B38" s="357"/>
      <c r="C38" s="357"/>
      <c r="D38" s="357"/>
      <c r="E38" s="357"/>
    </row>
    <row r="39" spans="1:5">
      <c r="A39" s="358"/>
      <c r="B39" s="359"/>
      <c r="C39" s="359"/>
      <c r="D39" s="359"/>
      <c r="E39" s="360"/>
    </row>
    <row r="40" spans="1:5" ht="93.75" customHeight="1">
      <c r="A40" s="361"/>
      <c r="B40" s="361"/>
      <c r="C40" s="361"/>
      <c r="D40" s="361"/>
      <c r="E40" s="361"/>
    </row>
  </sheetData>
  <mergeCells count="33">
    <mergeCell ref="A28:E28"/>
    <mergeCell ref="B11:E11"/>
    <mergeCell ref="A1:B1"/>
    <mergeCell ref="C1:E1"/>
    <mergeCell ref="C2:E2"/>
    <mergeCell ref="D3:E3"/>
    <mergeCell ref="D4:E4"/>
    <mergeCell ref="A5:B5"/>
    <mergeCell ref="C5:E5"/>
    <mergeCell ref="A6:E6"/>
    <mergeCell ref="A7:E7"/>
    <mergeCell ref="B8:E8"/>
    <mergeCell ref="A9:A10"/>
    <mergeCell ref="B9:E10"/>
    <mergeCell ref="B21:D21"/>
    <mergeCell ref="B22:D24"/>
    <mergeCell ref="B25:D25"/>
    <mergeCell ref="A26:D26"/>
    <mergeCell ref="A27:E27"/>
    <mergeCell ref="B12:E12"/>
    <mergeCell ref="B13:E13"/>
    <mergeCell ref="A14:A15"/>
    <mergeCell ref="B14:D14"/>
    <mergeCell ref="E14:E15"/>
    <mergeCell ref="A37:E37"/>
    <mergeCell ref="A38:E38"/>
    <mergeCell ref="A39:E39"/>
    <mergeCell ref="A40:E40"/>
    <mergeCell ref="A29:E29"/>
    <mergeCell ref="A30:E33"/>
    <mergeCell ref="A34:E34"/>
    <mergeCell ref="A35:E35"/>
    <mergeCell ref="A36:E36"/>
  </mergeCells>
  <dataValidations count="1">
    <dataValidation type="list" allowBlank="1" showInputMessage="1" showErrorMessage="1" promptTitle="Selecionar Tipo de Obra:" prompt="Para enquadramento em cada tipo de obra deve-se observar a preponderância dos serviços correlatos no orçamento do empreendimento, ou então, quando for viável tecnicamente, o desmembramento do orçamento em quantos forem os tipos de obra." sqref="B9:E10" xr:uid="{00000000-0002-0000-0700-000000000000}">
      <formula1>TiposObras</formula1>
    </dataValidation>
  </dataValidations>
  <pageMargins left="0.70866141732283472" right="0.70866141732283472" top="0.74803149606299213" bottom="0.74803149606299213" header="0.31496062992125984" footer="0.31496062992125984"/>
  <pageSetup paperSize="9" scale="72" orientation="portrait" horizontalDpi="360" verticalDpi="36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E40"/>
  <sheetViews>
    <sheetView view="pageBreakPreview" topLeftCell="A22" zoomScaleNormal="100" zoomScaleSheetLayoutView="100" workbookViewId="0">
      <selection activeCell="A29" sqref="A29:XFD30"/>
    </sheetView>
  </sheetViews>
  <sheetFormatPr defaultColWidth="9.109375" defaultRowHeight="14.4"/>
  <cols>
    <col min="1" max="1" width="52.33203125" style="2" customWidth="1"/>
    <col min="2" max="2" width="17.88671875" style="2" customWidth="1"/>
    <col min="3" max="3" width="17.33203125" style="2" customWidth="1"/>
    <col min="4" max="4" width="15.44140625" style="2" customWidth="1"/>
    <col min="5" max="5" width="17.6640625" style="2" customWidth="1"/>
    <col min="6" max="16384" width="9.109375" style="1"/>
  </cols>
  <sheetData>
    <row r="1" spans="1:5" ht="81.599999999999994" customHeight="1">
      <c r="A1" s="376"/>
      <c r="B1" s="376"/>
      <c r="C1" s="377" t="s">
        <v>0</v>
      </c>
      <c r="D1" s="377"/>
      <c r="E1" s="377"/>
    </row>
    <row r="2" spans="1:5" ht="33" customHeight="1">
      <c r="A2" s="141" t="s">
        <v>117</v>
      </c>
      <c r="B2" s="26" t="s">
        <v>248</v>
      </c>
      <c r="C2" s="378" t="s">
        <v>252</v>
      </c>
      <c r="D2" s="378"/>
      <c r="E2" s="378"/>
    </row>
    <row r="3" spans="1:5" ht="39.75" customHeight="1">
      <c r="A3" s="142" t="s">
        <v>118</v>
      </c>
      <c r="B3" s="27" t="s">
        <v>1</v>
      </c>
      <c r="C3" s="28" t="s">
        <v>2</v>
      </c>
      <c r="D3" s="379" t="s">
        <v>249</v>
      </c>
      <c r="E3" s="379"/>
    </row>
    <row r="4" spans="1:5" ht="32.25" customHeight="1">
      <c r="A4" s="143" t="s">
        <v>246</v>
      </c>
      <c r="B4" s="30">
        <v>46001</v>
      </c>
      <c r="C4" s="28" t="s">
        <v>3</v>
      </c>
      <c r="D4" s="380" t="s">
        <v>251</v>
      </c>
      <c r="E4" s="380"/>
    </row>
    <row r="5" spans="1:5" ht="18.75" customHeight="1">
      <c r="A5" s="365"/>
      <c r="B5" s="365"/>
      <c r="C5" s="357" t="s">
        <v>253</v>
      </c>
      <c r="D5" s="357"/>
      <c r="E5" s="357"/>
    </row>
    <row r="6" spans="1:5">
      <c r="A6" s="365"/>
      <c r="B6" s="365"/>
      <c r="C6" s="365"/>
      <c r="D6" s="365"/>
      <c r="E6" s="365"/>
    </row>
    <row r="7" spans="1:5">
      <c r="A7" s="381" t="s">
        <v>4</v>
      </c>
      <c r="B7" s="381"/>
      <c r="C7" s="381"/>
      <c r="D7" s="381"/>
      <c r="E7" s="381"/>
    </row>
    <row r="8" spans="1:5" ht="66" customHeight="1">
      <c r="A8" s="31" t="s">
        <v>5</v>
      </c>
      <c r="B8" s="382" t="s">
        <v>252</v>
      </c>
      <c r="C8" s="383"/>
      <c r="D8" s="383"/>
      <c r="E8" s="384"/>
    </row>
    <row r="9" spans="1:5">
      <c r="A9" s="385" t="s">
        <v>6</v>
      </c>
      <c r="B9" s="387" t="s">
        <v>7</v>
      </c>
      <c r="C9" s="387"/>
      <c r="D9" s="387"/>
      <c r="E9" s="387"/>
    </row>
    <row r="10" spans="1:5" ht="7.95" customHeight="1">
      <c r="A10" s="386"/>
      <c r="B10" s="387"/>
      <c r="C10" s="387"/>
      <c r="D10" s="387"/>
      <c r="E10" s="387"/>
    </row>
    <row r="11" spans="1:5">
      <c r="A11" s="32"/>
      <c r="B11" s="375"/>
      <c r="C11" s="375"/>
      <c r="D11" s="375"/>
      <c r="E11" s="375"/>
    </row>
    <row r="12" spans="1:5">
      <c r="A12" s="33" t="s">
        <v>8</v>
      </c>
      <c r="B12" s="372" t="s">
        <v>9</v>
      </c>
      <c r="C12" s="372"/>
      <c r="D12" s="372"/>
      <c r="E12" s="372"/>
    </row>
    <row r="13" spans="1:5">
      <c r="A13" s="29"/>
      <c r="B13" s="365"/>
      <c r="C13" s="365"/>
      <c r="D13" s="365"/>
      <c r="E13" s="365"/>
    </row>
    <row r="14" spans="1:5">
      <c r="A14" s="373" t="s">
        <v>10</v>
      </c>
      <c r="B14" s="374" t="s">
        <v>11</v>
      </c>
      <c r="C14" s="374"/>
      <c r="D14" s="374"/>
      <c r="E14" s="373" t="s">
        <v>12</v>
      </c>
    </row>
    <row r="15" spans="1:5" ht="33.6" customHeight="1">
      <c r="A15" s="373"/>
      <c r="B15" s="34" t="s">
        <v>13</v>
      </c>
      <c r="C15" s="34" t="s">
        <v>14</v>
      </c>
      <c r="D15" s="34" t="s">
        <v>15</v>
      </c>
      <c r="E15" s="373"/>
    </row>
    <row r="16" spans="1:5">
      <c r="A16" s="35" t="s">
        <v>16</v>
      </c>
      <c r="B16" s="45">
        <v>3.7999999999999999E-2</v>
      </c>
      <c r="C16" s="45">
        <v>4.0099999999999997E-2</v>
      </c>
      <c r="D16" s="45">
        <v>4.6699999999999998E-2</v>
      </c>
      <c r="E16" s="36">
        <v>4.28</v>
      </c>
    </row>
    <row r="17" spans="1:5">
      <c r="A17" s="37" t="s">
        <v>17</v>
      </c>
      <c r="B17" s="46">
        <v>3.2000000000000002E-3</v>
      </c>
      <c r="C17" s="46">
        <v>4.0000000000000001E-3</v>
      </c>
      <c r="D17" s="46">
        <v>7.4000000000000003E-3</v>
      </c>
      <c r="E17" s="38">
        <v>0.32</v>
      </c>
    </row>
    <row r="18" spans="1:5">
      <c r="A18" s="35" t="s">
        <v>18</v>
      </c>
      <c r="B18" s="46">
        <v>5.0000000000000001E-3</v>
      </c>
      <c r="C18" s="46">
        <v>5.5999999999999999E-3</v>
      </c>
      <c r="D18" s="46">
        <v>9.7000000000000003E-3</v>
      </c>
      <c r="E18" s="38">
        <v>0.5</v>
      </c>
    </row>
    <row r="19" spans="1:5">
      <c r="A19" s="37" t="s">
        <v>19</v>
      </c>
      <c r="B19" s="46">
        <v>1.0200000000000001E-2</v>
      </c>
      <c r="C19" s="46">
        <v>1.11E-2</v>
      </c>
      <c r="D19" s="46">
        <v>1.21E-2</v>
      </c>
      <c r="E19" s="38">
        <v>1.02</v>
      </c>
    </row>
    <row r="20" spans="1:5">
      <c r="A20" s="35" t="s">
        <v>20</v>
      </c>
      <c r="B20" s="45">
        <v>6.6400000000000001E-2</v>
      </c>
      <c r="C20" s="45">
        <v>7.2999999999999995E-2</v>
      </c>
      <c r="D20" s="45">
        <v>8.6900000000000005E-2</v>
      </c>
      <c r="E20" s="38">
        <v>6.64</v>
      </c>
    </row>
    <row r="21" spans="1:5">
      <c r="A21" s="39" t="s">
        <v>136</v>
      </c>
      <c r="B21" s="388"/>
      <c r="C21" s="388"/>
      <c r="D21" s="388"/>
      <c r="E21" s="40">
        <f>SUM(E22:E25)</f>
        <v>9.25</v>
      </c>
    </row>
    <row r="22" spans="1:5">
      <c r="A22" s="37" t="s">
        <v>21</v>
      </c>
      <c r="B22" s="389" t="s">
        <v>22</v>
      </c>
      <c r="C22" s="389"/>
      <c r="D22" s="389"/>
      <c r="E22" s="41">
        <v>3</v>
      </c>
    </row>
    <row r="23" spans="1:5">
      <c r="A23" s="37" t="s">
        <v>23</v>
      </c>
      <c r="B23" s="389"/>
      <c r="C23" s="389"/>
      <c r="D23" s="389"/>
      <c r="E23" s="42">
        <v>0.65</v>
      </c>
    </row>
    <row r="24" spans="1:5">
      <c r="A24" s="37" t="s">
        <v>24</v>
      </c>
      <c r="B24" s="389"/>
      <c r="C24" s="389"/>
      <c r="D24" s="389"/>
      <c r="E24" s="41">
        <v>2</v>
      </c>
    </row>
    <row r="25" spans="1:5">
      <c r="A25" s="35" t="s">
        <v>25</v>
      </c>
      <c r="B25" s="367" t="s">
        <v>26</v>
      </c>
      <c r="C25" s="368"/>
      <c r="D25" s="369"/>
      <c r="E25" s="41">
        <v>3.6</v>
      </c>
    </row>
    <row r="26" spans="1:5">
      <c r="A26" s="370" t="s">
        <v>27</v>
      </c>
      <c r="B26" s="370"/>
      <c r="C26" s="370"/>
      <c r="D26" s="370"/>
      <c r="E26" s="44">
        <f>ROUND(((1+(E16/100+E17/100+E18/100))*(1+E19/100)*(1+E20/100))/(1-E21/100)-1,4)</f>
        <v>0.24759999999999999</v>
      </c>
    </row>
    <row r="27" spans="1:5">
      <c r="A27" s="371" t="s">
        <v>378</v>
      </c>
      <c r="B27" s="371"/>
      <c r="C27" s="371"/>
      <c r="D27" s="371"/>
      <c r="E27" s="371"/>
    </row>
    <row r="28" spans="1:5" ht="43.5" customHeight="1">
      <c r="A28" s="371" t="s">
        <v>379</v>
      </c>
      <c r="B28" s="371"/>
      <c r="C28" s="371"/>
      <c r="D28" s="371"/>
      <c r="E28" s="371"/>
    </row>
    <row r="29" spans="1:5">
      <c r="A29" s="362" t="s">
        <v>28</v>
      </c>
      <c r="B29" s="363"/>
      <c r="C29" s="363"/>
      <c r="D29" s="363"/>
      <c r="E29" s="364"/>
    </row>
    <row r="30" spans="1:5" ht="15" customHeight="1">
      <c r="A30" s="365"/>
      <c r="B30" s="365"/>
      <c r="C30" s="365"/>
      <c r="D30" s="365"/>
      <c r="E30" s="365"/>
    </row>
    <row r="31" spans="1:5" ht="12" customHeight="1">
      <c r="A31" s="365"/>
      <c r="B31" s="365"/>
      <c r="C31" s="365"/>
      <c r="D31" s="365"/>
      <c r="E31" s="365"/>
    </row>
    <row r="32" spans="1:5" ht="11.4" customHeight="1">
      <c r="A32" s="365"/>
      <c r="B32" s="365"/>
      <c r="C32" s="365"/>
      <c r="D32" s="365"/>
      <c r="E32" s="365"/>
    </row>
    <row r="33" spans="1:5">
      <c r="A33" s="365"/>
      <c r="B33" s="365"/>
      <c r="C33" s="365"/>
      <c r="D33" s="365"/>
      <c r="E33" s="365"/>
    </row>
    <row r="34" spans="1:5">
      <c r="A34" s="366" t="s">
        <v>29</v>
      </c>
      <c r="B34" s="366"/>
      <c r="C34" s="366"/>
      <c r="D34" s="366"/>
      <c r="E34" s="366"/>
    </row>
    <row r="35" spans="1:5">
      <c r="A35" s="357" t="s">
        <v>30</v>
      </c>
      <c r="B35" s="357"/>
      <c r="C35" s="357"/>
      <c r="D35" s="357"/>
      <c r="E35" s="357"/>
    </row>
    <row r="36" spans="1:5">
      <c r="A36" s="357" t="s">
        <v>31</v>
      </c>
      <c r="B36" s="357"/>
      <c r="C36" s="357"/>
      <c r="D36" s="357"/>
      <c r="E36" s="357"/>
    </row>
    <row r="37" spans="1:5">
      <c r="A37" s="357" t="s">
        <v>32</v>
      </c>
      <c r="B37" s="357"/>
      <c r="C37" s="357"/>
      <c r="D37" s="357"/>
      <c r="E37" s="357"/>
    </row>
    <row r="38" spans="1:5">
      <c r="A38" s="357" t="s">
        <v>33</v>
      </c>
      <c r="B38" s="357"/>
      <c r="C38" s="357"/>
      <c r="D38" s="357"/>
      <c r="E38" s="357"/>
    </row>
    <row r="39" spans="1:5">
      <c r="A39" s="358"/>
      <c r="B39" s="359"/>
      <c r="C39" s="359"/>
      <c r="D39" s="359"/>
      <c r="E39" s="360"/>
    </row>
    <row r="40" spans="1:5" ht="93.75" customHeight="1">
      <c r="A40" s="361"/>
      <c r="B40" s="361"/>
      <c r="C40" s="361"/>
      <c r="D40" s="361"/>
      <c r="E40" s="361"/>
    </row>
  </sheetData>
  <mergeCells count="33">
    <mergeCell ref="A28:E28"/>
    <mergeCell ref="B11:E11"/>
    <mergeCell ref="A1:B1"/>
    <mergeCell ref="C1:E1"/>
    <mergeCell ref="C2:E2"/>
    <mergeCell ref="D3:E3"/>
    <mergeCell ref="D4:E4"/>
    <mergeCell ref="A5:B5"/>
    <mergeCell ref="C5:E5"/>
    <mergeCell ref="A6:E6"/>
    <mergeCell ref="A7:E7"/>
    <mergeCell ref="B8:E8"/>
    <mergeCell ref="A9:A10"/>
    <mergeCell ref="B9:E10"/>
    <mergeCell ref="B21:D21"/>
    <mergeCell ref="B22:D24"/>
    <mergeCell ref="B25:D25"/>
    <mergeCell ref="A26:D26"/>
    <mergeCell ref="A27:E27"/>
    <mergeCell ref="B12:E12"/>
    <mergeCell ref="B13:E13"/>
    <mergeCell ref="A14:A15"/>
    <mergeCell ref="B14:D14"/>
    <mergeCell ref="E14:E15"/>
    <mergeCell ref="A37:E37"/>
    <mergeCell ref="A38:E38"/>
    <mergeCell ref="A39:E39"/>
    <mergeCell ref="A40:E40"/>
    <mergeCell ref="A29:E29"/>
    <mergeCell ref="A30:E33"/>
    <mergeCell ref="A34:E34"/>
    <mergeCell ref="A35:E35"/>
    <mergeCell ref="A36:E36"/>
  </mergeCells>
  <dataValidations count="1">
    <dataValidation type="list" allowBlank="1" showInputMessage="1" showErrorMessage="1" promptTitle="Selecionar Tipo de Obra:" prompt="Para enquadramento em cada tipo de obra deve-se observar a preponderância dos serviços correlatos no orçamento do empreendimento, ou então, quando for viável tecnicamente, o desmembramento do orçamento em quantos forem os tipos de obra." sqref="B9:E10" xr:uid="{00000000-0002-0000-0800-000000000000}">
      <formula1>TiposObras</formula1>
    </dataValidation>
  </dataValidations>
  <pageMargins left="0.70866141732283472" right="0.70866141732283472" top="0.74803149606299213" bottom="0.74803149606299213" header="0.31496062992125984" footer="0.31496062992125984"/>
  <pageSetup paperSize="9" scale="72" orientation="portrait" horizontalDpi="360" verticalDpi="36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outlinePr summaryBelow="0"/>
    <pageSetUpPr fitToPage="1"/>
  </sheetPr>
  <dimension ref="A1:T60"/>
  <sheetViews>
    <sheetView view="pageBreakPreview" topLeftCell="C40" zoomScaleNormal="140" zoomScaleSheetLayoutView="100" workbookViewId="0">
      <selection activeCell="P55" sqref="P55"/>
    </sheetView>
  </sheetViews>
  <sheetFormatPr defaultColWidth="9.109375" defaultRowHeight="14.4"/>
  <cols>
    <col min="1" max="1" width="13.44140625" style="116" customWidth="1"/>
    <col min="2" max="2" width="27.88671875" style="116" customWidth="1"/>
    <col min="3" max="3" width="12.88671875" style="116" customWidth="1"/>
    <col min="4" max="4" width="14.5546875" style="116" bestFit="1" customWidth="1"/>
    <col min="5" max="5" width="12.5546875" style="116" customWidth="1"/>
    <col min="6" max="6" width="11.5546875" style="116" bestFit="1" customWidth="1"/>
    <col min="7" max="7" width="11" style="116" customWidth="1"/>
    <col min="8" max="8" width="9.88671875" style="116" customWidth="1"/>
    <col min="9" max="9" width="2.109375" style="116" customWidth="1"/>
    <col min="10" max="10" width="12.5546875" style="116" bestFit="1" customWidth="1"/>
    <col min="11" max="11" width="11.5546875" style="116" bestFit="1" customWidth="1"/>
    <col min="12" max="12" width="12.5546875" style="116" customWidth="1"/>
    <col min="13" max="13" width="11.5546875" style="116" bestFit="1" customWidth="1"/>
    <col min="14" max="14" width="11" style="116" customWidth="1"/>
    <col min="15" max="15" width="10.88671875" style="116" bestFit="1" customWidth="1"/>
    <col min="16" max="16" width="4.88671875" style="116" bestFit="1" customWidth="1"/>
    <col min="17" max="17" width="12.5546875" style="116" bestFit="1" customWidth="1"/>
    <col min="18" max="18" width="14.33203125" style="116" customWidth="1"/>
    <col min="19" max="19" width="9.109375" style="116"/>
    <col min="20" max="20" width="10.88671875" style="116" bestFit="1" customWidth="1"/>
    <col min="21" max="16384" width="9.109375" style="116"/>
  </cols>
  <sheetData>
    <row r="1" spans="1:20">
      <c r="A1" s="355"/>
      <c r="B1" s="356"/>
      <c r="C1" s="356"/>
      <c r="D1" s="356"/>
      <c r="E1" s="197" t="s">
        <v>0</v>
      </c>
      <c r="F1" s="197"/>
      <c r="G1" s="197"/>
      <c r="H1" s="197"/>
      <c r="I1" s="197"/>
      <c r="J1" s="197"/>
      <c r="K1" s="197"/>
      <c r="L1" s="197"/>
      <c r="M1" s="197"/>
      <c r="N1" s="197"/>
      <c r="O1" s="197"/>
      <c r="P1" s="197"/>
      <c r="Q1" s="197"/>
      <c r="R1" s="197"/>
    </row>
    <row r="2" spans="1:20" ht="95.85" customHeight="1">
      <c r="A2" s="356"/>
      <c r="B2" s="356"/>
      <c r="C2" s="356"/>
      <c r="D2" s="356"/>
      <c r="E2" s="198" t="s">
        <v>360</v>
      </c>
      <c r="F2" s="198"/>
      <c r="G2" s="198"/>
      <c r="H2" s="198"/>
      <c r="I2" s="198"/>
      <c r="J2" s="198"/>
      <c r="K2" s="198"/>
      <c r="L2" s="198"/>
      <c r="M2" s="198"/>
      <c r="N2" s="198"/>
      <c r="O2" s="198"/>
      <c r="P2" s="198"/>
      <c r="Q2" s="198"/>
      <c r="R2" s="198"/>
    </row>
    <row r="3" spans="1:20" ht="15" customHeight="1">
      <c r="A3" s="103" t="s">
        <v>117</v>
      </c>
      <c r="B3" s="416" t="s">
        <v>248</v>
      </c>
      <c r="C3" s="416"/>
      <c r="D3" s="416"/>
      <c r="E3" s="137" t="s">
        <v>2</v>
      </c>
      <c r="F3" s="199" t="s">
        <v>249</v>
      </c>
      <c r="G3" s="199"/>
      <c r="H3" s="199"/>
      <c r="I3" s="199"/>
      <c r="J3" s="199"/>
      <c r="K3" s="199"/>
      <c r="L3" s="199"/>
      <c r="M3" s="199"/>
      <c r="N3" s="199"/>
      <c r="O3" s="199"/>
      <c r="P3" s="199"/>
      <c r="Q3" s="199"/>
      <c r="R3" s="199"/>
    </row>
    <row r="4" spans="1:20" ht="15" customHeight="1">
      <c r="A4" s="103" t="s">
        <v>118</v>
      </c>
      <c r="B4" s="416" t="s">
        <v>1</v>
      </c>
      <c r="C4" s="416"/>
      <c r="D4" s="416"/>
      <c r="E4" s="47" t="s">
        <v>3</v>
      </c>
      <c r="F4" s="195" t="s">
        <v>495</v>
      </c>
      <c r="G4" s="195"/>
      <c r="H4" s="195"/>
      <c r="I4" s="195"/>
      <c r="J4" s="195"/>
      <c r="K4" s="195"/>
      <c r="L4" s="195"/>
      <c r="M4" s="195"/>
      <c r="N4" s="195"/>
      <c r="O4" s="195"/>
      <c r="P4" s="195"/>
      <c r="Q4" s="195"/>
      <c r="R4" s="195"/>
    </row>
    <row r="5" spans="1:20" ht="33" customHeight="1">
      <c r="A5" s="103" t="s">
        <v>119</v>
      </c>
      <c r="B5" s="417">
        <v>46001</v>
      </c>
      <c r="C5" s="417"/>
      <c r="D5" s="417"/>
      <c r="E5" s="47" t="s">
        <v>120</v>
      </c>
      <c r="F5" s="206" t="s">
        <v>512</v>
      </c>
      <c r="G5" s="206"/>
      <c r="H5" s="206"/>
      <c r="I5" s="206"/>
      <c r="J5" s="206"/>
      <c r="K5" s="206"/>
      <c r="L5" s="206"/>
      <c r="M5" s="206"/>
      <c r="N5" s="206"/>
      <c r="O5" s="206"/>
      <c r="P5" s="206"/>
      <c r="Q5" s="206"/>
      <c r="R5" s="206"/>
    </row>
    <row r="6" spans="1:20">
      <c r="A6" s="413" t="s">
        <v>245</v>
      </c>
      <c r="B6" s="414"/>
      <c r="C6" s="414"/>
      <c r="D6" s="414"/>
      <c r="E6" s="414"/>
      <c r="F6" s="414"/>
      <c r="G6" s="414"/>
      <c r="H6" s="414"/>
      <c r="I6" s="414"/>
      <c r="J6" s="414"/>
      <c r="K6" s="414"/>
      <c r="L6" s="414"/>
      <c r="M6" s="414"/>
      <c r="N6" s="414"/>
      <c r="O6" s="414"/>
      <c r="P6" s="414"/>
      <c r="Q6" s="414"/>
      <c r="R6" s="415"/>
    </row>
    <row r="7" spans="1:20" ht="15.9" customHeight="1">
      <c r="A7" s="145" t="s">
        <v>244</v>
      </c>
      <c r="B7" s="145" t="s">
        <v>10</v>
      </c>
      <c r="C7" s="145" t="s">
        <v>243</v>
      </c>
      <c r="D7" s="145" t="s">
        <v>242</v>
      </c>
      <c r="E7" s="145" t="s">
        <v>241</v>
      </c>
      <c r="F7" s="145" t="s">
        <v>240</v>
      </c>
      <c r="G7" s="145" t="s">
        <v>239</v>
      </c>
      <c r="H7" s="394" t="s">
        <v>238</v>
      </c>
      <c r="I7" s="395"/>
      <c r="J7" s="145" t="s">
        <v>237</v>
      </c>
      <c r="K7" s="145" t="s">
        <v>362</v>
      </c>
      <c r="L7" s="145" t="s">
        <v>363</v>
      </c>
      <c r="M7" s="145" t="s">
        <v>364</v>
      </c>
      <c r="N7" s="145" t="s">
        <v>365</v>
      </c>
      <c r="O7" s="394" t="s">
        <v>366</v>
      </c>
      <c r="P7" s="395"/>
      <c r="Q7" s="145" t="s">
        <v>367</v>
      </c>
      <c r="R7" s="145" t="s">
        <v>236</v>
      </c>
    </row>
    <row r="8" spans="1:20" ht="12" customHeight="1">
      <c r="A8" s="424" t="s">
        <v>105</v>
      </c>
      <c r="B8" s="419" t="s">
        <v>104</v>
      </c>
      <c r="C8" s="420">
        <f>SUM(C10:C11)</f>
        <v>129722.93</v>
      </c>
      <c r="D8" s="131">
        <v>7.4499999999999997E-2</v>
      </c>
      <c r="E8" s="131">
        <v>9.2700000000000005E-2</v>
      </c>
      <c r="F8" s="131">
        <v>7.4999999999999997E-2</v>
      </c>
      <c r="G8" s="131">
        <v>9.3799999999999994E-2</v>
      </c>
      <c r="H8" s="396">
        <v>7.8899999999999998E-2</v>
      </c>
      <c r="I8" s="397"/>
      <c r="J8" s="131">
        <v>8.3500000000000005E-2</v>
      </c>
      <c r="K8" s="131">
        <v>7.5700000000000003E-2</v>
      </c>
      <c r="L8" s="131">
        <v>8.7800000000000003E-2</v>
      </c>
      <c r="M8" s="131">
        <v>8.7800000000000003E-2</v>
      </c>
      <c r="N8" s="131">
        <v>8.7800000000000003E-2</v>
      </c>
      <c r="O8" s="396">
        <v>8.1299999999999997E-2</v>
      </c>
      <c r="P8" s="397"/>
      <c r="Q8" s="131">
        <v>8.1199999999999994E-2</v>
      </c>
      <c r="R8" s="130">
        <f>SUM(D8:Q8)</f>
        <v>1</v>
      </c>
    </row>
    <row r="9" spans="1:20" ht="12.9" customHeight="1">
      <c r="A9" s="424"/>
      <c r="B9" s="419"/>
      <c r="C9" s="420"/>
      <c r="D9" s="133">
        <f t="shared" ref="D9:E9" si="0">SUM(D11)*1</f>
        <v>9845.9699999999993</v>
      </c>
      <c r="E9" s="133">
        <f t="shared" si="0"/>
        <v>12271.79</v>
      </c>
      <c r="F9" s="133">
        <f t="shared" ref="F9:Q9" si="1">SUM(F11)*1</f>
        <v>9975.69</v>
      </c>
      <c r="G9" s="133">
        <f t="shared" si="1"/>
        <v>12479.35</v>
      </c>
      <c r="H9" s="398">
        <f t="shared" si="1"/>
        <v>10416.75</v>
      </c>
      <c r="I9" s="399"/>
      <c r="J9" s="133">
        <f t="shared" si="1"/>
        <v>11026.45</v>
      </c>
      <c r="K9" s="133">
        <f t="shared" si="1"/>
        <v>9975.69</v>
      </c>
      <c r="L9" s="133">
        <f t="shared" si="1"/>
        <v>11558.31</v>
      </c>
      <c r="M9" s="133">
        <f t="shared" si="1"/>
        <v>11558.31</v>
      </c>
      <c r="N9" s="133">
        <f t="shared" si="1"/>
        <v>11558.31</v>
      </c>
      <c r="O9" s="398">
        <f t="shared" si="1"/>
        <v>9508.68</v>
      </c>
      <c r="P9" s="399"/>
      <c r="Q9" s="133">
        <f t="shared" si="1"/>
        <v>9547.61</v>
      </c>
      <c r="R9" s="156">
        <f t="shared" ref="R9:R51" si="2">SUM(D9:Q9)</f>
        <v>129722.90999999999</v>
      </c>
      <c r="T9" s="128"/>
    </row>
    <row r="10" spans="1:20" ht="12" customHeight="1">
      <c r="A10" s="421" t="s">
        <v>103</v>
      </c>
      <c r="B10" s="422" t="s">
        <v>262</v>
      </c>
      <c r="C10" s="423">
        <f>'Planilha Orçamentária SEM Des'!I9</f>
        <v>129722.93</v>
      </c>
      <c r="D10" s="131">
        <v>7.5899999999999995E-2</v>
      </c>
      <c r="E10" s="131">
        <v>9.4600000000000004E-2</v>
      </c>
      <c r="F10" s="131">
        <v>7.6899999999999996E-2</v>
      </c>
      <c r="G10" s="131">
        <v>9.6199999999999994E-2</v>
      </c>
      <c r="H10" s="400">
        <v>8.0299999999999996E-2</v>
      </c>
      <c r="I10" s="401">
        <v>0</v>
      </c>
      <c r="J10" s="131">
        <v>8.5000000000000006E-2</v>
      </c>
      <c r="K10" s="131">
        <v>7.6899999999999996E-2</v>
      </c>
      <c r="L10" s="131">
        <v>8.9099999999999999E-2</v>
      </c>
      <c r="M10" s="131">
        <v>8.9099999999999999E-2</v>
      </c>
      <c r="N10" s="131">
        <v>8.9099999999999999E-2</v>
      </c>
      <c r="O10" s="400">
        <v>7.3300000000000004E-2</v>
      </c>
      <c r="P10" s="401">
        <v>0</v>
      </c>
      <c r="Q10" s="131">
        <v>7.3599999999999999E-2</v>
      </c>
      <c r="R10" s="130">
        <f t="shared" si="2"/>
        <v>0.99999999999999978</v>
      </c>
      <c r="T10" s="128"/>
    </row>
    <row r="11" spans="1:20" ht="18.75" customHeight="1">
      <c r="A11" s="421"/>
      <c r="B11" s="422"/>
      <c r="C11" s="423"/>
      <c r="D11" s="133">
        <f t="shared" ref="D11" si="3">IF(D10&gt;0,ROUND($C10*D10,2),"")</f>
        <v>9845.9699999999993</v>
      </c>
      <c r="E11" s="133">
        <f t="shared" ref="E11:K11" si="4">IF(E10&gt;0,ROUND($C10*E10,2),"")</f>
        <v>12271.79</v>
      </c>
      <c r="F11" s="133">
        <f>IF(F10&gt;0,ROUND($C10*F10,2),"")</f>
        <v>9975.69</v>
      </c>
      <c r="G11" s="133">
        <f t="shared" si="4"/>
        <v>12479.35</v>
      </c>
      <c r="H11" s="398">
        <f t="shared" si="4"/>
        <v>10416.75</v>
      </c>
      <c r="I11" s="399"/>
      <c r="J11" s="133">
        <f t="shared" si="4"/>
        <v>11026.45</v>
      </c>
      <c r="K11" s="133">
        <f t="shared" si="4"/>
        <v>9975.69</v>
      </c>
      <c r="L11" s="133">
        <f>IF(L10&gt;0,ROUND($C10*L10,2),"")</f>
        <v>11558.31</v>
      </c>
      <c r="M11" s="133">
        <f>IF(M10&gt;0,ROUND($C10*M10,2),"")</f>
        <v>11558.31</v>
      </c>
      <c r="N11" s="133">
        <f>IF(N10&gt;0,ROUND($C10*N10,2),"")</f>
        <v>11558.31</v>
      </c>
      <c r="O11" s="398">
        <f>IF(O10&gt;0,ROUND($C10*O10,2),"")-0.01</f>
        <v>9508.68</v>
      </c>
      <c r="P11" s="399"/>
      <c r="Q11" s="133">
        <f>IF(Q10&gt;0,ROUND($C10*Q10,2),"")</f>
        <v>9547.61</v>
      </c>
      <c r="R11" s="156">
        <f t="shared" si="2"/>
        <v>129722.90999999999</v>
      </c>
    </row>
    <row r="12" spans="1:20" ht="12" customHeight="1">
      <c r="A12" s="418" t="s">
        <v>102</v>
      </c>
      <c r="B12" s="419" t="s">
        <v>137</v>
      </c>
      <c r="C12" s="420">
        <f>SUM(C14:C15)</f>
        <v>3252.06</v>
      </c>
      <c r="D12" s="131">
        <f>D13/C12</f>
        <v>1</v>
      </c>
      <c r="E12" s="131"/>
      <c r="F12" s="131"/>
      <c r="G12" s="131"/>
      <c r="H12" s="402"/>
      <c r="I12" s="403"/>
      <c r="J12" s="131"/>
      <c r="K12" s="131"/>
      <c r="L12" s="131"/>
      <c r="M12" s="131"/>
      <c r="N12" s="131"/>
      <c r="O12" s="402"/>
      <c r="P12" s="403"/>
      <c r="Q12" s="131"/>
      <c r="R12" s="130">
        <f t="shared" si="2"/>
        <v>1</v>
      </c>
    </row>
    <row r="13" spans="1:20" ht="12.9" customHeight="1">
      <c r="A13" s="418"/>
      <c r="B13" s="419"/>
      <c r="C13" s="420"/>
      <c r="D13" s="133">
        <f>SUM(D15,)*1</f>
        <v>3252.06</v>
      </c>
      <c r="E13" s="154"/>
      <c r="F13" s="154"/>
      <c r="G13" s="154"/>
      <c r="H13" s="404"/>
      <c r="I13" s="405"/>
      <c r="J13" s="154"/>
      <c r="K13" s="154"/>
      <c r="L13" s="154"/>
      <c r="M13" s="154"/>
      <c r="N13" s="154"/>
      <c r="O13" s="404"/>
      <c r="P13" s="405"/>
      <c r="Q13" s="154"/>
      <c r="R13" s="156">
        <f t="shared" si="2"/>
        <v>3252.06</v>
      </c>
    </row>
    <row r="14" spans="1:20" ht="12" customHeight="1">
      <c r="A14" s="421" t="s">
        <v>101</v>
      </c>
      <c r="B14" s="422" t="s">
        <v>155</v>
      </c>
      <c r="C14" s="423">
        <f>'Planilha Orçamentária SEM Des'!I11</f>
        <v>3252.06</v>
      </c>
      <c r="D14" s="131">
        <v>1</v>
      </c>
      <c r="E14" s="131"/>
      <c r="F14" s="131"/>
      <c r="G14" s="131"/>
      <c r="H14" s="408"/>
      <c r="I14" s="409"/>
      <c r="J14" s="131"/>
      <c r="K14" s="131"/>
      <c r="L14" s="131"/>
      <c r="M14" s="131"/>
      <c r="N14" s="131"/>
      <c r="O14" s="408"/>
      <c r="P14" s="409"/>
      <c r="Q14" s="131"/>
      <c r="R14" s="130">
        <f t="shared" si="2"/>
        <v>1</v>
      </c>
    </row>
    <row r="15" spans="1:20" ht="24" customHeight="1">
      <c r="A15" s="421"/>
      <c r="B15" s="422"/>
      <c r="C15" s="423"/>
      <c r="D15" s="133">
        <f>IF(D14&gt;0,ROUND(C14*D14,2),"")</f>
        <v>3252.06</v>
      </c>
      <c r="E15" s="154"/>
      <c r="F15" s="154" t="str">
        <f>IF(F14&gt;0,IF(AND(SUM(D14:F14)=1,R14=1),C14-SUM(D15:E15),ROUND(C14*F14,2)),"")</f>
        <v/>
      </c>
      <c r="G15" s="154" t="str">
        <f>IF(G14&gt;0,IF(AND(SUM(D14:G14)=1,R14=1),C14-SUM(D15:F15),ROUND(C14*G14,2)),"")</f>
        <v/>
      </c>
      <c r="H15" s="410" t="str">
        <f>IF(H14&gt;0,IF(AND(SUM(D14:H14)=1,R14=1),C14-SUM(D15:G15),ROUND(C14*H14,2)),"")</f>
        <v/>
      </c>
      <c r="I15" s="411"/>
      <c r="J15" s="154" t="str">
        <f>IF(J14&gt;0,IF(AND(SUM(D14:J14)=1,R14=1),C14-SUM(D15:I15),ROUND(C14*J14,2)),"")</f>
        <v/>
      </c>
      <c r="K15" s="154" t="str">
        <f>IF(K14&gt;0,ROUND(J14*K14,2),"")</f>
        <v/>
      </c>
      <c r="L15" s="154" t="str">
        <f>IF(L14&gt;0,IF(AND(SUM(K14:L14)=1,Y14=1),J14-SUM(K15:K15),ROUND(J14*L14,2)),"")</f>
        <v/>
      </c>
      <c r="M15" s="154" t="str">
        <f>IF(M14&gt;0,IF(AND(SUM(K14:M14)=1,Y14=1),J14-SUM(K15:L15),ROUND(J14*M14,2)),"")</f>
        <v/>
      </c>
      <c r="N15" s="154" t="str">
        <f>IF(N14&gt;0,IF(AND(SUM(K14:N14)=1,Y14=1),J14-SUM(K15:M15),ROUND(J14*N14,2)),"")</f>
        <v/>
      </c>
      <c r="O15" s="410" t="str">
        <f>IF(O14&gt;0,IF(AND(SUM(K14:O14)=1,Y14=1),J14-SUM(K15:N15),ROUND(J14*O14,2)),"")</f>
        <v/>
      </c>
      <c r="P15" s="411"/>
      <c r="Q15" s="154" t="str">
        <f>IF(Q14&gt;0,IF(AND(SUM(K14:Q14)=1,Y14=1),J14-SUM(K15:P15),ROUND(J14*Q14,2)),"")</f>
        <v/>
      </c>
      <c r="R15" s="156">
        <f t="shared" si="2"/>
        <v>3252.06</v>
      </c>
    </row>
    <row r="16" spans="1:20" ht="12" customHeight="1">
      <c r="A16" s="418" t="s">
        <v>99</v>
      </c>
      <c r="B16" s="419" t="s">
        <v>324</v>
      </c>
      <c r="C16" s="420">
        <f>SUM(C18:C21)</f>
        <v>851097.84000000008</v>
      </c>
      <c r="D16" s="131">
        <f>D17/C16</f>
        <v>0.5</v>
      </c>
      <c r="E16" s="131">
        <f>E17/C16</f>
        <v>0.5</v>
      </c>
      <c r="F16" s="132"/>
      <c r="G16" s="132"/>
      <c r="H16" s="392"/>
      <c r="I16" s="393"/>
      <c r="J16" s="132"/>
      <c r="K16" s="132"/>
      <c r="L16" s="132"/>
      <c r="M16" s="132"/>
      <c r="N16" s="132"/>
      <c r="O16" s="392"/>
      <c r="P16" s="393"/>
      <c r="Q16" s="132"/>
      <c r="R16" s="130">
        <f t="shared" si="2"/>
        <v>1</v>
      </c>
    </row>
    <row r="17" spans="1:18" ht="12.9" customHeight="1">
      <c r="A17" s="418"/>
      <c r="B17" s="419"/>
      <c r="C17" s="420"/>
      <c r="D17" s="133">
        <f>SUM(D19,D21)*1</f>
        <v>425548.92000000004</v>
      </c>
      <c r="E17" s="133">
        <f>SUM(E19,E21)*1</f>
        <v>425548.92000000004</v>
      </c>
      <c r="F17" s="129"/>
      <c r="G17" s="129"/>
      <c r="H17" s="406"/>
      <c r="I17" s="407"/>
      <c r="J17" s="129"/>
      <c r="K17" s="129"/>
      <c r="L17" s="129"/>
      <c r="M17" s="129"/>
      <c r="N17" s="129"/>
      <c r="O17" s="390"/>
      <c r="P17" s="391"/>
      <c r="Q17" s="129"/>
      <c r="R17" s="156">
        <f>SUM(D17:Q17)</f>
        <v>851097.84000000008</v>
      </c>
    </row>
    <row r="18" spans="1:18" ht="12" customHeight="1">
      <c r="A18" s="421" t="s">
        <v>98</v>
      </c>
      <c r="B18" s="422" t="s">
        <v>325</v>
      </c>
      <c r="C18" s="423">
        <f>'Planilha Orçamentária SEM Des'!I13</f>
        <v>562986.76</v>
      </c>
      <c r="D18" s="131">
        <v>0.5</v>
      </c>
      <c r="E18" s="131">
        <v>0.5</v>
      </c>
      <c r="F18" s="132"/>
      <c r="G18" s="132"/>
      <c r="H18" s="392"/>
      <c r="I18" s="393"/>
      <c r="J18" s="132"/>
      <c r="K18" s="132"/>
      <c r="L18" s="132"/>
      <c r="M18" s="132"/>
      <c r="N18" s="132"/>
      <c r="O18" s="392"/>
      <c r="P18" s="393"/>
      <c r="Q18" s="132"/>
      <c r="R18" s="130">
        <f t="shared" si="2"/>
        <v>1</v>
      </c>
    </row>
    <row r="19" spans="1:18" ht="12.9" customHeight="1">
      <c r="A19" s="421"/>
      <c r="B19" s="422"/>
      <c r="C19" s="423"/>
      <c r="D19" s="133">
        <f>IF(D18&gt;0,ROUND(C18*D18,2),"")</f>
        <v>281493.38</v>
      </c>
      <c r="E19" s="133">
        <f>IF(E18&gt;0,IF(AND(SUM(D18:E18)=1,R18=1),C18-SUM(D19:D19),ROUND(C18*E18,2)),"")</f>
        <v>281493.38</v>
      </c>
      <c r="F19" s="129" t="str">
        <f>IF(F18&gt;0,IF(AND(SUM(D18:F18)=1,R18=1),C18-SUM(D19:E19),ROUND(C18*F18,2)),"")</f>
        <v/>
      </c>
      <c r="G19" s="129" t="str">
        <f>IF(G18&gt;0,IF(AND(SUM(D18:G18)=1,R18=1),C18-SUM(D19:F19),ROUND(C18*G18,2)),"")</f>
        <v/>
      </c>
      <c r="H19" s="406" t="str">
        <f>IF(H18&gt;0,IF(AND(SUM(D18:H18)=1,R18=1),C18-SUM(D19:G19),ROUND(C18*H18,2)),"")</f>
        <v/>
      </c>
      <c r="I19" s="407" t="str">
        <f>IF(I18&gt;0,IF(AND(SUM(D18:I18)=1,R18=1),C18-SUM(D19:H19),ROUND(C18*I18,2)),"")</f>
        <v/>
      </c>
      <c r="J19" s="129" t="str">
        <f>IF(J18&gt;0,IF(AND(SUM(D18:J18)=1,R18=1),C18-SUM(D19:I19),ROUND(C18*J18,2)),"")</f>
        <v/>
      </c>
      <c r="K19" s="129"/>
      <c r="L19" s="129"/>
      <c r="M19" s="129"/>
      <c r="N19" s="129"/>
      <c r="O19" s="390"/>
      <c r="P19" s="391"/>
      <c r="Q19" s="129"/>
      <c r="R19" s="156">
        <f t="shared" si="2"/>
        <v>562986.76</v>
      </c>
    </row>
    <row r="20" spans="1:18" ht="12" customHeight="1">
      <c r="A20" s="421" t="s">
        <v>92</v>
      </c>
      <c r="B20" s="422" t="s">
        <v>326</v>
      </c>
      <c r="C20" s="423">
        <f>'Planilha Orçamentária SEM Des'!I19</f>
        <v>288111.08</v>
      </c>
      <c r="D20" s="131">
        <v>0.5</v>
      </c>
      <c r="E20" s="131">
        <v>0.5</v>
      </c>
      <c r="F20" s="132"/>
      <c r="G20" s="132"/>
      <c r="H20" s="392"/>
      <c r="I20" s="393"/>
      <c r="J20" s="132"/>
      <c r="K20" s="132"/>
      <c r="L20" s="132"/>
      <c r="M20" s="132"/>
      <c r="N20" s="132"/>
      <c r="O20" s="392"/>
      <c r="P20" s="393"/>
      <c r="Q20" s="132"/>
      <c r="R20" s="130">
        <f t="shared" si="2"/>
        <v>1</v>
      </c>
    </row>
    <row r="21" spans="1:18" ht="12.9" customHeight="1">
      <c r="A21" s="421"/>
      <c r="B21" s="422"/>
      <c r="C21" s="423"/>
      <c r="D21" s="133">
        <f>IF(D20&gt;0,ROUND(C20*D20,2),"")</f>
        <v>144055.54</v>
      </c>
      <c r="E21" s="133">
        <f>IF(E20&gt;0,IF(AND(SUM(D20:E20)=1,R20=1),C20-SUM(D21:D21),ROUND(C20*E20,2)),"")</f>
        <v>144055.54</v>
      </c>
      <c r="F21" s="129" t="str">
        <f>IF(F20&gt;0,IF(AND(SUM(D20:F20)=1,R20=1),C20-SUM(D21:E21),ROUND(C20*F20,2)),"")</f>
        <v/>
      </c>
      <c r="G21" s="129" t="str">
        <f>IF(G20&gt;0,IF(AND(SUM(D20:G20)=1,R20=1),C20-SUM(D21:F21),ROUND(C20*G20,2)),"")</f>
        <v/>
      </c>
      <c r="H21" s="390" t="str">
        <f>IF(H20&gt;0,IF(AND(SUM(D20:H20)=1,R20=1),C20-SUM(D21:G21),ROUND(C20*H20,2)),"")</f>
        <v/>
      </c>
      <c r="I21" s="391"/>
      <c r="J21" s="129" t="str">
        <f>IF(J20&gt;0,IF(AND(SUM(D20:J20)=1,R20=1),C20-SUM(D21:I21),ROUND(C20*J20,2)),"")</f>
        <v/>
      </c>
      <c r="K21" s="129"/>
      <c r="L21" s="129"/>
      <c r="M21" s="129"/>
      <c r="N21" s="129"/>
      <c r="O21" s="390"/>
      <c r="P21" s="391"/>
      <c r="Q21" s="129"/>
      <c r="R21" s="156">
        <f t="shared" si="2"/>
        <v>288111.08</v>
      </c>
    </row>
    <row r="22" spans="1:18" ht="12" customHeight="1">
      <c r="A22" s="418" t="s">
        <v>86</v>
      </c>
      <c r="B22" s="419" t="s">
        <v>327</v>
      </c>
      <c r="C22" s="420">
        <f>SUM(C24:C31)</f>
        <v>1079392.5499999998</v>
      </c>
      <c r="D22" s="132"/>
      <c r="E22" s="131">
        <f>E23/C22</f>
        <v>9.9999986103294872E-2</v>
      </c>
      <c r="F22" s="131">
        <f>F23/C22</f>
        <v>0.40000000926447021</v>
      </c>
      <c r="G22" s="131">
        <f>G23/C22</f>
        <v>0.50000000463223515</v>
      </c>
      <c r="H22" s="392"/>
      <c r="I22" s="393"/>
      <c r="J22" s="132"/>
      <c r="K22" s="132"/>
      <c r="L22" s="132"/>
      <c r="M22" s="132"/>
      <c r="N22" s="132"/>
      <c r="O22" s="392"/>
      <c r="P22" s="393"/>
      <c r="Q22" s="132"/>
      <c r="R22" s="130">
        <f t="shared" si="2"/>
        <v>1.0000000000000002</v>
      </c>
    </row>
    <row r="23" spans="1:18" ht="15" customHeight="1">
      <c r="A23" s="418"/>
      <c r="B23" s="419"/>
      <c r="C23" s="420"/>
      <c r="D23" s="129"/>
      <c r="E23" s="133">
        <f>SUM(E25,E27,E29,E31)*1</f>
        <v>107939.23999999999</v>
      </c>
      <c r="F23" s="133">
        <f>SUM(F25,F27,F29,F31)*1</f>
        <v>431757.03</v>
      </c>
      <c r="G23" s="133">
        <f t="shared" ref="G23" si="5">SUM(G25,G27,G29,G31)*1</f>
        <v>539696.28</v>
      </c>
      <c r="H23" s="406"/>
      <c r="I23" s="407"/>
      <c r="J23" s="129"/>
      <c r="K23" s="129"/>
      <c r="L23" s="129"/>
      <c r="M23" s="129"/>
      <c r="N23" s="129"/>
      <c r="O23" s="390"/>
      <c r="P23" s="391"/>
      <c r="Q23" s="129"/>
      <c r="R23" s="156">
        <f t="shared" si="2"/>
        <v>1079392.55</v>
      </c>
    </row>
    <row r="24" spans="1:18" ht="12" customHeight="1">
      <c r="A24" s="421" t="s">
        <v>85</v>
      </c>
      <c r="B24" s="422" t="s">
        <v>325</v>
      </c>
      <c r="C24" s="423">
        <f>'Planilha Orçamentária SEM Des'!I26</f>
        <v>512130.83999999997</v>
      </c>
      <c r="D24" s="132"/>
      <c r="E24" s="131">
        <v>0.1</v>
      </c>
      <c r="F24" s="131">
        <v>0.4</v>
      </c>
      <c r="G24" s="131">
        <v>0.5</v>
      </c>
      <c r="H24" s="392"/>
      <c r="I24" s="393"/>
      <c r="J24" s="132"/>
      <c r="K24" s="132"/>
      <c r="L24" s="132"/>
      <c r="M24" s="132"/>
      <c r="N24" s="132"/>
      <c r="O24" s="392"/>
      <c r="P24" s="393"/>
      <c r="Q24" s="132"/>
      <c r="R24" s="130">
        <f t="shared" si="2"/>
        <v>1</v>
      </c>
    </row>
    <row r="25" spans="1:18" ht="12.9" customHeight="1">
      <c r="A25" s="421"/>
      <c r="B25" s="422"/>
      <c r="C25" s="423"/>
      <c r="D25" s="129" t="str">
        <f>IF(D24&gt;0,ROUND(C24*D24,2),"")</f>
        <v/>
      </c>
      <c r="E25" s="133">
        <f>IF(E24&gt;0,IF(AND(SUM(D24:E24)=1,R24=1),C24-SUM(D25:D25),ROUND(C24*E24,2)),"")</f>
        <v>51213.08</v>
      </c>
      <c r="F25" s="133">
        <f>IF(F24&gt;0,IF(AND(SUM(D24:F24)=1,Q24=1),C24-SUM(D25:E25),ROUND(C24*F24,2)),"")</f>
        <v>204852.34</v>
      </c>
      <c r="G25" s="133">
        <f>IF(G24&gt;0,IF(AND(SUM(D24:G24)=1,R24=1),C24-SUM(D25:F25),ROUND(C24*G24,2)),"")</f>
        <v>256065.41999999998</v>
      </c>
      <c r="H25" s="390"/>
      <c r="I25" s="391"/>
      <c r="J25" s="129"/>
      <c r="K25" s="129"/>
      <c r="L25" s="129"/>
      <c r="M25" s="129"/>
      <c r="N25" s="129"/>
      <c r="O25" s="390"/>
      <c r="P25" s="391"/>
      <c r="Q25" s="129"/>
      <c r="R25" s="156">
        <f t="shared" si="2"/>
        <v>512130.83999999997</v>
      </c>
    </row>
    <row r="26" spans="1:18" ht="12" customHeight="1">
      <c r="A26" s="421" t="s">
        <v>79</v>
      </c>
      <c r="B26" s="422" t="s">
        <v>326</v>
      </c>
      <c r="C26" s="423">
        <f>'Planilha Orçamentária SEM Des'!I32</f>
        <v>154838.22999999998</v>
      </c>
      <c r="D26" s="132"/>
      <c r="E26" s="131">
        <v>0.1</v>
      </c>
      <c r="F26" s="131">
        <v>0.4</v>
      </c>
      <c r="G26" s="131">
        <v>0.5</v>
      </c>
      <c r="H26" s="392"/>
      <c r="I26" s="393"/>
      <c r="J26" s="132"/>
      <c r="K26" s="132"/>
      <c r="L26" s="132"/>
      <c r="M26" s="132"/>
      <c r="N26" s="132"/>
      <c r="O26" s="392"/>
      <c r="P26" s="393"/>
      <c r="Q26" s="132"/>
      <c r="R26" s="130">
        <f t="shared" si="2"/>
        <v>1</v>
      </c>
    </row>
    <row r="27" spans="1:18" ht="12.9" customHeight="1">
      <c r="A27" s="421"/>
      <c r="B27" s="422"/>
      <c r="C27" s="423"/>
      <c r="D27" s="129" t="str">
        <f>IF(D26&gt;0,ROUND(C26*D26,2),"")</f>
        <v/>
      </c>
      <c r="E27" s="133">
        <f>IF(E26&gt;0,IF(AND(SUM(D26:E26)=1,R26=1),C26-SUM(D27:D27),ROUND(C26*E26,2)),"")</f>
        <v>15483.82</v>
      </c>
      <c r="F27" s="133">
        <f>IF(F26&gt;0,IF(AND(SUM(D26:F26)=1,Q26=1),C26-SUM(D27:E27),ROUND(C26*F26,2)),"")</f>
        <v>61935.29</v>
      </c>
      <c r="G27" s="133">
        <f>IF(G26&gt;0,IF(AND(SUM(D26:G26)=1,R26=1),C26-SUM(D27:F27),ROUND(C26*G26,2)),"")</f>
        <v>77419.119999999981</v>
      </c>
      <c r="H27" s="390"/>
      <c r="I27" s="391"/>
      <c r="J27" s="129"/>
      <c r="K27" s="129"/>
      <c r="L27" s="129"/>
      <c r="M27" s="129"/>
      <c r="N27" s="129"/>
      <c r="O27" s="390"/>
      <c r="P27" s="391"/>
      <c r="Q27" s="129"/>
      <c r="R27" s="156">
        <f t="shared" si="2"/>
        <v>154838.22999999998</v>
      </c>
    </row>
    <row r="28" spans="1:18" ht="12" customHeight="1">
      <c r="A28" s="421" t="s">
        <v>330</v>
      </c>
      <c r="B28" s="422" t="s">
        <v>331</v>
      </c>
      <c r="C28" s="423">
        <f>'Planilha Orçamentária SEM Des'!I38</f>
        <v>47063.74</v>
      </c>
      <c r="D28" s="132"/>
      <c r="E28" s="131">
        <v>0.1</v>
      </c>
      <c r="F28" s="131">
        <v>0.4</v>
      </c>
      <c r="G28" s="131">
        <v>0.5</v>
      </c>
      <c r="H28" s="392"/>
      <c r="I28" s="393"/>
      <c r="J28" s="132"/>
      <c r="K28" s="132"/>
      <c r="L28" s="132"/>
      <c r="M28" s="132"/>
      <c r="N28" s="132"/>
      <c r="O28" s="392"/>
      <c r="P28" s="393"/>
      <c r="Q28" s="132"/>
      <c r="R28" s="130">
        <f t="shared" si="2"/>
        <v>1</v>
      </c>
    </row>
    <row r="29" spans="1:18" ht="12.9" customHeight="1">
      <c r="A29" s="421"/>
      <c r="B29" s="422"/>
      <c r="C29" s="423"/>
      <c r="D29" s="129"/>
      <c r="E29" s="133">
        <f>IF(E28&gt;0,IF(AND(SUM(D28:E28)=1,R28=1),C28-SUM(D29:D29),ROUND(C28*E28,2)),"")</f>
        <v>4706.37</v>
      </c>
      <c r="F29" s="133">
        <f>IF(F28&gt;0,IF(AND(SUM(D28:F28)=1,Q28=1),C28-SUM(D29:E29),ROUND(C28*F28,2)),"")</f>
        <v>18825.5</v>
      </c>
      <c r="G29" s="133">
        <f>IF(G28&gt;0,IF(AND(SUM(D28:G28)=1,R28=1),C28-SUM(D29:F29),ROUND(C28*G28,2)),"")</f>
        <v>23531.87</v>
      </c>
      <c r="H29" s="390"/>
      <c r="I29" s="391"/>
      <c r="J29" s="129"/>
      <c r="K29" s="129"/>
      <c r="L29" s="129"/>
      <c r="M29" s="129"/>
      <c r="N29" s="129"/>
      <c r="O29" s="390"/>
      <c r="P29" s="391"/>
      <c r="Q29" s="129"/>
      <c r="R29" s="156">
        <f t="shared" si="2"/>
        <v>47063.74</v>
      </c>
    </row>
    <row r="30" spans="1:18" ht="12" customHeight="1">
      <c r="A30" s="421" t="s">
        <v>335</v>
      </c>
      <c r="B30" s="422" t="s">
        <v>334</v>
      </c>
      <c r="C30" s="423">
        <f>'Planilha Orçamentária SEM Des'!I44</f>
        <v>365359.74</v>
      </c>
      <c r="D30" s="132"/>
      <c r="E30" s="131">
        <v>0.1</v>
      </c>
      <c r="F30" s="131">
        <v>0.4</v>
      </c>
      <c r="G30" s="131">
        <v>0.5</v>
      </c>
      <c r="H30" s="392"/>
      <c r="I30" s="393"/>
      <c r="J30" s="132"/>
      <c r="K30" s="132"/>
      <c r="L30" s="132"/>
      <c r="M30" s="132"/>
      <c r="N30" s="132"/>
      <c r="O30" s="392"/>
      <c r="P30" s="393"/>
      <c r="Q30" s="132"/>
      <c r="R30" s="130">
        <f t="shared" si="2"/>
        <v>1</v>
      </c>
    </row>
    <row r="31" spans="1:18" ht="12.9" customHeight="1">
      <c r="A31" s="421"/>
      <c r="B31" s="422"/>
      <c r="C31" s="423"/>
      <c r="D31" s="129"/>
      <c r="E31" s="133">
        <f>IF(E30&gt;0,IF(AND(SUM(D30:E30)=1,R30=1),C30-SUM(D31:D31),ROUND(C30*E30,2)),"")</f>
        <v>36535.97</v>
      </c>
      <c r="F31" s="133">
        <f>IF(F30&gt;0,IF(AND(SUM(D30:F30)=1,Q30=1),C30-SUM(D31:E31),ROUND(C30*F30,2)),"")</f>
        <v>146143.9</v>
      </c>
      <c r="G31" s="133">
        <f>IF(G30&gt;0,IF(AND(SUM(D30:G30)=1,R30=1),C30-SUM(D31:F31),ROUND(C30*G30,2)),"")</f>
        <v>182679.87</v>
      </c>
      <c r="H31" s="390"/>
      <c r="I31" s="391"/>
      <c r="J31" s="129"/>
      <c r="K31" s="129"/>
      <c r="L31" s="129"/>
      <c r="M31" s="129"/>
      <c r="N31" s="129"/>
      <c r="O31" s="390"/>
      <c r="P31" s="391"/>
      <c r="Q31" s="129"/>
      <c r="R31" s="156">
        <f t="shared" si="2"/>
        <v>365359.74</v>
      </c>
    </row>
    <row r="32" spans="1:18" ht="12" customHeight="1">
      <c r="A32" s="418" t="s">
        <v>73</v>
      </c>
      <c r="B32" s="419" t="s">
        <v>328</v>
      </c>
      <c r="C32" s="420">
        <f>SUM(C34:C35)</f>
        <v>756323.60999999987</v>
      </c>
      <c r="D32" s="132"/>
      <c r="E32" s="132"/>
      <c r="F32" s="132"/>
      <c r="G32" s="132"/>
      <c r="H32" s="400">
        <f>H33/C32</f>
        <v>0.60000000528874153</v>
      </c>
      <c r="I32" s="401">
        <f>I33/C32</f>
        <v>0</v>
      </c>
      <c r="J32" s="131">
        <f>J33/C32</f>
        <v>0.39999999471125852</v>
      </c>
      <c r="K32" s="132"/>
      <c r="L32" s="132"/>
      <c r="M32" s="132"/>
      <c r="N32" s="132"/>
      <c r="O32" s="392"/>
      <c r="P32" s="393"/>
      <c r="Q32" s="132"/>
      <c r="R32" s="130">
        <f t="shared" si="2"/>
        <v>1</v>
      </c>
    </row>
    <row r="33" spans="1:18" ht="12.9" customHeight="1">
      <c r="A33" s="418"/>
      <c r="B33" s="419"/>
      <c r="C33" s="420"/>
      <c r="D33" s="129"/>
      <c r="E33" s="129"/>
      <c r="F33" s="129"/>
      <c r="G33" s="129"/>
      <c r="H33" s="427">
        <f>SUM(H35)</f>
        <v>453794.17</v>
      </c>
      <c r="I33" s="428"/>
      <c r="J33" s="155">
        <f>SUM(J35)</f>
        <v>302529.43999999989</v>
      </c>
      <c r="K33" s="129"/>
      <c r="L33" s="129"/>
      <c r="M33" s="129"/>
      <c r="N33" s="129"/>
      <c r="O33" s="390"/>
      <c r="P33" s="391"/>
      <c r="Q33" s="129"/>
      <c r="R33" s="156">
        <f t="shared" si="2"/>
        <v>756323.60999999987</v>
      </c>
    </row>
    <row r="34" spans="1:18" ht="12" customHeight="1">
      <c r="A34" s="421" t="s">
        <v>72</v>
      </c>
      <c r="B34" s="422" t="s">
        <v>325</v>
      </c>
      <c r="C34" s="423">
        <f>'Planilha Orçamentária SEM Des'!I51</f>
        <v>756323.60999999987</v>
      </c>
      <c r="D34" s="132"/>
      <c r="E34" s="132"/>
      <c r="F34" s="131"/>
      <c r="G34" s="131"/>
      <c r="H34" s="400">
        <v>0.6</v>
      </c>
      <c r="I34" s="401"/>
      <c r="J34" s="131">
        <v>0.4</v>
      </c>
      <c r="K34" s="132"/>
      <c r="L34" s="132"/>
      <c r="M34" s="131"/>
      <c r="N34" s="131"/>
      <c r="O34" s="392"/>
      <c r="P34" s="393"/>
      <c r="Q34" s="132"/>
      <c r="R34" s="130">
        <f t="shared" si="2"/>
        <v>1</v>
      </c>
    </row>
    <row r="35" spans="1:18" ht="12.9" customHeight="1">
      <c r="A35" s="421"/>
      <c r="B35" s="422"/>
      <c r="C35" s="423"/>
      <c r="D35" s="129" t="str">
        <f>IF(D34&gt;0,ROUND(C34*D34,2),"")</f>
        <v/>
      </c>
      <c r="E35" s="129" t="str">
        <f>IF(E34&gt;0,IF(AND(SUM(D34:E34)=1,R34=1),C34-SUM(D35:D35),ROUND(C34*E34,2)),"")</f>
        <v/>
      </c>
      <c r="F35" s="154"/>
      <c r="G35" s="154"/>
      <c r="H35" s="427">
        <f>IF(H34&gt;0,IF(AND(SUM(D34:H34)=1,R34=1),C34-SUM(D35:G35),ROUND(C34*H34,2)),"")</f>
        <v>453794.17</v>
      </c>
      <c r="I35" s="428" t="str">
        <f>IF(I34&gt;0,IF(AND(SUM(D34:I34)=1,R34=1),C34-SUM(D35:H35),ROUND(C34*I34,2)),"")</f>
        <v/>
      </c>
      <c r="J35" s="133">
        <f>IF(J34&gt;0,IF(AND(SUM(D34:J34)=1,R34=1),C34-SUM(D35:I35),ROUND(C34*J34,2)),"")</f>
        <v>302529.43999999989</v>
      </c>
      <c r="K35" s="129"/>
      <c r="L35" s="129"/>
      <c r="M35" s="129"/>
      <c r="N35" s="129"/>
      <c r="O35" s="390"/>
      <c r="P35" s="391"/>
      <c r="Q35" s="129"/>
      <c r="R35" s="156">
        <f t="shared" si="2"/>
        <v>756323.60999999987</v>
      </c>
    </row>
    <row r="36" spans="1:18" ht="12" customHeight="1">
      <c r="A36" s="418" t="s">
        <v>66</v>
      </c>
      <c r="B36" s="419" t="s">
        <v>329</v>
      </c>
      <c r="C36" s="420">
        <f>SUM(C38:C39)</f>
        <v>445362.23000000004</v>
      </c>
      <c r="D36" s="132"/>
      <c r="E36" s="132"/>
      <c r="F36" s="132"/>
      <c r="G36" s="132"/>
      <c r="H36" s="392"/>
      <c r="I36" s="393"/>
      <c r="J36" s="131">
        <f>J37/C36</f>
        <v>0.3999999955092734</v>
      </c>
      <c r="K36" s="131">
        <f>K37/C36</f>
        <v>0.60000000449072655</v>
      </c>
      <c r="L36" s="132"/>
      <c r="M36" s="132"/>
      <c r="N36" s="132"/>
      <c r="O36" s="392"/>
      <c r="P36" s="393"/>
      <c r="Q36" s="132"/>
      <c r="R36" s="130">
        <f t="shared" si="2"/>
        <v>1</v>
      </c>
    </row>
    <row r="37" spans="1:18" ht="12.9" customHeight="1">
      <c r="A37" s="418"/>
      <c r="B37" s="419"/>
      <c r="C37" s="420"/>
      <c r="D37" s="129"/>
      <c r="E37" s="129"/>
      <c r="F37" s="129"/>
      <c r="G37" s="129"/>
      <c r="H37" s="390"/>
      <c r="I37" s="391"/>
      <c r="J37" s="133">
        <f>SUM(J39)*1</f>
        <v>178144.89</v>
      </c>
      <c r="K37" s="133">
        <f>SUM(K39)*1</f>
        <v>267217.34000000003</v>
      </c>
      <c r="L37" s="129"/>
      <c r="M37" s="129"/>
      <c r="N37" s="129"/>
      <c r="O37" s="390"/>
      <c r="P37" s="391"/>
      <c r="Q37" s="129"/>
      <c r="R37" s="156">
        <f t="shared" si="2"/>
        <v>445362.23000000004</v>
      </c>
    </row>
    <row r="38" spans="1:18" ht="12" customHeight="1">
      <c r="A38" s="421" t="s">
        <v>65</v>
      </c>
      <c r="B38" s="422" t="s">
        <v>325</v>
      </c>
      <c r="C38" s="423">
        <f>'Planilha Orçamentária SEM Des'!I58</f>
        <v>445362.23000000004</v>
      </c>
      <c r="D38" s="132"/>
      <c r="E38" s="132"/>
      <c r="F38" s="132"/>
      <c r="G38" s="132"/>
      <c r="H38" s="392"/>
      <c r="I38" s="393"/>
      <c r="J38" s="131">
        <v>0.4</v>
      </c>
      <c r="K38" s="131">
        <v>0.6</v>
      </c>
      <c r="L38" s="132"/>
      <c r="M38" s="132"/>
      <c r="N38" s="132"/>
      <c r="O38" s="392"/>
      <c r="P38" s="393"/>
      <c r="Q38" s="132"/>
      <c r="R38" s="130">
        <f t="shared" si="2"/>
        <v>1</v>
      </c>
    </row>
    <row r="39" spans="1:18" ht="12.9" customHeight="1">
      <c r="A39" s="421"/>
      <c r="B39" s="422"/>
      <c r="C39" s="423"/>
      <c r="D39" s="129" t="str">
        <f>IF(D38&gt;0,ROUND(C38*D38,2),"")</f>
        <v/>
      </c>
      <c r="E39" s="129" t="str">
        <f>IF(E38&gt;0,IF(AND(SUM(D38:E38)=1,R38=1),C38-SUM(D39:D39),ROUND(C38*E38,2)),"")</f>
        <v/>
      </c>
      <c r="F39" s="129" t="str">
        <f>IF(F38&gt;0,IF(AND(SUM(D38:F38)=1,R38=1),C38-SUM(D39:E39),ROUND(C38*F38,2)),"")</f>
        <v/>
      </c>
      <c r="G39" s="129" t="str">
        <f>IF(G38&gt;0,IF(AND(SUM(D38:G38)=1,R38=1),C38-SUM(D39:F39),ROUND(C38*G38,2)),"")</f>
        <v/>
      </c>
      <c r="H39" s="390"/>
      <c r="I39" s="391"/>
      <c r="J39" s="133">
        <f>IF(J38&gt;0,IF(AND(SUM(D38:J38)=1,R38=1),C38-SUM(D39:I39),ROUND(C38*J38,2)),"")</f>
        <v>178144.89</v>
      </c>
      <c r="K39" s="133">
        <f>IF(K38&gt;0,IF(AND(SUM(D38:K38)=1,S38=1),C38-SUM(D39:J39),ROUND(C38*K38,2)),"")</f>
        <v>267217.34000000003</v>
      </c>
      <c r="L39" s="129"/>
      <c r="M39" s="129"/>
      <c r="N39" s="129"/>
      <c r="O39" s="390"/>
      <c r="P39" s="391"/>
      <c r="Q39" s="129"/>
      <c r="R39" s="156">
        <f t="shared" si="2"/>
        <v>445362.23000000004</v>
      </c>
    </row>
    <row r="40" spans="1:18" ht="12" customHeight="1">
      <c r="A40" s="418" t="s">
        <v>59</v>
      </c>
      <c r="B40" s="419" t="s">
        <v>361</v>
      </c>
      <c r="C40" s="420">
        <f>SUM(C42:C45)</f>
        <v>1683536.2199999997</v>
      </c>
      <c r="D40" s="132"/>
      <c r="E40" s="132"/>
      <c r="F40" s="132"/>
      <c r="G40" s="132"/>
      <c r="H40" s="392"/>
      <c r="I40" s="393"/>
      <c r="J40" s="132"/>
      <c r="K40" s="131">
        <f>K41/C40</f>
        <v>9.9999998812024385E-2</v>
      </c>
      <c r="L40" s="131">
        <f>L41/C40</f>
        <v>0.30000000237595131</v>
      </c>
      <c r="M40" s="131">
        <f>M41/C40</f>
        <v>0.29999999643607317</v>
      </c>
      <c r="N40" s="131">
        <f>N41/C40</f>
        <v>0.30000000237595131</v>
      </c>
      <c r="O40" s="392"/>
      <c r="P40" s="393"/>
      <c r="Q40" s="132"/>
      <c r="R40" s="130">
        <f t="shared" si="2"/>
        <v>1.0000000000000002</v>
      </c>
    </row>
    <row r="41" spans="1:18" ht="12.9" customHeight="1">
      <c r="A41" s="418"/>
      <c r="B41" s="419"/>
      <c r="C41" s="420"/>
      <c r="D41" s="129"/>
      <c r="E41" s="129"/>
      <c r="F41" s="129"/>
      <c r="G41" s="129"/>
      <c r="H41" s="390"/>
      <c r="I41" s="391"/>
      <c r="J41" s="129"/>
      <c r="K41" s="133">
        <f>SUM(K43,K45)*1</f>
        <v>168353.62</v>
      </c>
      <c r="L41" s="133">
        <f>SUM(L43,L45)*1</f>
        <v>505060.87</v>
      </c>
      <c r="M41" s="133">
        <f>SUM(M43,M45)*1</f>
        <v>505060.86</v>
      </c>
      <c r="N41" s="133">
        <f>SUM(N43,N45)*1</f>
        <v>505060.87</v>
      </c>
      <c r="O41" s="390"/>
      <c r="P41" s="391"/>
      <c r="Q41" s="129"/>
      <c r="R41" s="156">
        <f t="shared" si="2"/>
        <v>1683536.2200000002</v>
      </c>
    </row>
    <row r="42" spans="1:18" ht="12" customHeight="1">
      <c r="A42" s="421" t="s">
        <v>58</v>
      </c>
      <c r="B42" s="422" t="s">
        <v>325</v>
      </c>
      <c r="C42" s="423">
        <f>'Planilha Orçamentária SEM Des'!I65</f>
        <v>941789.63</v>
      </c>
      <c r="D42" s="132"/>
      <c r="E42" s="132"/>
      <c r="F42" s="132"/>
      <c r="G42" s="132"/>
      <c r="H42" s="392"/>
      <c r="I42" s="393"/>
      <c r="J42" s="132"/>
      <c r="K42" s="131">
        <v>0.1</v>
      </c>
      <c r="L42" s="131">
        <v>0.3</v>
      </c>
      <c r="M42" s="131">
        <v>0.3</v>
      </c>
      <c r="N42" s="131">
        <v>0.3</v>
      </c>
      <c r="O42" s="392"/>
      <c r="P42" s="393"/>
      <c r="Q42" s="132"/>
      <c r="R42" s="130">
        <f t="shared" si="2"/>
        <v>1</v>
      </c>
    </row>
    <row r="43" spans="1:18" ht="12.9" customHeight="1">
      <c r="A43" s="421"/>
      <c r="B43" s="422"/>
      <c r="C43" s="423"/>
      <c r="D43" s="129"/>
      <c r="E43" s="129"/>
      <c r="F43" s="129"/>
      <c r="G43" s="129"/>
      <c r="H43" s="390"/>
      <c r="I43" s="391"/>
      <c r="J43" s="129"/>
      <c r="K43" s="133">
        <f>IF(K42&gt;0,IF(AND(SUM(D42:K42)=1,S42=1),C42-SUM(D43:J43),ROUND(C42*K42,2)),"")</f>
        <v>94178.96</v>
      </c>
      <c r="L43" s="133">
        <f>IF(L42&gt;0,IF(AND(SUM(D42:L42)=1,T42=1),C42-SUM(D43:K43),ROUND(C42*L42,2)),"")</f>
        <v>282536.89</v>
      </c>
      <c r="M43" s="133">
        <f>IF(M42&gt;0,IF(AND(SUM(D42:M42)=1,U42=1),C42-SUM(D43:L43),ROUND(C42*M42,2)),"")-0.01</f>
        <v>282536.88</v>
      </c>
      <c r="N43" s="133">
        <f>IF(N42&gt;0,IF(AND(SUM(D42:N42)=1,V42=1),C42-SUM(D43:M43),ROUND(C42*N42,2)),"")</f>
        <v>282536.89</v>
      </c>
      <c r="O43" s="390"/>
      <c r="P43" s="391"/>
      <c r="Q43" s="129"/>
      <c r="R43" s="156">
        <f t="shared" si="2"/>
        <v>941789.62</v>
      </c>
    </row>
    <row r="44" spans="1:18" ht="12" customHeight="1">
      <c r="A44" s="421" t="s">
        <v>52</v>
      </c>
      <c r="B44" s="422" t="s">
        <v>326</v>
      </c>
      <c r="C44" s="423">
        <f>'Planilha Orçamentária SEM Des'!I71</f>
        <v>741746.58999999985</v>
      </c>
      <c r="D44" s="132"/>
      <c r="E44" s="132"/>
      <c r="F44" s="132"/>
      <c r="G44" s="132"/>
      <c r="H44" s="392"/>
      <c r="I44" s="393"/>
      <c r="J44" s="132"/>
      <c r="K44" s="131">
        <v>0.1</v>
      </c>
      <c r="L44" s="131">
        <v>0.3</v>
      </c>
      <c r="M44" s="131">
        <v>0.3</v>
      </c>
      <c r="N44" s="131">
        <v>0.3</v>
      </c>
      <c r="O44" s="392"/>
      <c r="P44" s="393"/>
      <c r="Q44" s="132"/>
      <c r="R44" s="130">
        <f t="shared" si="2"/>
        <v>1</v>
      </c>
    </row>
    <row r="45" spans="1:18" ht="12.9" customHeight="1">
      <c r="A45" s="421"/>
      <c r="B45" s="422"/>
      <c r="C45" s="423"/>
      <c r="D45" s="129"/>
      <c r="E45" s="129"/>
      <c r="F45" s="129"/>
      <c r="G45" s="129"/>
      <c r="H45" s="390"/>
      <c r="I45" s="391"/>
      <c r="J45" s="129"/>
      <c r="K45" s="133">
        <f>IF(K44&gt;0,IF(AND(SUM(D44:K44)=1,S44=1),C44-SUM(D45:J45),ROUND(C44*K44,2)),"")</f>
        <v>74174.66</v>
      </c>
      <c r="L45" s="133">
        <f>IF(L44&gt;0,IF(AND(SUM(D44:L44)=1,T44=1),C44-SUM(D45:K45),ROUND(C44*L44,2)),"")</f>
        <v>222523.98</v>
      </c>
      <c r="M45" s="133">
        <f>IF(M44&gt;0,IF(AND(SUM(D44:M44)=1,U44=1),C44-SUM(D45:L45),ROUND(C44*M44,2)),"")</f>
        <v>222523.98</v>
      </c>
      <c r="N45" s="133">
        <f>IF(N44&gt;0,IF(AND(SUM(D44:N44)=1,V44=1),C44-SUM(D45:M45),ROUND(C44*N44,2)),"")</f>
        <v>222523.98</v>
      </c>
      <c r="O45" s="390"/>
      <c r="P45" s="391"/>
      <c r="Q45" s="129"/>
      <c r="R45" s="156">
        <f t="shared" si="2"/>
        <v>741746.6</v>
      </c>
    </row>
    <row r="46" spans="1:18" ht="12" customHeight="1">
      <c r="A46" s="418" t="s">
        <v>46</v>
      </c>
      <c r="B46" s="419" t="s">
        <v>344</v>
      </c>
      <c r="C46" s="420">
        <f>SUM(C48,C50)</f>
        <v>938168.66000000015</v>
      </c>
      <c r="D46" s="132"/>
      <c r="E46" s="132"/>
      <c r="F46" s="132"/>
      <c r="G46" s="132"/>
      <c r="H46" s="392"/>
      <c r="I46" s="393"/>
      <c r="J46" s="132"/>
      <c r="K46" s="132"/>
      <c r="L46" s="132"/>
      <c r="M46" s="132"/>
      <c r="N46" s="132"/>
      <c r="O46" s="396">
        <f>O47/C46</f>
        <v>0.50000001065906408</v>
      </c>
      <c r="P46" s="397"/>
      <c r="Q46" s="131">
        <f>Q47/C46</f>
        <v>0.50000001065906408</v>
      </c>
      <c r="R46" s="130">
        <f t="shared" si="2"/>
        <v>1.0000000213181282</v>
      </c>
    </row>
    <row r="47" spans="1:18" ht="12.9" customHeight="1">
      <c r="A47" s="418"/>
      <c r="B47" s="419"/>
      <c r="C47" s="420"/>
      <c r="D47" s="129"/>
      <c r="E47" s="129"/>
      <c r="F47" s="129"/>
      <c r="G47" s="129"/>
      <c r="H47" s="390"/>
      <c r="I47" s="391"/>
      <c r="J47" s="129"/>
      <c r="K47" s="129"/>
      <c r="L47" s="129"/>
      <c r="M47" s="129"/>
      <c r="N47" s="129"/>
      <c r="O47" s="398">
        <f>SUM(O49,O51)*1</f>
        <v>469084.33999999997</v>
      </c>
      <c r="P47" s="399"/>
      <c r="Q47" s="133">
        <f>SUM(Q49,Q51)*1</f>
        <v>469084.33999999997</v>
      </c>
      <c r="R47" s="156">
        <f t="shared" si="2"/>
        <v>938168.67999999993</v>
      </c>
    </row>
    <row r="48" spans="1:18" ht="12" customHeight="1">
      <c r="A48" s="421" t="s">
        <v>45</v>
      </c>
      <c r="B48" s="422" t="s">
        <v>325</v>
      </c>
      <c r="C48" s="423">
        <f>'Planilha Orçamentária SEM Des'!I78</f>
        <v>433292.99000000005</v>
      </c>
      <c r="D48" s="132"/>
      <c r="E48" s="132"/>
      <c r="F48" s="132"/>
      <c r="G48" s="132"/>
      <c r="H48" s="392"/>
      <c r="I48" s="393"/>
      <c r="J48" s="132"/>
      <c r="K48" s="132"/>
      <c r="L48" s="132"/>
      <c r="M48" s="132"/>
      <c r="N48" s="132"/>
      <c r="O48" s="396">
        <v>0.5</v>
      </c>
      <c r="P48" s="397"/>
      <c r="Q48" s="131">
        <v>0.5</v>
      </c>
      <c r="R48" s="130">
        <f t="shared" si="2"/>
        <v>1</v>
      </c>
    </row>
    <row r="49" spans="1:18" ht="12.9" customHeight="1">
      <c r="A49" s="421"/>
      <c r="B49" s="422"/>
      <c r="C49" s="423"/>
      <c r="D49" s="129"/>
      <c r="E49" s="129"/>
      <c r="F49" s="129"/>
      <c r="G49" s="129"/>
      <c r="H49" s="390"/>
      <c r="I49" s="391"/>
      <c r="J49" s="129"/>
      <c r="K49" s="129"/>
      <c r="L49" s="129"/>
      <c r="M49" s="129"/>
      <c r="N49" s="129"/>
      <c r="O49" s="398">
        <f>IF(O48&gt;0,IF(AND(SUM(D48:O48)=1,Y48=1),C48-SUM(D49:N49),ROUND(C48*O48,2)),"")</f>
        <v>216646.5</v>
      </c>
      <c r="P49" s="399"/>
      <c r="Q49" s="133">
        <f>IF(Q48&gt;0,IF(AND(SUM(D48:Q48)=1,Y48=1),C48-SUM(D49:P49),ROUND(C48*Q48,2)),"")</f>
        <v>216646.5</v>
      </c>
      <c r="R49" s="156">
        <f t="shared" si="2"/>
        <v>433293</v>
      </c>
    </row>
    <row r="50" spans="1:18" ht="12" customHeight="1">
      <c r="A50" s="421" t="s">
        <v>341</v>
      </c>
      <c r="B50" s="422" t="s">
        <v>326</v>
      </c>
      <c r="C50" s="423">
        <f>'Planilha Orçamentária SEM Des'!I84</f>
        <v>504875.67000000004</v>
      </c>
      <c r="D50" s="132"/>
      <c r="E50" s="132"/>
      <c r="F50" s="132"/>
      <c r="G50" s="132"/>
      <c r="H50" s="392"/>
      <c r="I50" s="393"/>
      <c r="J50" s="132"/>
      <c r="K50" s="132"/>
      <c r="L50" s="132"/>
      <c r="M50" s="132"/>
      <c r="N50" s="132"/>
      <c r="O50" s="396">
        <v>0.5</v>
      </c>
      <c r="P50" s="397"/>
      <c r="Q50" s="131">
        <v>0.5</v>
      </c>
      <c r="R50" s="130">
        <f t="shared" si="2"/>
        <v>1</v>
      </c>
    </row>
    <row r="51" spans="1:18" ht="12.9" customHeight="1">
      <c r="A51" s="421"/>
      <c r="B51" s="422"/>
      <c r="C51" s="423"/>
      <c r="D51" s="129"/>
      <c r="E51" s="129"/>
      <c r="F51" s="129"/>
      <c r="G51" s="129"/>
      <c r="H51" s="390"/>
      <c r="I51" s="391"/>
      <c r="J51" s="129"/>
      <c r="K51" s="129"/>
      <c r="L51" s="129"/>
      <c r="M51" s="129"/>
      <c r="N51" s="129"/>
      <c r="O51" s="398">
        <f>IF(O50&gt;0,IF(AND(SUM(D50:O50)=1,Y50=1),C50-SUM(D51:N51),ROUND(C50*O50,2)),"")</f>
        <v>252437.84</v>
      </c>
      <c r="P51" s="399"/>
      <c r="Q51" s="133">
        <f>IF(Q50&gt;0,IF(AND(SUM(D50:Q50)=1,Y50=1),C50-SUM(D51:P51),ROUND(C50*Q50,2)),"")</f>
        <v>252437.84</v>
      </c>
      <c r="R51" s="156">
        <f t="shared" si="2"/>
        <v>504875.68</v>
      </c>
    </row>
    <row r="52" spans="1:18" ht="12" customHeight="1">
      <c r="A52" s="138"/>
      <c r="B52" s="134"/>
      <c r="C52" s="425">
        <f>SUM(C8,C12,C16,C22,C32,C36,C40,C46)</f>
        <v>5886856.0999999996</v>
      </c>
      <c r="D52" s="135">
        <f>SUM(D9,D13,D17,D23,D33,D37,D41,D47)</f>
        <v>438646.95000000007</v>
      </c>
      <c r="E52" s="135">
        <f>SUM(E9,E13,E17,E23,E33,E37,E41,E47)</f>
        <v>545759.94999999995</v>
      </c>
      <c r="F52" s="135">
        <f>SUM(F9,F13,F17,F23,F33,F37,F41,F47)</f>
        <v>441732.72000000003</v>
      </c>
      <c r="G52" s="135">
        <f>SUM(G9,G13,G17,G23,G33,G37,G41,G47)</f>
        <v>552175.63</v>
      </c>
      <c r="H52" s="398">
        <f>SUM(H9,H13,H17,H23,H33,H37,H41,H47)</f>
        <v>464210.92</v>
      </c>
      <c r="I52" s="399"/>
      <c r="J52" s="135">
        <f t="shared" ref="J52:O52" si="6">SUM(J9,J13,J17,J23,J33,J37,J41,J47)</f>
        <v>491700.77999999991</v>
      </c>
      <c r="K52" s="135">
        <f t="shared" si="6"/>
        <v>445546.65</v>
      </c>
      <c r="L52" s="135">
        <f t="shared" si="6"/>
        <v>516619.18</v>
      </c>
      <c r="M52" s="135">
        <f>SUM(M9,M13,M17,M23,M33,M37,M41,M47)</f>
        <v>516619.17</v>
      </c>
      <c r="N52" s="135">
        <f>SUM(N9,N13,N17,N23,N33,N37,N41,N47)</f>
        <v>516619.18</v>
      </c>
      <c r="O52" s="398">
        <f t="shared" si="6"/>
        <v>478593.01999999996</v>
      </c>
      <c r="P52" s="399"/>
      <c r="Q52" s="135">
        <f>SUM(Q9,Q13,Q17,Q23,Q33,Q37,Q41,Q47)</f>
        <v>478631.94999999995</v>
      </c>
      <c r="R52" s="426">
        <f>SUM(R9,R13,R17,R23,R33,R37,R41,R47)</f>
        <v>5886856.0999999996</v>
      </c>
    </row>
    <row r="53" spans="1:18" ht="12.9" customHeight="1">
      <c r="A53" s="139"/>
      <c r="B53" s="136"/>
      <c r="C53" s="425"/>
      <c r="D53" s="133">
        <f>D52+C53</f>
        <v>438646.95000000007</v>
      </c>
      <c r="E53" s="133">
        <f>E52+D53</f>
        <v>984406.9</v>
      </c>
      <c r="F53" s="133">
        <f>F52+E53</f>
        <v>1426139.62</v>
      </c>
      <c r="G53" s="133">
        <f>G52+F53</f>
        <v>1978315.25</v>
      </c>
      <c r="H53" s="398">
        <f>H52+G53</f>
        <v>2442526.17</v>
      </c>
      <c r="I53" s="399"/>
      <c r="J53" s="133">
        <f>J52+H53</f>
        <v>2934226.9499999997</v>
      </c>
      <c r="K53" s="133">
        <f>K52+J53</f>
        <v>3379773.5999999996</v>
      </c>
      <c r="L53" s="133">
        <f>L52+K53</f>
        <v>3896392.78</v>
      </c>
      <c r="M53" s="133">
        <f>M52+L53</f>
        <v>4413011.95</v>
      </c>
      <c r="N53" s="133">
        <f>N52+M53</f>
        <v>4929631.13</v>
      </c>
      <c r="O53" s="398">
        <f>O52+N53</f>
        <v>5408224.1499999994</v>
      </c>
      <c r="P53" s="399"/>
      <c r="Q53" s="133">
        <f>Q52+O53</f>
        <v>5886856.0999999996</v>
      </c>
      <c r="R53" s="426"/>
    </row>
    <row r="54" spans="1:18" ht="84" customHeight="1">
      <c r="A54" s="412"/>
      <c r="B54" s="412"/>
      <c r="C54" s="412"/>
      <c r="D54" s="412"/>
      <c r="E54" s="412"/>
      <c r="F54" s="412"/>
      <c r="G54" s="412"/>
      <c r="H54" s="412"/>
      <c r="I54" s="412"/>
      <c r="J54" s="412"/>
      <c r="K54" s="412"/>
      <c r="L54" s="412"/>
      <c r="M54" s="412"/>
      <c r="N54" s="412"/>
      <c r="O54" s="412"/>
      <c r="P54" s="412"/>
      <c r="Q54" s="412"/>
      <c r="R54" s="412"/>
    </row>
    <row r="55" spans="1:18">
      <c r="D55" s="172"/>
      <c r="E55" s="172"/>
      <c r="F55" s="172"/>
      <c r="G55" s="172"/>
      <c r="H55" s="172"/>
      <c r="I55" s="172"/>
      <c r="J55" s="172"/>
      <c r="K55" s="172"/>
      <c r="L55" s="172"/>
      <c r="M55" s="172"/>
      <c r="N55" s="172"/>
      <c r="O55" s="172"/>
      <c r="P55" s="172"/>
      <c r="Q55" s="172"/>
      <c r="R55" s="173"/>
    </row>
    <row r="56" spans="1:18">
      <c r="D56" s="182">
        <f>D52/$C$52</f>
        <v>7.4512939088149294E-2</v>
      </c>
      <c r="E56" s="182">
        <f t="shared" ref="E56:Q56" si="7">E52/$C$52</f>
        <v>9.270821992744141E-2</v>
      </c>
      <c r="F56" s="182">
        <f t="shared" si="7"/>
        <v>7.5037118709254683E-2</v>
      </c>
      <c r="G56" s="182">
        <f t="shared" si="7"/>
        <v>9.3798051221262238E-2</v>
      </c>
      <c r="H56" s="182">
        <f t="shared" si="7"/>
        <v>7.8855489605054216E-2</v>
      </c>
      <c r="I56" s="182"/>
      <c r="J56" s="182">
        <f t="shared" si="7"/>
        <v>8.3525190975875893E-2</v>
      </c>
      <c r="K56" s="182">
        <f t="shared" si="7"/>
        <v>7.5684990839167965E-2</v>
      </c>
      <c r="L56" s="182">
        <f t="shared" si="7"/>
        <v>8.7758078543825793E-2</v>
      </c>
      <c r="M56" s="182">
        <f t="shared" si="7"/>
        <v>8.7758076845126209E-2</v>
      </c>
      <c r="N56" s="182">
        <f t="shared" si="7"/>
        <v>8.7758078543825793E-2</v>
      </c>
      <c r="O56" s="182">
        <f t="shared" si="7"/>
        <v>8.1298576331770706E-2</v>
      </c>
      <c r="P56" s="182"/>
      <c r="Q56" s="182">
        <f t="shared" si="7"/>
        <v>8.1305189369245828E-2</v>
      </c>
    </row>
    <row r="57" spans="1:18">
      <c r="D57" s="182">
        <f>D52/$C$52</f>
        <v>7.4512939088149294E-2</v>
      </c>
      <c r="E57" s="182">
        <f t="shared" ref="E57:Q57" si="8">E52/$C$52</f>
        <v>9.270821992744141E-2</v>
      </c>
      <c r="F57" s="182">
        <f t="shared" si="8"/>
        <v>7.5037118709254683E-2</v>
      </c>
      <c r="G57" s="182">
        <f t="shared" si="8"/>
        <v>9.3798051221262238E-2</v>
      </c>
      <c r="H57" s="182">
        <f t="shared" si="8"/>
        <v>7.8855489605054216E-2</v>
      </c>
      <c r="I57" s="182"/>
      <c r="J57" s="182">
        <f t="shared" si="8"/>
        <v>8.3525190975875893E-2</v>
      </c>
      <c r="K57" s="182">
        <f t="shared" si="8"/>
        <v>7.5684990839167965E-2</v>
      </c>
      <c r="L57" s="182">
        <f t="shared" si="8"/>
        <v>8.7758078543825793E-2</v>
      </c>
      <c r="M57" s="182">
        <f t="shared" si="8"/>
        <v>8.7758076845126209E-2</v>
      </c>
      <c r="N57" s="182">
        <f t="shared" si="8"/>
        <v>8.7758078543825793E-2</v>
      </c>
      <c r="O57" s="182">
        <f t="shared" si="8"/>
        <v>8.1298576331770706E-2</v>
      </c>
      <c r="P57" s="182"/>
      <c r="Q57" s="182">
        <f t="shared" si="8"/>
        <v>8.1305189369245828E-2</v>
      </c>
    </row>
    <row r="58" spans="1:18" s="180" customFormat="1" ht="10.199999999999999">
      <c r="C58" s="181">
        <f>C52-C8</f>
        <v>5757133.1699999999</v>
      </c>
      <c r="D58" s="176">
        <f>D52-D9</f>
        <v>428800.9800000001</v>
      </c>
      <c r="E58" s="176">
        <f t="shared" ref="E58:Q58" si="9">E52-E9</f>
        <v>533488.15999999992</v>
      </c>
      <c r="F58" s="176">
        <f t="shared" si="9"/>
        <v>431757.03</v>
      </c>
      <c r="G58" s="176">
        <f t="shared" si="9"/>
        <v>539696.28</v>
      </c>
      <c r="H58" s="176">
        <f t="shared" si="9"/>
        <v>453794.17</v>
      </c>
      <c r="I58" s="176"/>
      <c r="J58" s="176">
        <f t="shared" si="9"/>
        <v>480674.3299999999</v>
      </c>
      <c r="K58" s="176">
        <f t="shared" si="9"/>
        <v>435570.96</v>
      </c>
      <c r="L58" s="176">
        <f t="shared" si="9"/>
        <v>505060.87</v>
      </c>
      <c r="M58" s="176">
        <f t="shared" si="9"/>
        <v>505060.86</v>
      </c>
      <c r="N58" s="176">
        <f t="shared" si="9"/>
        <v>505060.87</v>
      </c>
      <c r="O58" s="176">
        <f t="shared" si="9"/>
        <v>469084.33999999997</v>
      </c>
      <c r="P58" s="176"/>
      <c r="Q58" s="176">
        <f t="shared" si="9"/>
        <v>469084.33999999997</v>
      </c>
    </row>
    <row r="59" spans="1:18">
      <c r="D59" s="182">
        <f>D58/$C$58</f>
        <v>7.448168512662702E-2</v>
      </c>
      <c r="E59" s="182">
        <f t="shared" ref="E59:K59" si="10">E58/$C$58</f>
        <v>9.2665593142775948E-2</v>
      </c>
      <c r="F59" s="182">
        <f t="shared" si="10"/>
        <v>7.49951438069653E-2</v>
      </c>
      <c r="G59" s="182">
        <v>9.3799999999999994E-2</v>
      </c>
      <c r="H59" s="182">
        <v>7.8899999999999998E-2</v>
      </c>
      <c r="I59" s="182"/>
      <c r="J59" s="182">
        <f t="shared" si="10"/>
        <v>8.3491959592798495E-2</v>
      </c>
      <c r="K59" s="182">
        <f t="shared" si="10"/>
        <v>7.5657614152427194E-2</v>
      </c>
      <c r="L59" s="182">
        <v>8.7800000000000003E-2</v>
      </c>
      <c r="M59" s="182">
        <v>8.7800000000000003E-2</v>
      </c>
      <c r="N59" s="182">
        <v>8.7800000000000003E-2</v>
      </c>
      <c r="O59" s="182">
        <v>8.1299999999999997E-2</v>
      </c>
      <c r="P59" s="182"/>
      <c r="Q59" s="182">
        <v>8.1299999999999997E-2</v>
      </c>
    </row>
    <row r="60" spans="1:18">
      <c r="D60" s="182"/>
      <c r="E60" s="182"/>
      <c r="F60" s="182"/>
      <c r="G60" s="182"/>
      <c r="H60" s="182"/>
      <c r="I60" s="182"/>
      <c r="J60" s="182"/>
      <c r="K60" s="182"/>
      <c r="L60" s="182"/>
      <c r="M60" s="182"/>
      <c r="N60" s="182"/>
      <c r="O60" s="182"/>
      <c r="P60" s="182"/>
      <c r="Q60" s="182"/>
    </row>
  </sheetData>
  <mergeCells count="173">
    <mergeCell ref="H45:I45"/>
    <mergeCell ref="O45:P45"/>
    <mergeCell ref="H47:I47"/>
    <mergeCell ref="H49:I49"/>
    <mergeCell ref="H51:I51"/>
    <mergeCell ref="O47:P47"/>
    <mergeCell ref="O49:P49"/>
    <mergeCell ref="O51:P51"/>
    <mergeCell ref="O30:P30"/>
    <mergeCell ref="O31:P31"/>
    <mergeCell ref="O32:P32"/>
    <mergeCell ref="O33:P33"/>
    <mergeCell ref="O34:P34"/>
    <mergeCell ref="O35:P35"/>
    <mergeCell ref="O38:P38"/>
    <mergeCell ref="O39:P39"/>
    <mergeCell ref="O40:P40"/>
    <mergeCell ref="O41:P41"/>
    <mergeCell ref="O42:P42"/>
    <mergeCell ref="O43:P43"/>
    <mergeCell ref="O44:P44"/>
    <mergeCell ref="O46:P46"/>
    <mergeCell ref="O48:P48"/>
    <mergeCell ref="O36:P36"/>
    <mergeCell ref="H28:I28"/>
    <mergeCell ref="H29:I29"/>
    <mergeCell ref="H30:I30"/>
    <mergeCell ref="H31:I31"/>
    <mergeCell ref="H32:I32"/>
    <mergeCell ref="H33:I33"/>
    <mergeCell ref="H34:I34"/>
    <mergeCell ref="H35:I35"/>
    <mergeCell ref="O14:P14"/>
    <mergeCell ref="O15:P15"/>
    <mergeCell ref="O16:P16"/>
    <mergeCell ref="O17:P17"/>
    <mergeCell ref="O18:P18"/>
    <mergeCell ref="O19:P19"/>
    <mergeCell ref="O20:P20"/>
    <mergeCell ref="O21:P21"/>
    <mergeCell ref="O22:P22"/>
    <mergeCell ref="O23:P23"/>
    <mergeCell ref="O24:P24"/>
    <mergeCell ref="O25:P25"/>
    <mergeCell ref="O26:P26"/>
    <mergeCell ref="O27:P27"/>
    <mergeCell ref="O28:P28"/>
    <mergeCell ref="O29:P29"/>
    <mergeCell ref="A50:A51"/>
    <mergeCell ref="B50:B51"/>
    <mergeCell ref="C50:C51"/>
    <mergeCell ref="C52:C53"/>
    <mergeCell ref="H52:I52"/>
    <mergeCell ref="R52:R53"/>
    <mergeCell ref="H53:I53"/>
    <mergeCell ref="O52:P52"/>
    <mergeCell ref="O53:P53"/>
    <mergeCell ref="H50:I50"/>
    <mergeCell ref="O50:P50"/>
    <mergeCell ref="A46:A47"/>
    <mergeCell ref="B46:B47"/>
    <mergeCell ref="C46:C47"/>
    <mergeCell ref="A44:A45"/>
    <mergeCell ref="B44:B45"/>
    <mergeCell ref="C44:C45"/>
    <mergeCell ref="A48:A49"/>
    <mergeCell ref="B48:B49"/>
    <mergeCell ref="C48:C49"/>
    <mergeCell ref="A32:A33"/>
    <mergeCell ref="B32:B33"/>
    <mergeCell ref="C32:C33"/>
    <mergeCell ref="A34:A35"/>
    <mergeCell ref="B34:B35"/>
    <mergeCell ref="C34:C35"/>
    <mergeCell ref="H38:I38"/>
    <mergeCell ref="H39:I39"/>
    <mergeCell ref="B42:B43"/>
    <mergeCell ref="A36:A37"/>
    <mergeCell ref="B36:B37"/>
    <mergeCell ref="C36:C37"/>
    <mergeCell ref="A38:A39"/>
    <mergeCell ref="B38:B39"/>
    <mergeCell ref="C38:C39"/>
    <mergeCell ref="A42:A43"/>
    <mergeCell ref="C42:C43"/>
    <mergeCell ref="A40:A41"/>
    <mergeCell ref="B40:B41"/>
    <mergeCell ref="C40:C41"/>
    <mergeCell ref="H40:I40"/>
    <mergeCell ref="H43:I43"/>
    <mergeCell ref="B26:B27"/>
    <mergeCell ref="A28:A29"/>
    <mergeCell ref="B28:B29"/>
    <mergeCell ref="C28:C29"/>
    <mergeCell ref="A22:A23"/>
    <mergeCell ref="B22:B23"/>
    <mergeCell ref="C22:C23"/>
    <mergeCell ref="A30:A31"/>
    <mergeCell ref="B30:B31"/>
    <mergeCell ref="C30:C31"/>
    <mergeCell ref="A24:A25"/>
    <mergeCell ref="C24:C25"/>
    <mergeCell ref="A26:A27"/>
    <mergeCell ref="C26:C27"/>
    <mergeCell ref="B24:B25"/>
    <mergeCell ref="A8:A9"/>
    <mergeCell ref="B8:B9"/>
    <mergeCell ref="C8:C9"/>
    <mergeCell ref="A12:A13"/>
    <mergeCell ref="B12:B13"/>
    <mergeCell ref="C12:C13"/>
    <mergeCell ref="A14:A15"/>
    <mergeCell ref="B14:B15"/>
    <mergeCell ref="C14:C15"/>
    <mergeCell ref="A10:A11"/>
    <mergeCell ref="B10:B11"/>
    <mergeCell ref="C10:C11"/>
    <mergeCell ref="A16:A17"/>
    <mergeCell ref="B16:B17"/>
    <mergeCell ref="C16:C17"/>
    <mergeCell ref="A18:A19"/>
    <mergeCell ref="B18:B19"/>
    <mergeCell ref="C18:C19"/>
    <mergeCell ref="A20:A21"/>
    <mergeCell ref="B20:B21"/>
    <mergeCell ref="C20:C21"/>
    <mergeCell ref="O37:P37"/>
    <mergeCell ref="A54:R54"/>
    <mergeCell ref="E2:R2"/>
    <mergeCell ref="E1:R1"/>
    <mergeCell ref="F3:R3"/>
    <mergeCell ref="F4:R4"/>
    <mergeCell ref="F5:R5"/>
    <mergeCell ref="A6:R6"/>
    <mergeCell ref="H12:I12"/>
    <mergeCell ref="A1:D2"/>
    <mergeCell ref="B3:D3"/>
    <mergeCell ref="B4:D4"/>
    <mergeCell ref="B5:D5"/>
    <mergeCell ref="H42:I42"/>
    <mergeCell ref="H37:I37"/>
    <mergeCell ref="H36:I36"/>
    <mergeCell ref="H13:I13"/>
    <mergeCell ref="H8:I8"/>
    <mergeCell ref="H9:I9"/>
    <mergeCell ref="H48:I48"/>
    <mergeCell ref="H44:I44"/>
    <mergeCell ref="H46:I46"/>
    <mergeCell ref="H41:I41"/>
    <mergeCell ref="H24:I24"/>
    <mergeCell ref="H25:I25"/>
    <mergeCell ref="H26:I26"/>
    <mergeCell ref="H27:I27"/>
    <mergeCell ref="O7:P7"/>
    <mergeCell ref="O8:P8"/>
    <mergeCell ref="O9:P9"/>
    <mergeCell ref="O10:P10"/>
    <mergeCell ref="O11:P11"/>
    <mergeCell ref="O12:P12"/>
    <mergeCell ref="O13:P13"/>
    <mergeCell ref="H7:I7"/>
    <mergeCell ref="H21:I21"/>
    <mergeCell ref="H22:I22"/>
    <mergeCell ref="H23:I23"/>
    <mergeCell ref="H10:I10"/>
    <mergeCell ref="H11:I11"/>
    <mergeCell ref="H14:I14"/>
    <mergeCell ref="H15:I15"/>
    <mergeCell ref="H16:I16"/>
    <mergeCell ref="H17:I17"/>
    <mergeCell ref="H18:I18"/>
    <mergeCell ref="H19:I19"/>
    <mergeCell ref="H20:I20"/>
  </mergeCells>
  <phoneticPr fontId="39" type="noConversion"/>
  <pageMargins left="0.70866141732283472" right="0.51181102362204722" top="0.51181102362204722" bottom="0.51181102362204722" header="0" footer="0"/>
  <pageSetup paperSize="9" scale="61" fitToHeight="0" orientation="landscape" r:id="rId1"/>
  <rowBreaks count="1" manualBreakCount="1">
    <brk id="51" max="17" man="1"/>
  </rowBreaks>
  <ignoredErrors>
    <ignoredError sqref="F18:J20 D24:D27 F38:G39 G15:H15 D38:E39 D34:E35 F21:H21 J21 J15" unlockedFormula="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outlinePr summaryBelow="0"/>
    <pageSetUpPr fitToPage="1"/>
  </sheetPr>
  <dimension ref="A1:M16"/>
  <sheetViews>
    <sheetView view="pageBreakPreview" topLeftCell="A7" zoomScale="120" zoomScaleNormal="120" zoomScaleSheetLayoutView="120" workbookViewId="0">
      <selection activeCell="B11" sqref="B11"/>
    </sheetView>
  </sheetViews>
  <sheetFormatPr defaultColWidth="9.109375" defaultRowHeight="14.4"/>
  <cols>
    <col min="1" max="1" width="12.44140625" style="116" customWidth="1"/>
    <col min="2" max="2" width="55" style="116" customWidth="1"/>
    <col min="3" max="3" width="12" style="116" customWidth="1"/>
    <col min="4" max="4" width="8.33203125" style="116" customWidth="1"/>
    <col min="5" max="5" width="7.44140625" style="116" customWidth="1"/>
    <col min="6" max="8" width="10" style="116" customWidth="1"/>
    <col min="9" max="9" width="7" style="116" customWidth="1"/>
    <col min="10" max="10" width="8.109375" style="116" customWidth="1"/>
    <col min="11" max="11" width="4" style="116" customWidth="1"/>
    <col min="12" max="16384" width="9.109375" style="116"/>
  </cols>
  <sheetData>
    <row r="1" spans="1:13">
      <c r="A1" s="277"/>
      <c r="B1" s="277"/>
      <c r="C1" s="277"/>
      <c r="D1" s="278" t="s">
        <v>0</v>
      </c>
      <c r="E1" s="278"/>
      <c r="F1" s="278"/>
      <c r="G1" s="278"/>
      <c r="H1" s="278"/>
      <c r="I1" s="278"/>
      <c r="J1" s="278"/>
      <c r="K1" s="278"/>
    </row>
    <row r="2" spans="1:13" ht="95.85" customHeight="1">
      <c r="A2" s="277"/>
      <c r="B2" s="277"/>
      <c r="C2" s="277"/>
      <c r="D2" s="280" t="s">
        <v>360</v>
      </c>
      <c r="E2" s="280"/>
      <c r="F2" s="280"/>
      <c r="G2" s="280"/>
      <c r="H2" s="280"/>
      <c r="I2" s="280"/>
      <c r="J2" s="280"/>
      <c r="K2" s="280"/>
    </row>
    <row r="3" spans="1:13">
      <c r="A3" s="107" t="s">
        <v>117</v>
      </c>
      <c r="B3" s="109" t="s">
        <v>248</v>
      </c>
      <c r="C3" s="80" t="s">
        <v>2</v>
      </c>
      <c r="D3" s="431" t="s">
        <v>249</v>
      </c>
      <c r="E3" s="431"/>
      <c r="F3" s="431"/>
      <c r="G3" s="431"/>
      <c r="H3" s="431"/>
      <c r="I3" s="431"/>
      <c r="J3" s="431"/>
      <c r="K3" s="431"/>
    </row>
    <row r="4" spans="1:13">
      <c r="A4" s="107" t="s">
        <v>118</v>
      </c>
      <c r="B4" s="109" t="s">
        <v>1</v>
      </c>
      <c r="C4" s="80" t="s">
        <v>3</v>
      </c>
      <c r="D4" s="264" t="s">
        <v>495</v>
      </c>
      <c r="E4" s="264"/>
      <c r="F4" s="264"/>
      <c r="G4" s="264"/>
      <c r="H4" s="264"/>
      <c r="I4" s="264"/>
      <c r="J4" s="264"/>
      <c r="K4" s="264"/>
    </row>
    <row r="5" spans="1:13" ht="15.6">
      <c r="A5" s="107" t="s">
        <v>119</v>
      </c>
      <c r="B5" s="110">
        <v>46001</v>
      </c>
      <c r="C5" s="80" t="s">
        <v>120</v>
      </c>
      <c r="D5" s="264" t="s">
        <v>512</v>
      </c>
      <c r="E5" s="264"/>
      <c r="F5" s="264"/>
      <c r="G5" s="264"/>
      <c r="H5" s="264"/>
      <c r="I5" s="264"/>
      <c r="J5" s="264"/>
      <c r="K5" s="264"/>
    </row>
    <row r="6" spans="1:13">
      <c r="A6" s="432" t="s">
        <v>234</v>
      </c>
      <c r="B6" s="432"/>
      <c r="C6" s="432"/>
      <c r="D6" s="432"/>
      <c r="E6" s="432"/>
      <c r="F6" s="432"/>
      <c r="G6" s="432"/>
      <c r="H6" s="432"/>
      <c r="I6" s="432"/>
      <c r="J6" s="432"/>
      <c r="K6" s="432"/>
    </row>
    <row r="7" spans="1:13" ht="21.9" customHeight="1">
      <c r="A7" s="125" t="s">
        <v>160</v>
      </c>
      <c r="B7" s="126" t="s">
        <v>10</v>
      </c>
      <c r="C7" s="125" t="s">
        <v>123</v>
      </c>
      <c r="D7" s="125" t="s">
        <v>233</v>
      </c>
      <c r="E7" s="125" t="s">
        <v>132</v>
      </c>
      <c r="F7" s="125" t="s">
        <v>133</v>
      </c>
      <c r="G7" s="125" t="s">
        <v>126</v>
      </c>
      <c r="H7" s="125" t="s">
        <v>232</v>
      </c>
      <c r="I7" s="125" t="s">
        <v>231</v>
      </c>
      <c r="J7" s="125" t="s">
        <v>230</v>
      </c>
      <c r="K7" s="125" t="s">
        <v>229</v>
      </c>
    </row>
    <row r="8" spans="1:13" ht="31.2">
      <c r="A8" s="117" t="s">
        <v>260</v>
      </c>
      <c r="B8" s="118" t="s">
        <v>259</v>
      </c>
      <c r="C8" s="117" t="s">
        <v>359</v>
      </c>
      <c r="D8" s="117" t="s">
        <v>134</v>
      </c>
      <c r="E8" s="117" t="s">
        <v>35</v>
      </c>
      <c r="F8" s="190">
        <f>SUM('Planilha Orçamentária SEM Des'!E16,'Planilha Orçamentária SEM Des'!E22,'Planilha Orçamentária SEM Des'!E29,'Planilha Orçamentária SEM Des'!E35,'Planilha Orçamentária SEM Des'!E41,'Planilha Orçamentária SEM Des'!E47,'Planilha Orçamentária SEM Des'!E54,'Planilha Orçamentária SEM Des'!E61,'Planilha Orçamentária SEM Des'!E68,'Planilha Orçamentária SEM Des'!E74,'Planilha Orçamentária SEM Des'!E81,'Planilha Orçamentária SEM Des'!E87)</f>
        <v>47039.01</v>
      </c>
      <c r="G8" s="119">
        <f>'Planilha Orçamentária SEM Des'!H16</f>
        <v>99.36</v>
      </c>
      <c r="H8" s="119">
        <f>ROUND(F8*G8,2)+0.01</f>
        <v>4673796.04</v>
      </c>
      <c r="I8" s="120">
        <f>H8 / VALOR_TOTAL * 100</f>
        <v>79.393753823878939</v>
      </c>
      <c r="J8" s="120">
        <f>I8</f>
        <v>79.393753823878939</v>
      </c>
      <c r="K8" s="117" t="str">
        <f>IF(J8&lt;=80,"A",IF(J8&lt;=95,"B","C"))</f>
        <v>A</v>
      </c>
      <c r="L8" s="172">
        <f>H8/I13</f>
        <v>0.79393753823878932</v>
      </c>
      <c r="M8" s="194">
        <f>F8/2</f>
        <v>23519.505000000001</v>
      </c>
    </row>
    <row r="9" spans="1:13" ht="26.25" customHeight="1">
      <c r="A9" s="121">
        <v>94273</v>
      </c>
      <c r="B9" s="122" t="s">
        <v>151</v>
      </c>
      <c r="C9" s="121" t="s">
        <v>128</v>
      </c>
      <c r="D9" s="121" t="s">
        <v>134</v>
      </c>
      <c r="E9" s="121" t="s">
        <v>39</v>
      </c>
      <c r="F9" s="191">
        <f>SUM('Planilha Orçamentária SEM Des'!E15,'Planilha Orçamentária SEM Des'!E21,'Planilha Orçamentária SEM Des'!E28,'Planilha Orçamentária SEM Des'!E34,'Planilha Orçamentária SEM Des'!E40,'Planilha Orçamentária SEM Des'!E46,'Planilha Orçamentária SEM Des'!E53,'Planilha Orçamentária SEM Des'!E60,'Planilha Orçamentária SEM Des'!E67,'Planilha Orçamentária SEM Des'!E73,'Planilha Orçamentária SEM Des'!E80,'Planilha Orçamentária SEM Des'!E86)</f>
        <v>16169.77</v>
      </c>
      <c r="G9" s="123">
        <f>'Planilha Orçamentária SEM Des'!H15</f>
        <v>65.239999999999995</v>
      </c>
      <c r="H9" s="123">
        <f>ROUND(F9*G9,2)</f>
        <v>1054915.79</v>
      </c>
      <c r="I9" s="124">
        <f>H9 / VALOR_TOTAL * 100</f>
        <v>17.919850121697387</v>
      </c>
      <c r="J9" s="124">
        <f>I9+J8</f>
        <v>97.313603945576318</v>
      </c>
      <c r="K9" s="121" t="str">
        <f>IF(J9&lt;=80,"A",IF(J9&lt;=95,"B","C"))</f>
        <v>C</v>
      </c>
      <c r="L9" s="172">
        <f>H9/I13</f>
        <v>0.17919850121697387</v>
      </c>
      <c r="M9" s="194">
        <f>F9/2</f>
        <v>8084.8850000000002</v>
      </c>
    </row>
    <row r="10" spans="1:13" ht="15.6">
      <c r="A10" s="121" t="s">
        <v>261</v>
      </c>
      <c r="B10" s="122" t="s">
        <v>262</v>
      </c>
      <c r="C10" s="121" t="s">
        <v>359</v>
      </c>
      <c r="D10" s="121" t="s">
        <v>134</v>
      </c>
      <c r="E10" s="121" t="s">
        <v>36</v>
      </c>
      <c r="F10" s="191">
        <f>'Planilha Orçamentária SEM Des'!E9</f>
        <v>1</v>
      </c>
      <c r="G10" s="123">
        <f>'Planilha Orçamentária SEM Des'!H9</f>
        <v>129722.93</v>
      </c>
      <c r="H10" s="123">
        <f>ROUND(F10*G10,2)</f>
        <v>129722.93</v>
      </c>
      <c r="I10" s="124">
        <f>H10 / VALOR_TOTAL * 100</f>
        <v>2.2036028704693496</v>
      </c>
      <c r="J10" s="124">
        <f>I10+J9</f>
        <v>99.517206816045672</v>
      </c>
      <c r="K10" s="121" t="str">
        <f>IF(J10&lt;=80,"A",IF(J10&lt;=95,"B","C"))</f>
        <v>C</v>
      </c>
      <c r="L10" s="172">
        <f>H10/I13</f>
        <v>2.2036028704693494E-2</v>
      </c>
    </row>
    <row r="11" spans="1:13" ht="39">
      <c r="A11" s="121" t="s">
        <v>264</v>
      </c>
      <c r="B11" s="122" t="str">
        <f>'Planilha Orçamentária SEM Des'!C18</f>
        <v>COLOCAÇÃO DE PLACA DE IDENTIFICAÇÃO DE RUAS, TIPO TOTEM, COMPOSTO POR TUBO DE AÇO GALVANIZADO COM DIÂMETRO 2" E H=2,50M COM 2 PLACAS EM CHAPA DE AÇO, SENDO UMA COM DIMENSÕES DE 45,00 X 20,00 CM E UMA COM DIMENSÕES DE 45,00 X 45,00 CM, REVESTIDAS COM PELÍCULA RETROREFLETIVA, INCLUÍNDO O CHUMBAMENTO DO TUBO NO SOLO COM CONCRETO SIMPLES FCK=25MPA, COM FORNECIMENTO DE MATERIAIS (UN)</v>
      </c>
      <c r="C11" s="121" t="s">
        <v>359</v>
      </c>
      <c r="D11" s="121" t="s">
        <v>134</v>
      </c>
      <c r="E11" s="121" t="s">
        <v>36</v>
      </c>
      <c r="F11" s="191">
        <f>SUM('Planilha Orçamentária SEM Des'!E18,'Planilha Orçamentária SEM Des'!E24,'Planilha Orçamentária SEM Des'!E31,'Planilha Orçamentária SEM Des'!E37,'Planilha Orçamentária SEM Des'!E43,'Planilha Orçamentária SEM Des'!E49,'Planilha Orçamentária SEM Des'!E56,'Planilha Orçamentária SEM Des'!E63,'Planilha Orçamentária SEM Des'!E70,'Planilha Orçamentária SEM Des'!E76,'Planilha Orçamentária SEM Des'!E83,'Planilha Orçamentária SEM Des'!E89)</f>
        <v>24</v>
      </c>
      <c r="G11" s="123">
        <f>'Planilha Orçamentária SEM Des'!H18</f>
        <v>1048.72</v>
      </c>
      <c r="H11" s="123">
        <f>ROUND(F11*G11,2)</f>
        <v>25169.279999999999</v>
      </c>
      <c r="I11" s="124">
        <f>H11 / VALOR_TOTAL * 100</f>
        <v>0.42755045430786048</v>
      </c>
      <c r="J11" s="124">
        <f>I11+J10</f>
        <v>99.944757270353534</v>
      </c>
      <c r="K11" s="121" t="str">
        <f>IF(J11&lt;=80,"A",IF(J11&lt;=95,"B","C"))</f>
        <v>C</v>
      </c>
      <c r="L11" s="172">
        <f>H11/I13</f>
        <v>4.2755045430786049E-3</v>
      </c>
    </row>
    <row r="12" spans="1:13" ht="15.6">
      <c r="A12" s="121">
        <v>103689</v>
      </c>
      <c r="B12" s="122" t="s">
        <v>100</v>
      </c>
      <c r="C12" s="121" t="s">
        <v>128</v>
      </c>
      <c r="D12" s="121" t="s">
        <v>134</v>
      </c>
      <c r="E12" s="121" t="s">
        <v>35</v>
      </c>
      <c r="F12" s="191">
        <f>'Planilha Orçamentária SEM Des'!E11</f>
        <v>5.63</v>
      </c>
      <c r="G12" s="123">
        <f>'Planilha Orçamentária SEM Des'!H11</f>
        <v>577.63</v>
      </c>
      <c r="H12" s="123">
        <f t="shared" ref="H12" si="0">ROUND(F12*G12,2)</f>
        <v>3252.06</v>
      </c>
      <c r="I12" s="124">
        <f>H12 / VALOR_TOTAL * 100</f>
        <v>5.5242729646474628E-2</v>
      </c>
      <c r="J12" s="124">
        <f>I12+J11</f>
        <v>100.00000000000001</v>
      </c>
      <c r="K12" s="121" t="str">
        <f>IF(J12&lt;=80,"A",IF(J12&lt;=95,"B","C"))</f>
        <v>C</v>
      </c>
      <c r="L12" s="172">
        <f>H12/I13</f>
        <v>5.5242729646474628E-4</v>
      </c>
    </row>
    <row r="13" spans="1:13" ht="18" customHeight="1">
      <c r="A13" s="127"/>
      <c r="B13" s="127"/>
      <c r="C13" s="127"/>
      <c r="D13" s="127"/>
      <c r="E13" s="127"/>
      <c r="F13" s="127"/>
      <c r="G13" s="429" t="str">
        <f>"Subtotal até "&amp;TRUNC(J12,2)&amp;"%"</f>
        <v>Subtotal até 100%</v>
      </c>
      <c r="H13" s="429"/>
      <c r="I13" s="430">
        <f>SUM(H8:H12)</f>
        <v>5886856.0999999996</v>
      </c>
      <c r="J13" s="430"/>
      <c r="K13" s="430"/>
    </row>
    <row r="14" spans="1:13" ht="18" customHeight="1">
      <c r="A14" s="127"/>
      <c r="B14" s="127"/>
      <c r="C14" s="127"/>
      <c r="D14" s="127"/>
      <c r="E14" s="127"/>
      <c r="F14" s="127"/>
      <c r="G14" s="429" t="s">
        <v>235</v>
      </c>
      <c r="H14" s="429"/>
      <c r="I14" s="430">
        <f>I15-I13</f>
        <v>0</v>
      </c>
      <c r="J14" s="430"/>
      <c r="K14" s="430"/>
    </row>
    <row r="15" spans="1:13" ht="18" customHeight="1">
      <c r="A15" s="127"/>
      <c r="B15" s="127"/>
      <c r="C15" s="127"/>
      <c r="D15" s="127"/>
      <c r="E15" s="127"/>
      <c r="F15" s="127"/>
      <c r="G15" s="429" t="s">
        <v>228</v>
      </c>
      <c r="H15" s="429"/>
      <c r="I15" s="430">
        <f>'Planilha Orçamentária SEM Des'!I90</f>
        <v>5886856.0999999996</v>
      </c>
      <c r="J15" s="430"/>
      <c r="K15" s="430"/>
    </row>
    <row r="16" spans="1:13" ht="88.5" customHeight="1">
      <c r="A16" s="412"/>
      <c r="B16" s="412"/>
      <c r="C16" s="412"/>
      <c r="D16" s="412"/>
      <c r="E16" s="412"/>
      <c r="F16" s="412"/>
      <c r="G16" s="412"/>
      <c r="H16" s="412"/>
      <c r="I16" s="412"/>
      <c r="J16" s="412"/>
      <c r="K16" s="412"/>
    </row>
  </sheetData>
  <mergeCells count="14">
    <mergeCell ref="A16:K16"/>
    <mergeCell ref="G15:H15"/>
    <mergeCell ref="I15:K15"/>
    <mergeCell ref="A1:C2"/>
    <mergeCell ref="D1:K1"/>
    <mergeCell ref="D2:K2"/>
    <mergeCell ref="D3:K3"/>
    <mergeCell ref="D4:K4"/>
    <mergeCell ref="D5:K5"/>
    <mergeCell ref="A6:K6"/>
    <mergeCell ref="G13:H13"/>
    <mergeCell ref="I13:K13"/>
    <mergeCell ref="G14:H14"/>
    <mergeCell ref="I14:K14"/>
  </mergeCells>
  <pageMargins left="1.1023622047244095" right="0.70866141732283472" top="0.74803149606299213" bottom="0.74803149606299213" header="0.31496062992125984" footer="0.31496062992125984"/>
  <pageSetup paperSize="9" scale="87"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sheetPr>
  <dimension ref="A1:H45"/>
  <sheetViews>
    <sheetView view="pageBreakPreview" topLeftCell="A34" zoomScaleNormal="100" zoomScaleSheetLayoutView="100" workbookViewId="0">
      <selection activeCell="F44" sqref="F44"/>
    </sheetView>
  </sheetViews>
  <sheetFormatPr defaultColWidth="9.109375" defaultRowHeight="14.4"/>
  <cols>
    <col min="1" max="1" width="14.33203125" style="100" customWidth="1"/>
    <col min="2" max="2" width="33.6640625" style="100" customWidth="1"/>
    <col min="3" max="3" width="15.109375" style="100" customWidth="1"/>
    <col min="4" max="4" width="15" style="100" customWidth="1"/>
    <col min="5" max="5" width="15.5546875" style="100" customWidth="1"/>
    <col min="6" max="6" width="20" style="100" customWidth="1"/>
    <col min="7" max="16384" width="9.109375" style="82"/>
  </cols>
  <sheetData>
    <row r="1" spans="1:8">
      <c r="A1" s="435"/>
      <c r="B1" s="435"/>
      <c r="C1" s="435"/>
      <c r="D1" s="436" t="s">
        <v>0</v>
      </c>
      <c r="E1" s="436"/>
      <c r="F1" s="436"/>
    </row>
    <row r="2" spans="1:8" ht="84.6" customHeight="1">
      <c r="A2" s="435"/>
      <c r="B2" s="435"/>
      <c r="C2" s="435"/>
      <c r="D2" s="433" t="s">
        <v>360</v>
      </c>
      <c r="E2" s="433"/>
      <c r="F2" s="433"/>
    </row>
    <row r="3" spans="1:8" ht="33.75" customHeight="1">
      <c r="A3" s="83" t="s">
        <v>117</v>
      </c>
      <c r="B3" s="437" t="s">
        <v>248</v>
      </c>
      <c r="C3" s="437"/>
      <c r="D3" s="81" t="s">
        <v>2</v>
      </c>
      <c r="E3" s="434" t="s">
        <v>249</v>
      </c>
      <c r="F3" s="434"/>
      <c r="G3" s="101"/>
      <c r="H3" s="101"/>
    </row>
    <row r="4" spans="1:8" ht="30.75" customHeight="1">
      <c r="A4" s="83" t="s">
        <v>118</v>
      </c>
      <c r="B4" s="416" t="s">
        <v>1</v>
      </c>
      <c r="C4" s="416"/>
      <c r="D4" s="81" t="s">
        <v>3</v>
      </c>
      <c r="E4" s="434" t="s">
        <v>495</v>
      </c>
      <c r="F4" s="434"/>
      <c r="G4" s="101"/>
      <c r="H4" s="101"/>
    </row>
    <row r="5" spans="1:8" ht="52.5" customHeight="1">
      <c r="A5" s="84" t="s">
        <v>119</v>
      </c>
      <c r="B5" s="442">
        <v>46001</v>
      </c>
      <c r="C5" s="443"/>
      <c r="D5" s="81" t="s">
        <v>120</v>
      </c>
      <c r="E5" s="434" t="s">
        <v>512</v>
      </c>
      <c r="F5" s="434"/>
      <c r="G5" s="102"/>
      <c r="H5" s="102"/>
    </row>
    <row r="6" spans="1:8">
      <c r="A6" s="444"/>
      <c r="B6" s="444"/>
      <c r="C6" s="444"/>
      <c r="D6" s="444"/>
      <c r="E6" s="444"/>
      <c r="F6" s="444"/>
    </row>
    <row r="7" spans="1:8">
      <c r="A7" s="445" t="s">
        <v>159</v>
      </c>
      <c r="B7" s="445"/>
      <c r="C7" s="445"/>
      <c r="D7" s="445"/>
      <c r="E7" s="445"/>
      <c r="F7" s="445"/>
    </row>
    <row r="8" spans="1:8" ht="15.6" customHeight="1">
      <c r="A8" s="446" t="s">
        <v>160</v>
      </c>
      <c r="B8" s="446" t="s">
        <v>10</v>
      </c>
      <c r="C8" s="438" t="s">
        <v>161</v>
      </c>
      <c r="D8" s="438"/>
      <c r="E8" s="438" t="s">
        <v>162</v>
      </c>
      <c r="F8" s="438"/>
    </row>
    <row r="9" spans="1:8">
      <c r="A9" s="447"/>
      <c r="B9" s="447"/>
      <c r="C9" s="85" t="s">
        <v>163</v>
      </c>
      <c r="D9" s="85" t="s">
        <v>164</v>
      </c>
      <c r="E9" s="85" t="s">
        <v>163</v>
      </c>
      <c r="F9" s="85" t="s">
        <v>164</v>
      </c>
    </row>
    <row r="10" spans="1:8">
      <c r="A10" s="448" t="s">
        <v>165</v>
      </c>
      <c r="B10" s="448"/>
      <c r="C10" s="448"/>
      <c r="D10" s="448"/>
      <c r="E10" s="448"/>
      <c r="F10" s="448"/>
    </row>
    <row r="11" spans="1:8">
      <c r="A11" s="86" t="s">
        <v>166</v>
      </c>
      <c r="B11" s="87" t="s">
        <v>167</v>
      </c>
      <c r="C11" s="88">
        <v>0.05</v>
      </c>
      <c r="D11" s="88">
        <v>0.05</v>
      </c>
      <c r="E11" s="89">
        <v>0.2</v>
      </c>
      <c r="F11" s="89">
        <v>0.2</v>
      </c>
    </row>
    <row r="12" spans="1:8">
      <c r="A12" s="86" t="s">
        <v>168</v>
      </c>
      <c r="B12" s="87" t="s">
        <v>169</v>
      </c>
      <c r="C12" s="89">
        <v>1.4999999999999999E-2</v>
      </c>
      <c r="D12" s="89">
        <v>1.4999999999999999E-2</v>
      </c>
      <c r="E12" s="89">
        <v>1.4999999999999999E-2</v>
      </c>
      <c r="F12" s="89">
        <v>1.4999999999999999E-2</v>
      </c>
    </row>
    <row r="13" spans="1:8">
      <c r="A13" s="86" t="s">
        <v>170</v>
      </c>
      <c r="B13" s="87" t="s">
        <v>171</v>
      </c>
      <c r="C13" s="89">
        <v>0.01</v>
      </c>
      <c r="D13" s="89">
        <v>0.01</v>
      </c>
      <c r="E13" s="89">
        <v>0.01</v>
      </c>
      <c r="F13" s="89">
        <v>0.01</v>
      </c>
    </row>
    <row r="14" spans="1:8">
      <c r="A14" s="86" t="s">
        <v>172</v>
      </c>
      <c r="B14" s="87" t="s">
        <v>173</v>
      </c>
      <c r="C14" s="89">
        <v>2E-3</v>
      </c>
      <c r="D14" s="89">
        <v>2E-3</v>
      </c>
      <c r="E14" s="89">
        <v>2E-3</v>
      </c>
      <c r="F14" s="89">
        <v>2E-3</v>
      </c>
    </row>
    <row r="15" spans="1:8">
      <c r="A15" s="86" t="s">
        <v>174</v>
      </c>
      <c r="B15" s="87" t="s">
        <v>175</v>
      </c>
      <c r="C15" s="89">
        <v>6.0000000000000001E-3</v>
      </c>
      <c r="D15" s="89">
        <v>6.0000000000000001E-3</v>
      </c>
      <c r="E15" s="89">
        <v>6.0000000000000001E-3</v>
      </c>
      <c r="F15" s="89">
        <v>6.0000000000000001E-3</v>
      </c>
    </row>
    <row r="16" spans="1:8">
      <c r="A16" s="86" t="s">
        <v>176</v>
      </c>
      <c r="B16" s="87" t="s">
        <v>177</v>
      </c>
      <c r="C16" s="89">
        <v>2.5000000000000001E-2</v>
      </c>
      <c r="D16" s="89">
        <v>2.5000000000000001E-2</v>
      </c>
      <c r="E16" s="89">
        <v>2.5000000000000001E-2</v>
      </c>
      <c r="F16" s="89">
        <v>2.5000000000000001E-2</v>
      </c>
    </row>
    <row r="17" spans="1:6">
      <c r="A17" s="86" t="s">
        <v>178</v>
      </c>
      <c r="B17" s="87" t="s">
        <v>179</v>
      </c>
      <c r="C17" s="89">
        <v>0.03</v>
      </c>
      <c r="D17" s="89">
        <v>0.03</v>
      </c>
      <c r="E17" s="89">
        <v>0.03</v>
      </c>
      <c r="F17" s="89">
        <v>0.03</v>
      </c>
    </row>
    <row r="18" spans="1:6">
      <c r="A18" s="86" t="s">
        <v>180</v>
      </c>
      <c r="B18" s="87" t="s">
        <v>181</v>
      </c>
      <c r="C18" s="89">
        <v>0.08</v>
      </c>
      <c r="D18" s="89">
        <v>0.08</v>
      </c>
      <c r="E18" s="89">
        <v>0.08</v>
      </c>
      <c r="F18" s="89">
        <v>0.08</v>
      </c>
    </row>
    <row r="19" spans="1:6">
      <c r="A19" s="86" t="s">
        <v>182</v>
      </c>
      <c r="B19" s="87" t="s">
        <v>183</v>
      </c>
      <c r="C19" s="88">
        <v>0</v>
      </c>
      <c r="D19" s="88">
        <v>0</v>
      </c>
      <c r="E19" s="88">
        <v>0</v>
      </c>
      <c r="F19" s="88">
        <v>0</v>
      </c>
    </row>
    <row r="20" spans="1:6">
      <c r="A20" s="90" t="s">
        <v>184</v>
      </c>
      <c r="B20" s="90" t="s">
        <v>185</v>
      </c>
      <c r="C20" s="91">
        <f>SUM(C11:C19)</f>
        <v>0.21800000000000003</v>
      </c>
      <c r="D20" s="91">
        <f>SUM(D11:D19)</f>
        <v>0.21800000000000003</v>
      </c>
      <c r="E20" s="91">
        <f>SUM(E11:E19)</f>
        <v>0.36800000000000005</v>
      </c>
      <c r="F20" s="91">
        <f>SUM(F11:F19)</f>
        <v>0.36800000000000005</v>
      </c>
    </row>
    <row r="21" spans="1:6">
      <c r="A21" s="448" t="s">
        <v>186</v>
      </c>
      <c r="B21" s="448"/>
      <c r="C21" s="448"/>
      <c r="D21" s="448"/>
      <c r="E21" s="448"/>
      <c r="F21" s="448"/>
    </row>
    <row r="22" spans="1:6">
      <c r="A22" s="86" t="s">
        <v>187</v>
      </c>
      <c r="B22" s="87" t="s">
        <v>188</v>
      </c>
      <c r="C22" s="89">
        <v>0.18010000000000001</v>
      </c>
      <c r="D22" s="92" t="s">
        <v>189</v>
      </c>
      <c r="E22" s="89">
        <v>0.18010000000000001</v>
      </c>
      <c r="F22" s="92" t="s">
        <v>189</v>
      </c>
    </row>
    <row r="23" spans="1:6">
      <c r="A23" s="86" t="s">
        <v>190</v>
      </c>
      <c r="B23" s="87" t="s">
        <v>191</v>
      </c>
      <c r="C23" s="89">
        <v>4.3200000000000002E-2</v>
      </c>
      <c r="D23" s="92" t="s">
        <v>189</v>
      </c>
      <c r="E23" s="89">
        <v>4.3200000000000002E-2</v>
      </c>
      <c r="F23" s="92" t="s">
        <v>189</v>
      </c>
    </row>
    <row r="24" spans="1:6">
      <c r="A24" s="86" t="s">
        <v>192</v>
      </c>
      <c r="B24" s="87" t="s">
        <v>193</v>
      </c>
      <c r="C24" s="89">
        <v>8.6E-3</v>
      </c>
      <c r="D24" s="89">
        <v>6.4999999999999997E-3</v>
      </c>
      <c r="E24" s="89">
        <v>8.6E-3</v>
      </c>
      <c r="F24" s="89">
        <v>6.4999999999999997E-3</v>
      </c>
    </row>
    <row r="25" spans="1:6">
      <c r="A25" s="86" t="s">
        <v>194</v>
      </c>
      <c r="B25" s="87" t="s">
        <v>195</v>
      </c>
      <c r="C25" s="93">
        <v>0.10970000000000001</v>
      </c>
      <c r="D25" s="93">
        <v>8.3299999999999999E-2</v>
      </c>
      <c r="E25" s="93">
        <v>0.10970000000000001</v>
      </c>
      <c r="F25" s="89">
        <v>8.3299999999999999E-2</v>
      </c>
    </row>
    <row r="26" spans="1:6">
      <c r="A26" s="86" t="s">
        <v>196</v>
      </c>
      <c r="B26" s="87" t="s">
        <v>197</v>
      </c>
      <c r="C26" s="89">
        <v>6.9999999999999999E-4</v>
      </c>
      <c r="D26" s="89">
        <v>5.0000000000000001E-4</v>
      </c>
      <c r="E26" s="89">
        <v>6.9999999999999999E-4</v>
      </c>
      <c r="F26" s="89">
        <v>5.0000000000000001E-4</v>
      </c>
    </row>
    <row r="27" spans="1:6" ht="14.4" customHeight="1">
      <c r="A27" s="86" t="s">
        <v>198</v>
      </c>
      <c r="B27" s="87" t="s">
        <v>199</v>
      </c>
      <c r="C27" s="93">
        <v>7.3000000000000001E-3</v>
      </c>
      <c r="D27" s="93">
        <v>5.5999999999999999E-3</v>
      </c>
      <c r="E27" s="93">
        <v>7.3000000000000001E-3</v>
      </c>
      <c r="F27" s="93">
        <v>5.5999999999999999E-3</v>
      </c>
    </row>
    <row r="28" spans="1:6" ht="14.4" customHeight="1">
      <c r="A28" s="86" t="s">
        <v>200</v>
      </c>
      <c r="B28" s="87" t="s">
        <v>201</v>
      </c>
      <c r="C28" s="89">
        <v>1.9599999999999999E-2</v>
      </c>
      <c r="D28" s="92" t="s">
        <v>189</v>
      </c>
      <c r="E28" s="89">
        <v>1.9599999999999999E-2</v>
      </c>
      <c r="F28" s="92" t="s">
        <v>189</v>
      </c>
    </row>
    <row r="29" spans="1:6" ht="14.4" customHeight="1">
      <c r="A29" s="86" t="s">
        <v>202</v>
      </c>
      <c r="B29" s="87" t="s">
        <v>203</v>
      </c>
      <c r="C29" s="89">
        <v>1E-3</v>
      </c>
      <c r="D29" s="89">
        <v>6.9999999999999999E-4</v>
      </c>
      <c r="E29" s="89">
        <v>1E-3</v>
      </c>
      <c r="F29" s="89">
        <v>6.9999999999999999E-4</v>
      </c>
    </row>
    <row r="30" spans="1:6" ht="14.4" customHeight="1">
      <c r="A30" s="86" t="s">
        <v>204</v>
      </c>
      <c r="B30" s="87" t="s">
        <v>205</v>
      </c>
      <c r="C30" s="89">
        <v>9.9500000000000005E-2</v>
      </c>
      <c r="D30" s="89">
        <v>7.5600000000000001E-2</v>
      </c>
      <c r="E30" s="89">
        <v>9.9500000000000005E-2</v>
      </c>
      <c r="F30" s="89">
        <v>7.5600000000000001E-2</v>
      </c>
    </row>
    <row r="31" spans="1:6" ht="14.4" customHeight="1">
      <c r="A31" s="86" t="s">
        <v>206</v>
      </c>
      <c r="B31" s="87" t="s">
        <v>207</v>
      </c>
      <c r="C31" s="89">
        <v>2.9999999999999997E-4</v>
      </c>
      <c r="D31" s="89">
        <v>2.9999999999999997E-4</v>
      </c>
      <c r="E31" s="89">
        <v>2.9999999999999997E-4</v>
      </c>
      <c r="F31" s="89">
        <v>2.9999999999999997E-4</v>
      </c>
    </row>
    <row r="32" spans="1:6">
      <c r="A32" s="90" t="s">
        <v>208</v>
      </c>
      <c r="B32" s="90" t="s">
        <v>185</v>
      </c>
      <c r="C32" s="94">
        <f>SUM(C22:C31)</f>
        <v>0.47000000000000003</v>
      </c>
      <c r="D32" s="94">
        <f>SUM(D22:D31)</f>
        <v>0.17250000000000001</v>
      </c>
      <c r="E32" s="94">
        <f>SUM(E22:E31)</f>
        <v>0.47000000000000003</v>
      </c>
      <c r="F32" s="94">
        <f>SUM(F22:F31)</f>
        <v>0.17250000000000001</v>
      </c>
    </row>
    <row r="33" spans="1:6" ht="16.2" customHeight="1">
      <c r="A33" s="448" t="s">
        <v>209</v>
      </c>
      <c r="B33" s="448"/>
      <c r="C33" s="448"/>
      <c r="D33" s="448"/>
      <c r="E33" s="448"/>
      <c r="F33" s="448"/>
    </row>
    <row r="34" spans="1:6">
      <c r="A34" s="86" t="s">
        <v>210</v>
      </c>
      <c r="B34" s="87" t="s">
        <v>211</v>
      </c>
      <c r="C34" s="93">
        <v>4.7699999999999999E-2</v>
      </c>
      <c r="D34" s="93">
        <v>3.6299999999999999E-2</v>
      </c>
      <c r="E34" s="93">
        <v>4.7699999999999999E-2</v>
      </c>
      <c r="F34" s="93">
        <v>3.6299999999999999E-2</v>
      </c>
    </row>
    <row r="35" spans="1:6">
      <c r="A35" s="86" t="s">
        <v>212</v>
      </c>
      <c r="B35" s="87" t="s">
        <v>213</v>
      </c>
      <c r="C35" s="89">
        <v>1.1000000000000001E-3</v>
      </c>
      <c r="D35" s="89">
        <v>8.9999999999999998E-4</v>
      </c>
      <c r="E35" s="89">
        <v>1.1000000000000001E-3</v>
      </c>
      <c r="F35" s="89">
        <v>8.9999999999999998E-4</v>
      </c>
    </row>
    <row r="36" spans="1:6">
      <c r="A36" s="86" t="s">
        <v>214</v>
      </c>
      <c r="B36" s="87" t="s">
        <v>215</v>
      </c>
      <c r="C36" s="93">
        <v>3.9800000000000002E-2</v>
      </c>
      <c r="D36" s="93">
        <v>3.0300000000000001E-2</v>
      </c>
      <c r="E36" s="93">
        <v>3.9800000000000002E-2</v>
      </c>
      <c r="F36" s="93">
        <v>3.0300000000000001E-2</v>
      </c>
    </row>
    <row r="37" spans="1:6">
      <c r="A37" s="86" t="s">
        <v>216</v>
      </c>
      <c r="B37" s="87" t="s">
        <v>217</v>
      </c>
      <c r="C37" s="93">
        <v>3.0599999999999999E-2</v>
      </c>
      <c r="D37" s="93">
        <v>2.3300000000000001E-2</v>
      </c>
      <c r="E37" s="93">
        <v>3.0599999999999999E-2</v>
      </c>
      <c r="F37" s="93">
        <v>2.3300000000000001E-2</v>
      </c>
    </row>
    <row r="38" spans="1:6">
      <c r="A38" s="86" t="s">
        <v>218</v>
      </c>
      <c r="B38" s="87" t="s">
        <v>219</v>
      </c>
      <c r="C38" s="93">
        <v>4.0000000000000001E-3</v>
      </c>
      <c r="D38" s="89">
        <v>3.0999999999999999E-3</v>
      </c>
      <c r="E38" s="89">
        <v>4.0000000000000001E-3</v>
      </c>
      <c r="F38" s="89">
        <v>3.0999999999999999E-3</v>
      </c>
    </row>
    <row r="39" spans="1:6">
      <c r="A39" s="90" t="s">
        <v>220</v>
      </c>
      <c r="B39" s="90" t="s">
        <v>185</v>
      </c>
      <c r="C39" s="94">
        <f>SUM(C34:C38)</f>
        <v>0.1232</v>
      </c>
      <c r="D39" s="94">
        <f>SUM(D34:D38)</f>
        <v>9.3900000000000011E-2</v>
      </c>
      <c r="E39" s="94">
        <f>SUM(E34:E38)</f>
        <v>0.1232</v>
      </c>
      <c r="F39" s="94">
        <f>SUM(F34:F38)</f>
        <v>9.3900000000000011E-2</v>
      </c>
    </row>
    <row r="40" spans="1:6">
      <c r="A40" s="448" t="s">
        <v>221</v>
      </c>
      <c r="B40" s="448"/>
      <c r="C40" s="448"/>
      <c r="D40" s="448"/>
      <c r="E40" s="448"/>
      <c r="F40" s="448"/>
    </row>
    <row r="41" spans="1:6">
      <c r="A41" s="95" t="s">
        <v>222</v>
      </c>
      <c r="B41" s="96" t="s">
        <v>223</v>
      </c>
      <c r="C41" s="97">
        <v>9.7000000000000003E-2</v>
      </c>
      <c r="D41" s="97">
        <v>3.3399999999999999E-2</v>
      </c>
      <c r="E41" s="97">
        <v>0.17299999999999999</v>
      </c>
      <c r="F41" s="97">
        <v>6.3500000000000001E-2</v>
      </c>
    </row>
    <row r="42" spans="1:6" ht="38.4" customHeight="1">
      <c r="A42" s="95" t="s">
        <v>224</v>
      </c>
      <c r="B42" s="98" t="s">
        <v>225</v>
      </c>
      <c r="C42" s="97">
        <v>4.1000000000000003E-3</v>
      </c>
      <c r="D42" s="97">
        <v>3.0999999999999999E-3</v>
      </c>
      <c r="E42" s="97">
        <v>4.1999999999999997E-3</v>
      </c>
      <c r="F42" s="97">
        <v>3.2000000000000002E-3</v>
      </c>
    </row>
    <row r="43" spans="1:6">
      <c r="A43" s="90" t="s">
        <v>226</v>
      </c>
      <c r="B43" s="90" t="s">
        <v>185</v>
      </c>
      <c r="C43" s="94">
        <f>SUM(C41:C42)</f>
        <v>0.10110000000000001</v>
      </c>
      <c r="D43" s="94">
        <f>SUM(D41:D42)</f>
        <v>3.6499999999999998E-2</v>
      </c>
      <c r="E43" s="94">
        <f>SUM(E41:E42)</f>
        <v>0.1772</v>
      </c>
      <c r="F43" s="94">
        <f>SUM(F41:F42)</f>
        <v>6.6699999999999995E-2</v>
      </c>
    </row>
    <row r="44" spans="1:6">
      <c r="A44" s="438" t="s">
        <v>227</v>
      </c>
      <c r="B44" s="438"/>
      <c r="C44" s="99">
        <f>C20+C32+C39+C43</f>
        <v>0.9123</v>
      </c>
      <c r="D44" s="99">
        <f>D20+D32+D39+D43</f>
        <v>0.52090000000000003</v>
      </c>
      <c r="E44" s="99">
        <f>E20+E32+E39+E43</f>
        <v>1.1384000000000001</v>
      </c>
      <c r="F44" s="99">
        <f>F20+F32+F39+F43</f>
        <v>0.70110000000000006</v>
      </c>
    </row>
    <row r="45" spans="1:6" ht="110.4" customHeight="1">
      <c r="A45" s="439"/>
      <c r="B45" s="440"/>
      <c r="C45" s="440"/>
      <c r="D45" s="440"/>
      <c r="E45" s="440"/>
      <c r="F45" s="441"/>
    </row>
  </sheetData>
  <mergeCells count="21">
    <mergeCell ref="A44:B44"/>
    <mergeCell ref="A45:F45"/>
    <mergeCell ref="B5:C5"/>
    <mergeCell ref="E5:F5"/>
    <mergeCell ref="A6:F6"/>
    <mergeCell ref="A7:F7"/>
    <mergeCell ref="A8:A9"/>
    <mergeCell ref="B8:B9"/>
    <mergeCell ref="C8:D8"/>
    <mergeCell ref="E8:F8"/>
    <mergeCell ref="A10:F10"/>
    <mergeCell ref="A21:F21"/>
    <mergeCell ref="A33:F33"/>
    <mergeCell ref="A40:F40"/>
    <mergeCell ref="D2:F2"/>
    <mergeCell ref="B4:C4"/>
    <mergeCell ref="E4:F4"/>
    <mergeCell ref="A1:C2"/>
    <mergeCell ref="D1:F1"/>
    <mergeCell ref="E3:F3"/>
    <mergeCell ref="B3:C3"/>
  </mergeCells>
  <pageMargins left="0.9055118110236221" right="0.51181102362204722" top="0.78740157480314965" bottom="0.78740157480314965" header="0.31496062992125984" footer="0.31496062992125984"/>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21</vt:i4>
      </vt:variant>
    </vt:vector>
  </HeadingPairs>
  <TitlesOfParts>
    <vt:vector size="33" baseType="lpstr">
      <vt:lpstr>Planilha Resumo Comparativa</vt:lpstr>
      <vt:lpstr>Planilha Resumo</vt:lpstr>
      <vt:lpstr>Planilha Resumo por Rua</vt:lpstr>
      <vt:lpstr>Planilha Orçamentária SEM Des</vt:lpstr>
      <vt:lpstr>Composições SEM</vt:lpstr>
      <vt:lpstr>Composições AUX SEM</vt:lpstr>
      <vt:lpstr>Memória de Cálculo</vt:lpstr>
      <vt:lpstr>BDI 23,38% SEM DESONERAÇÃO</vt:lpstr>
      <vt:lpstr>BDI 24,76% COM DESONERAÇÃO</vt:lpstr>
      <vt:lpstr>Cronograma Físico-Financeiro</vt:lpstr>
      <vt:lpstr>Curva ABC</vt:lpstr>
      <vt:lpstr>Encargos Sociais </vt:lpstr>
      <vt:lpstr>'BDI 23,38% SEM DESONERAÇÃO'!Area_de_impressao</vt:lpstr>
      <vt:lpstr>'BDI 24,76% COM DESONERAÇÃO'!Area_de_impressao</vt:lpstr>
      <vt:lpstr>'Composições AUX SEM'!Area_de_impressao</vt:lpstr>
      <vt:lpstr>'Composições SEM'!Area_de_impressao</vt:lpstr>
      <vt:lpstr>'Cronograma Físico-Financeiro'!Area_de_impressao</vt:lpstr>
      <vt:lpstr>'Curva ABC'!Area_de_impressao</vt:lpstr>
      <vt:lpstr>'Encargos Sociais '!Area_de_impressao</vt:lpstr>
      <vt:lpstr>'Memória de Cálculo'!Area_de_impressao</vt:lpstr>
      <vt:lpstr>'Planilha Orçamentária SEM Des'!Area_de_impressao</vt:lpstr>
      <vt:lpstr>'Planilha Resumo'!Area_de_impressao</vt:lpstr>
      <vt:lpstr>'Planilha Resumo Comparativa'!Area_de_impressao</vt:lpstr>
      <vt:lpstr>'Planilha Resumo por Rua'!Area_de_impressao</vt:lpstr>
      <vt:lpstr>'Memória de Cálculo'!JR_PAGE_ANCHOR_0_1</vt:lpstr>
      <vt:lpstr>'Composições AUX SEM'!Titulos_de_impressao</vt:lpstr>
      <vt:lpstr>'Composições SEM'!Titulos_de_impressao</vt:lpstr>
      <vt:lpstr>'Cronograma Físico-Financeiro'!Titulos_de_impressao</vt:lpstr>
      <vt:lpstr>'Curva ABC'!Titulos_de_impressao</vt:lpstr>
      <vt:lpstr>'Memória de Cálculo'!Titulos_de_impressao</vt:lpstr>
      <vt:lpstr>'Planilha Orçamentária SEM Des'!Titulos_de_impressao</vt:lpstr>
      <vt:lpstr>'Planilha Resumo por Rua'!Titulos_de_impressao</vt:lpstr>
      <vt:lpstr>'Curva ABC'!VALOR_TOTAL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Aspose Pty Ltd</dc:creator>
  <cp:lastModifiedBy>Eristhon Hugo</cp:lastModifiedBy>
  <cp:lastPrinted>2026-02-20T11:43:14Z</cp:lastPrinted>
  <dcterms:created xsi:type="dcterms:W3CDTF">2025-07-29T18:51:27Z</dcterms:created>
  <dcterms:modified xsi:type="dcterms:W3CDTF">2026-02-20T17:59:06Z</dcterms:modified>
</cp:coreProperties>
</file>