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85b6a4da5a51c3d/Documentos/2026/PREFEITURA/ITAPIRATINS/AMPLIAÇÃO UBS/PLANILHAS/"/>
    </mc:Choice>
  </mc:AlternateContent>
  <xr:revisionPtr revIDLastSave="941" documentId="13_ncr:1_{049AD95D-3E47-496B-88A5-670AA8CE757F}" xr6:coauthVersionLast="47" xr6:coauthVersionMax="47" xr10:uidLastSave="{781AE279-52F3-48B2-97F1-C334A816BFF6}"/>
  <bookViews>
    <workbookView xWindow="-108" yWindow="-108" windowWidth="23256" windowHeight="12456" activeTab="1" xr2:uid="{00000000-000D-0000-FFFF-FFFF00000000}"/>
  </bookViews>
  <sheets>
    <sheet name="Orçamento Sintético" sheetId="1" r:id="rId1"/>
    <sheet name="MEMÓRIA CÁLCULO" sheetId="5" r:id="rId2"/>
    <sheet name="Planilha2" sheetId="4" r:id="rId3"/>
    <sheet name="Planilha1" sheetId="2" r:id="rId4"/>
    <sheet name="1ª MED" sheetId="3" r:id="rId5"/>
  </sheets>
  <externalReferences>
    <externalReference r:id="rId6"/>
    <externalReference r:id="rId7"/>
  </externalReferences>
  <definedNames>
    <definedName name="_xlnm.Print_Area" localSheetId="4">'1ª MED'!$A$1:$L$205</definedName>
    <definedName name="_xlnm.Print_Area" localSheetId="1">'MEMÓRIA CÁLCULO'!$A$1:$X$134</definedName>
    <definedName name="_xlnm.Print_Area" localSheetId="0">'Orçamento Sintético'!$A$1:$W$135</definedName>
    <definedName name="_xlnm.Print_Area" localSheetId="3">Planilha1!$A$1:$P$57</definedName>
    <definedName name="CAIXA.Modo" hidden="1">[1]BM!$A$3</definedName>
    <definedName name="Import.RegimeExecução" hidden="1">OFFSET([1]DADOS!$G$39,0,-1)</definedName>
    <definedName name="RegimeExecucao" hidden="1">IF(OR(Import.RegimeExecução="",Import.RegimeExecução="Empreitada por Preço Global",Import.RegimeExecução="Empreitada Integral"),"Global","Unitário")</definedName>
    <definedName name="_xlnm.Print_Titles" localSheetId="4">'1ª MED'!$9:$12</definedName>
    <definedName name="_xlnm.Print_Titles" localSheetId="1">'MEMÓRIA CÁLCULO'!$1:$4</definedName>
    <definedName name="_xlnm.Print_Titles" localSheetId="0">'Orçamento Sintético'!$1:$4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9" i="5" l="1"/>
  <c r="F71" i="5" s="1"/>
  <c r="F61" i="5"/>
  <c r="F60" i="5"/>
  <c r="X87" i="5"/>
  <c r="X86" i="5"/>
  <c r="X85" i="5"/>
  <c r="X73" i="5"/>
  <c r="X72" i="5"/>
  <c r="X57" i="5"/>
  <c r="X69" i="5" s="1"/>
  <c r="X71" i="5" s="1"/>
  <c r="X54" i="5"/>
  <c r="X55" i="5" s="1"/>
  <c r="X63" i="5" s="1"/>
  <c r="X64" i="5" s="1"/>
  <c r="X52" i="5"/>
  <c r="X50" i="5"/>
  <c r="X49" i="5"/>
  <c r="X51" i="5" s="1"/>
  <c r="X60" i="5" s="1"/>
  <c r="X61" i="5" s="1"/>
  <c r="X45" i="5"/>
  <c r="X44" i="5"/>
  <c r="X43" i="5"/>
  <c r="X47" i="5" s="1"/>
  <c r="X41" i="5"/>
  <c r="X39" i="5"/>
  <c r="X66" i="5" s="1"/>
  <c r="X38" i="5"/>
  <c r="X36" i="5"/>
  <c r="X35" i="5"/>
  <c r="X34" i="5"/>
  <c r="X32" i="5"/>
  <c r="X31" i="5"/>
  <c r="X30" i="5"/>
  <c r="X29" i="5"/>
  <c r="X28" i="5"/>
  <c r="X27" i="5"/>
  <c r="X26" i="5"/>
  <c r="X22" i="5"/>
  <c r="X23" i="5" s="1"/>
  <c r="X20" i="5"/>
  <c r="X19" i="5"/>
  <c r="X18" i="5"/>
  <c r="X17" i="5"/>
  <c r="X16" i="5"/>
  <c r="X15" i="5"/>
  <c r="X14" i="5"/>
  <c r="X13" i="5"/>
  <c r="X11" i="5"/>
  <c r="X9" i="5"/>
  <c r="Y44" i="5"/>
  <c r="Y43" i="5"/>
  <c r="AC132" i="5"/>
  <c r="AC131" i="5"/>
  <c r="AC130" i="5"/>
  <c r="AC129" i="5"/>
  <c r="H129" i="5"/>
  <c r="Q129" i="5" s="1"/>
  <c r="AC128" i="5"/>
  <c r="H128" i="5"/>
  <c r="W128" i="5" s="1"/>
  <c r="AC127" i="5"/>
  <c r="H127" i="5"/>
  <c r="F127" i="5"/>
  <c r="AC126" i="5"/>
  <c r="H126" i="5"/>
  <c r="W126" i="5" s="1"/>
  <c r="AC125" i="5"/>
  <c r="U125" i="5"/>
  <c r="I125" i="5"/>
  <c r="J125" i="5" s="1"/>
  <c r="H125" i="5"/>
  <c r="W125" i="5" s="1"/>
  <c r="AC124" i="5"/>
  <c r="H124" i="5"/>
  <c r="W124" i="5" s="1"/>
  <c r="F124" i="5"/>
  <c r="AC123" i="5"/>
  <c r="U123" i="5"/>
  <c r="S123" i="5"/>
  <c r="M123" i="5"/>
  <c r="H123" i="5"/>
  <c r="Q123" i="5" s="1"/>
  <c r="F123" i="5"/>
  <c r="AC122" i="5"/>
  <c r="H122" i="5"/>
  <c r="W122" i="5" s="1"/>
  <c r="F122" i="5"/>
  <c r="I122" i="5" s="1"/>
  <c r="J122" i="5" s="1"/>
  <c r="AC121" i="5"/>
  <c r="Q121" i="5"/>
  <c r="H121" i="5"/>
  <c r="M121" i="5" s="1"/>
  <c r="F121" i="5"/>
  <c r="AC120" i="5"/>
  <c r="H120" i="5"/>
  <c r="F120" i="5"/>
  <c r="AC119" i="5"/>
  <c r="H119" i="5"/>
  <c r="W119" i="5" s="1"/>
  <c r="F119" i="5"/>
  <c r="AC118" i="5"/>
  <c r="H118" i="5"/>
  <c r="O118" i="5" s="1"/>
  <c r="F118" i="5"/>
  <c r="AC117" i="5"/>
  <c r="H117" i="5"/>
  <c r="W117" i="5" s="1"/>
  <c r="F117" i="5"/>
  <c r="AC116" i="5"/>
  <c r="H116" i="5"/>
  <c r="F116" i="5"/>
  <c r="AC115" i="5"/>
  <c r="H115" i="5"/>
  <c r="F115" i="5"/>
  <c r="AC114" i="5"/>
  <c r="O114" i="5"/>
  <c r="H114" i="5"/>
  <c r="F114" i="5"/>
  <c r="AC113" i="5"/>
  <c r="H113" i="5"/>
  <c r="Q113" i="5" s="1"/>
  <c r="F113" i="5"/>
  <c r="AC112" i="5"/>
  <c r="H112" i="5"/>
  <c r="W112" i="5" s="1"/>
  <c r="F112" i="5"/>
  <c r="AC111" i="5"/>
  <c r="H111" i="5"/>
  <c r="M111" i="5" s="1"/>
  <c r="F111" i="5"/>
  <c r="I111" i="5" s="1"/>
  <c r="J111" i="5" s="1"/>
  <c r="AC110" i="5"/>
  <c r="H110" i="5"/>
  <c r="F110" i="5"/>
  <c r="AC109" i="5"/>
  <c r="H109" i="5"/>
  <c r="W109" i="5" s="1"/>
  <c r="F109" i="5"/>
  <c r="AC108" i="5"/>
  <c r="H108" i="5"/>
  <c r="O108" i="5" s="1"/>
  <c r="F108" i="5"/>
  <c r="AC107" i="5"/>
  <c r="H107" i="5"/>
  <c r="W107" i="5" s="1"/>
  <c r="F107" i="5"/>
  <c r="AC106" i="5"/>
  <c r="H106" i="5"/>
  <c r="O106" i="5" s="1"/>
  <c r="F106" i="5"/>
  <c r="AC105" i="5"/>
  <c r="H105" i="5"/>
  <c r="Q105" i="5" s="1"/>
  <c r="F105" i="5"/>
  <c r="AC104" i="5"/>
  <c r="H104" i="5"/>
  <c r="W104" i="5" s="1"/>
  <c r="F104" i="5"/>
  <c r="AC103" i="5"/>
  <c r="H103" i="5"/>
  <c r="M103" i="5" s="1"/>
  <c r="F103" i="5"/>
  <c r="I103" i="5" s="1"/>
  <c r="J103" i="5" s="1"/>
  <c r="AC102" i="5"/>
  <c r="H102" i="5"/>
  <c r="W102" i="5" s="1"/>
  <c r="F102" i="5"/>
  <c r="AC101" i="5"/>
  <c r="H101" i="5"/>
  <c r="W101" i="5" s="1"/>
  <c r="F101" i="5"/>
  <c r="AC100" i="5"/>
  <c r="U100" i="5"/>
  <c r="H100" i="5"/>
  <c r="O100" i="5" s="1"/>
  <c r="F100" i="5"/>
  <c r="I100" i="5" s="1"/>
  <c r="J100" i="5" s="1"/>
  <c r="AC99" i="5"/>
  <c r="H99" i="5"/>
  <c r="W99" i="5" s="1"/>
  <c r="F99" i="5"/>
  <c r="AC98" i="5"/>
  <c r="H98" i="5"/>
  <c r="F98" i="5"/>
  <c r="AC97" i="5"/>
  <c r="H97" i="5"/>
  <c r="Q97" i="5" s="1"/>
  <c r="F97" i="5"/>
  <c r="AC96" i="5"/>
  <c r="H96" i="5"/>
  <c r="W96" i="5" s="1"/>
  <c r="F96" i="5"/>
  <c r="AC95" i="5"/>
  <c r="H95" i="5"/>
  <c r="F95" i="5"/>
  <c r="AC94" i="5"/>
  <c r="H94" i="5"/>
  <c r="W94" i="5" s="1"/>
  <c r="F94" i="5"/>
  <c r="AC93" i="5"/>
  <c r="H93" i="5"/>
  <c r="M93" i="5" s="1"/>
  <c r="F93" i="5"/>
  <c r="I93" i="5" s="1"/>
  <c r="J93" i="5" s="1"/>
  <c r="AC92" i="5"/>
  <c r="H92" i="5"/>
  <c r="W92" i="5" s="1"/>
  <c r="F92" i="5"/>
  <c r="AC91" i="5"/>
  <c r="H91" i="5"/>
  <c r="W91" i="5" s="1"/>
  <c r="F91" i="5"/>
  <c r="AC90" i="5"/>
  <c r="H90" i="5"/>
  <c r="O90" i="5" s="1"/>
  <c r="F90" i="5"/>
  <c r="AC89" i="5"/>
  <c r="H89" i="5"/>
  <c r="W89" i="5" s="1"/>
  <c r="F89" i="5"/>
  <c r="I89" i="5" s="1"/>
  <c r="J89" i="5" s="1"/>
  <c r="AC88" i="5"/>
  <c r="H88" i="5"/>
  <c r="O88" i="5" s="1"/>
  <c r="F88" i="5"/>
  <c r="AC87" i="5"/>
  <c r="H87" i="5"/>
  <c r="W87" i="5" s="1"/>
  <c r="F87" i="5"/>
  <c r="AC86" i="5"/>
  <c r="H86" i="5"/>
  <c r="F86" i="5"/>
  <c r="AC85" i="5"/>
  <c r="H85" i="5"/>
  <c r="W85" i="5" s="1"/>
  <c r="F85" i="5"/>
  <c r="AC84" i="5"/>
  <c r="H84" i="5"/>
  <c r="AC83" i="5"/>
  <c r="H83" i="5"/>
  <c r="AC82" i="5"/>
  <c r="H82" i="5"/>
  <c r="I82" i="5" s="1"/>
  <c r="J82" i="5" s="1"/>
  <c r="AC81" i="5"/>
  <c r="H81" i="5"/>
  <c r="W81" i="5" s="1"/>
  <c r="AC80" i="5"/>
  <c r="H80" i="5"/>
  <c r="W80" i="5" s="1"/>
  <c r="AC79" i="5"/>
  <c r="H79" i="5"/>
  <c r="W79" i="5" s="1"/>
  <c r="AC78" i="5"/>
  <c r="H78" i="5"/>
  <c r="I78" i="5" s="1"/>
  <c r="J78" i="5" s="1"/>
  <c r="AC77" i="5"/>
  <c r="H77" i="5"/>
  <c r="W77" i="5" s="1"/>
  <c r="AC76" i="5"/>
  <c r="H76" i="5"/>
  <c r="S76" i="5" s="1"/>
  <c r="AC75" i="5"/>
  <c r="H75" i="5"/>
  <c r="W75" i="5" s="1"/>
  <c r="AC74" i="5"/>
  <c r="H74" i="5"/>
  <c r="F74" i="5"/>
  <c r="AC73" i="5"/>
  <c r="H73" i="5"/>
  <c r="AC72" i="5"/>
  <c r="H72" i="5"/>
  <c r="W72" i="5" s="1"/>
  <c r="AC71" i="5"/>
  <c r="H71" i="5"/>
  <c r="S71" i="5" s="1"/>
  <c r="AC70" i="5"/>
  <c r="H70" i="5"/>
  <c r="W70" i="5" s="1"/>
  <c r="AC69" i="5"/>
  <c r="H69" i="5"/>
  <c r="W69" i="5" s="1"/>
  <c r="AC68" i="5"/>
  <c r="H68" i="5"/>
  <c r="W68" i="5" s="1"/>
  <c r="AC67" i="5"/>
  <c r="H67" i="5"/>
  <c r="F67" i="5"/>
  <c r="AC66" i="5"/>
  <c r="H66" i="5"/>
  <c r="AC65" i="5"/>
  <c r="F65" i="5" s="1"/>
  <c r="H65" i="5"/>
  <c r="AC64" i="5"/>
  <c r="H64" i="5"/>
  <c r="S64" i="5" s="1"/>
  <c r="AC63" i="5"/>
  <c r="H63" i="5"/>
  <c r="W63" i="5" s="1"/>
  <c r="AC62" i="5"/>
  <c r="H62" i="5"/>
  <c r="F62" i="5"/>
  <c r="AC61" i="5"/>
  <c r="M61" i="5"/>
  <c r="H61" i="5"/>
  <c r="W61" i="5" s="1"/>
  <c r="AC60" i="5"/>
  <c r="H60" i="5"/>
  <c r="W60" i="5" s="1"/>
  <c r="AC59" i="5"/>
  <c r="F59" i="5"/>
  <c r="AC58" i="5"/>
  <c r="F58" i="5"/>
  <c r="AC57" i="5"/>
  <c r="H57" i="5"/>
  <c r="W57" i="5" s="1"/>
  <c r="AC56" i="5"/>
  <c r="F56" i="5" s="1"/>
  <c r="H56" i="5"/>
  <c r="AC55" i="5"/>
  <c r="H55" i="5"/>
  <c r="W55" i="5" s="1"/>
  <c r="AC54" i="5"/>
  <c r="H54" i="5"/>
  <c r="W54" i="5" s="1"/>
  <c r="AC53" i="5"/>
  <c r="H53" i="5"/>
  <c r="F53" i="5"/>
  <c r="AC52" i="5"/>
  <c r="H52" i="5"/>
  <c r="W52" i="5" s="1"/>
  <c r="AC51" i="5"/>
  <c r="H51" i="5"/>
  <c r="O51" i="5" s="1"/>
  <c r="AC50" i="5"/>
  <c r="H50" i="5"/>
  <c r="W50" i="5" s="1"/>
  <c r="AC49" i="5"/>
  <c r="H49" i="5"/>
  <c r="W49" i="5" s="1"/>
  <c r="AC48" i="5"/>
  <c r="H48" i="5"/>
  <c r="F48" i="5"/>
  <c r="AC47" i="5"/>
  <c r="H47" i="5"/>
  <c r="W47" i="5" s="1"/>
  <c r="AC46" i="5"/>
  <c r="H46" i="5"/>
  <c r="W46" i="5" s="1"/>
  <c r="AC45" i="5"/>
  <c r="H45" i="5"/>
  <c r="W45" i="5" s="1"/>
  <c r="AC44" i="5"/>
  <c r="H44" i="5"/>
  <c r="W44" i="5" s="1"/>
  <c r="I44" i="5"/>
  <c r="J44" i="5" s="1"/>
  <c r="AC43" i="5"/>
  <c r="H43" i="5"/>
  <c r="W43" i="5" s="1"/>
  <c r="AC42" i="5"/>
  <c r="H42" i="5"/>
  <c r="F42" i="5"/>
  <c r="AC41" i="5"/>
  <c r="H41" i="5"/>
  <c r="W41" i="5" s="1"/>
  <c r="AC40" i="5"/>
  <c r="H40" i="5"/>
  <c r="W40" i="5" s="1"/>
  <c r="AC39" i="5"/>
  <c r="H39" i="5"/>
  <c r="W39" i="5" s="1"/>
  <c r="AC38" i="5"/>
  <c r="H38" i="5"/>
  <c r="W38" i="5" s="1"/>
  <c r="AC37" i="5"/>
  <c r="H37" i="5"/>
  <c r="F37" i="5"/>
  <c r="AC36" i="5"/>
  <c r="H36" i="5"/>
  <c r="I36" i="5" s="1"/>
  <c r="J36" i="5" s="1"/>
  <c r="AC35" i="5"/>
  <c r="H35" i="5"/>
  <c r="W35" i="5" s="1"/>
  <c r="AC34" i="5"/>
  <c r="Q34" i="5"/>
  <c r="H34" i="5"/>
  <c r="M34" i="5" s="1"/>
  <c r="I34" i="5"/>
  <c r="J34" i="5" s="1"/>
  <c r="AC33" i="5"/>
  <c r="H33" i="5"/>
  <c r="F33" i="5"/>
  <c r="AC32" i="5"/>
  <c r="H32" i="5"/>
  <c r="M32" i="5" s="1"/>
  <c r="AC31" i="5"/>
  <c r="H31" i="5"/>
  <c r="I31" i="5" s="1"/>
  <c r="J31" i="5" s="1"/>
  <c r="AC30" i="5"/>
  <c r="H30" i="5"/>
  <c r="W30" i="5" s="1"/>
  <c r="AC29" i="5"/>
  <c r="H29" i="5"/>
  <c r="O29" i="5" s="1"/>
  <c r="AC28" i="5"/>
  <c r="W28" i="5"/>
  <c r="H28" i="5"/>
  <c r="I28" i="5" s="1"/>
  <c r="J28" i="5" s="1"/>
  <c r="AC27" i="5"/>
  <c r="H27" i="5"/>
  <c r="S27" i="5" s="1"/>
  <c r="AC26" i="5"/>
  <c r="H26" i="5"/>
  <c r="W26" i="5" s="1"/>
  <c r="AC25" i="5"/>
  <c r="H25" i="5"/>
  <c r="F25" i="5"/>
  <c r="AC24" i="5"/>
  <c r="H24" i="5"/>
  <c r="O24" i="5" s="1"/>
  <c r="F24" i="5"/>
  <c r="AC23" i="5"/>
  <c r="H23" i="5"/>
  <c r="U23" i="5" s="1"/>
  <c r="AC22" i="5"/>
  <c r="H22" i="5"/>
  <c r="W22" i="5" s="1"/>
  <c r="F23" i="5"/>
  <c r="AC21" i="5"/>
  <c r="F21" i="5" s="1"/>
  <c r="H21" i="5"/>
  <c r="AC20" i="5"/>
  <c r="H20" i="5"/>
  <c r="W20" i="5" s="1"/>
  <c r="AC19" i="5"/>
  <c r="H19" i="5"/>
  <c r="Q19" i="5" s="1"/>
  <c r="AC18" i="5"/>
  <c r="H18" i="5"/>
  <c r="W18" i="5" s="1"/>
  <c r="AC17" i="5"/>
  <c r="H17" i="5"/>
  <c r="M17" i="5" s="1"/>
  <c r="AC16" i="5"/>
  <c r="H16" i="5"/>
  <c r="S16" i="5" s="1"/>
  <c r="AC15" i="5"/>
  <c r="O15" i="5"/>
  <c r="H15" i="5"/>
  <c r="W15" i="5" s="1"/>
  <c r="I15" i="5"/>
  <c r="J15" i="5" s="1"/>
  <c r="AC14" i="5"/>
  <c r="H14" i="5"/>
  <c r="O14" i="5" s="1"/>
  <c r="AC13" i="5"/>
  <c r="H13" i="5"/>
  <c r="U13" i="5" s="1"/>
  <c r="AC12" i="5"/>
  <c r="H12" i="5"/>
  <c r="F12" i="5"/>
  <c r="AC11" i="5"/>
  <c r="H11" i="5"/>
  <c r="U11" i="5" s="1"/>
  <c r="AC10" i="5"/>
  <c r="H10" i="5"/>
  <c r="F10" i="5"/>
  <c r="H9" i="5"/>
  <c r="S9" i="5" s="1"/>
  <c r="G7" i="5"/>
  <c r="H7" i="5" s="1"/>
  <c r="B11" i="2"/>
  <c r="G49" i="2"/>
  <c r="G62" i="2"/>
  <c r="I49" i="2"/>
  <c r="H49" i="2"/>
  <c r="F49" i="2"/>
  <c r="E49" i="2"/>
  <c r="F63" i="1"/>
  <c r="F54" i="1"/>
  <c r="F49" i="1"/>
  <c r="F35" i="1"/>
  <c r="F34" i="1"/>
  <c r="G7" i="1"/>
  <c r="H7" i="1" s="1"/>
  <c r="I7" i="1" s="1"/>
  <c r="I6" i="1" s="1"/>
  <c r="F124" i="1"/>
  <c r="F123" i="1"/>
  <c r="F122" i="1"/>
  <c r="F121" i="1"/>
  <c r="F120" i="1"/>
  <c r="F119" i="1"/>
  <c r="F118" i="1"/>
  <c r="F117" i="1"/>
  <c r="F11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96" i="1"/>
  <c r="F92" i="1"/>
  <c r="F93" i="1"/>
  <c r="F94" i="1"/>
  <c r="F91" i="1"/>
  <c r="F89" i="1"/>
  <c r="F90" i="1"/>
  <c r="F88" i="1"/>
  <c r="F87" i="1"/>
  <c r="F86" i="1"/>
  <c r="F85" i="1"/>
  <c r="F73" i="1"/>
  <c r="F72" i="1"/>
  <c r="F57" i="1"/>
  <c r="F69" i="1" s="1"/>
  <c r="F71" i="1" s="1"/>
  <c r="F55" i="1"/>
  <c r="F52" i="1"/>
  <c r="F50" i="1"/>
  <c r="AB46" i="1"/>
  <c r="H46" i="1"/>
  <c r="W46" i="1" s="1"/>
  <c r="F44" i="1"/>
  <c r="F43" i="1"/>
  <c r="F47" i="1" s="1"/>
  <c r="AB44" i="1"/>
  <c r="H44" i="1"/>
  <c r="U44" i="1" s="1"/>
  <c r="F45" i="1"/>
  <c r="F41" i="1"/>
  <c r="F39" i="1"/>
  <c r="F66" i="1" s="1"/>
  <c r="F38" i="1"/>
  <c r="F36" i="1"/>
  <c r="F32" i="1"/>
  <c r="F31" i="1"/>
  <c r="F30" i="1"/>
  <c r="F29" i="1"/>
  <c r="F27" i="1"/>
  <c r="F28" i="1"/>
  <c r="F26" i="1"/>
  <c r="F22" i="1"/>
  <c r="F23" i="1" s="1"/>
  <c r="F20" i="1"/>
  <c r="F19" i="1"/>
  <c r="F18" i="1"/>
  <c r="F17" i="1"/>
  <c r="F16" i="1"/>
  <c r="F15" i="1"/>
  <c r="F14" i="1"/>
  <c r="F13" i="1"/>
  <c r="F11" i="1"/>
  <c r="F9" i="1"/>
  <c r="T13" i="2"/>
  <c r="K59" i="2"/>
  <c r="L59" i="2"/>
  <c r="M59" i="2"/>
  <c r="N59" i="2"/>
  <c r="O59" i="2"/>
  <c r="P59" i="2"/>
  <c r="R16" i="2"/>
  <c r="R28" i="2"/>
  <c r="Q50" i="2"/>
  <c r="Q14" i="2"/>
  <c r="R14" i="2" s="1"/>
  <c r="Q16" i="2"/>
  <c r="Q18" i="2"/>
  <c r="R18" i="2" s="1"/>
  <c r="Q20" i="2"/>
  <c r="R20" i="2" s="1"/>
  <c r="Q22" i="2"/>
  <c r="R22" i="2" s="1"/>
  <c r="Q24" i="2"/>
  <c r="R24" i="2" s="1"/>
  <c r="Q26" i="2"/>
  <c r="R26" i="2" s="1"/>
  <c r="Q28" i="2"/>
  <c r="Q30" i="2"/>
  <c r="R30" i="2" s="1"/>
  <c r="Q32" i="2"/>
  <c r="R32" i="2" s="1"/>
  <c r="Q34" i="2"/>
  <c r="R34" i="2" s="1"/>
  <c r="Q36" i="2"/>
  <c r="R36" i="2" s="1"/>
  <c r="Q38" i="2"/>
  <c r="R38" i="2" s="1"/>
  <c r="Q40" i="2"/>
  <c r="R40" i="2" s="1"/>
  <c r="Q42" i="2"/>
  <c r="R42" i="2" s="1"/>
  <c r="Q44" i="2"/>
  <c r="R44" i="2" s="1"/>
  <c r="Q46" i="2"/>
  <c r="R46" i="2" s="1"/>
  <c r="Q12" i="2"/>
  <c r="A5" i="2"/>
  <c r="AB10" i="1"/>
  <c r="AB11" i="1"/>
  <c r="AB12" i="1"/>
  <c r="AB13" i="1"/>
  <c r="AB14" i="1"/>
  <c r="AB15" i="1"/>
  <c r="AB16" i="1"/>
  <c r="AB17" i="1"/>
  <c r="AB18" i="1"/>
  <c r="AB19" i="1"/>
  <c r="AB20" i="1"/>
  <c r="AB21" i="1"/>
  <c r="F21" i="1" s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5" i="1"/>
  <c r="AB47" i="1"/>
  <c r="AB48" i="1"/>
  <c r="AB49" i="1"/>
  <c r="AB50" i="1"/>
  <c r="AB51" i="1"/>
  <c r="AB52" i="1"/>
  <c r="AB53" i="1"/>
  <c r="AB54" i="1"/>
  <c r="AB55" i="1"/>
  <c r="AB56" i="1"/>
  <c r="F56" i="1" s="1"/>
  <c r="AB57" i="1"/>
  <c r="AB58" i="1"/>
  <c r="AB59" i="1"/>
  <c r="AB60" i="1"/>
  <c r="AB61" i="1"/>
  <c r="AB62" i="1"/>
  <c r="AB63" i="1"/>
  <c r="AB64" i="1"/>
  <c r="AB65" i="1"/>
  <c r="F65" i="1" s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F10" i="1"/>
  <c r="F12" i="1"/>
  <c r="F25" i="1"/>
  <c r="F33" i="1"/>
  <c r="F37" i="1"/>
  <c r="F42" i="1"/>
  <c r="F48" i="1"/>
  <c r="F53" i="1"/>
  <c r="F58" i="1"/>
  <c r="F59" i="1"/>
  <c r="F62" i="1"/>
  <c r="F67" i="1"/>
  <c r="F74" i="1"/>
  <c r="F76" i="1"/>
  <c r="F95" i="1"/>
  <c r="F115" i="1"/>
  <c r="F12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5" i="1"/>
  <c r="H47" i="1"/>
  <c r="H48" i="1"/>
  <c r="H49" i="1"/>
  <c r="H50" i="1"/>
  <c r="H51" i="1"/>
  <c r="H52" i="1"/>
  <c r="H53" i="1"/>
  <c r="H54" i="1"/>
  <c r="H55" i="1"/>
  <c r="H56" i="1"/>
  <c r="H57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9" i="1"/>
  <c r="A10" i="4"/>
  <c r="A9" i="4"/>
  <c r="A8" i="4"/>
  <c r="A7" i="4"/>
  <c r="M118" i="5" l="1"/>
  <c r="U26" i="5"/>
  <c r="I109" i="5"/>
  <c r="J109" i="5" s="1"/>
  <c r="S118" i="5"/>
  <c r="I121" i="5"/>
  <c r="J121" i="5" s="1"/>
  <c r="M15" i="5"/>
  <c r="I17" i="5"/>
  <c r="J17" i="5" s="1"/>
  <c r="I54" i="5"/>
  <c r="J54" i="5" s="1"/>
  <c r="I72" i="5"/>
  <c r="J72" i="5" s="1"/>
  <c r="I99" i="5"/>
  <c r="J99" i="5" s="1"/>
  <c r="Q15" i="5"/>
  <c r="M72" i="5"/>
  <c r="S112" i="5"/>
  <c r="U15" i="5"/>
  <c r="O72" i="5"/>
  <c r="F70" i="5"/>
  <c r="I70" i="5" s="1"/>
  <c r="J70" i="5" s="1"/>
  <c r="I19" i="5"/>
  <c r="J19" i="5" s="1"/>
  <c r="I118" i="5"/>
  <c r="J118" i="5" s="1"/>
  <c r="X24" i="5"/>
  <c r="X70" i="5"/>
  <c r="W36" i="5"/>
  <c r="W71" i="5"/>
  <c r="U109" i="5"/>
  <c r="O111" i="5"/>
  <c r="I124" i="5"/>
  <c r="J124" i="5" s="1"/>
  <c r="M109" i="5"/>
  <c r="O34" i="5"/>
  <c r="I97" i="5"/>
  <c r="J97" i="5" s="1"/>
  <c r="U101" i="5"/>
  <c r="O103" i="5"/>
  <c r="Q111" i="5"/>
  <c r="U113" i="5"/>
  <c r="U96" i="5"/>
  <c r="Q103" i="5"/>
  <c r="O96" i="5"/>
  <c r="O104" i="5"/>
  <c r="U44" i="5"/>
  <c r="Q104" i="5"/>
  <c r="I20" i="5"/>
  <c r="J20" i="5" s="1"/>
  <c r="I26" i="5"/>
  <c r="I25" i="5" s="1"/>
  <c r="J25" i="5" s="1"/>
  <c r="S34" i="5"/>
  <c r="I40" i="5"/>
  <c r="J40" i="5" s="1"/>
  <c r="O97" i="5"/>
  <c r="I116" i="5"/>
  <c r="J116" i="5" s="1"/>
  <c r="I9" i="5"/>
  <c r="O93" i="5"/>
  <c r="I96" i="5"/>
  <c r="J96" i="5" s="1"/>
  <c r="I104" i="5"/>
  <c r="J104" i="5" s="1"/>
  <c r="Q14" i="5"/>
  <c r="M63" i="5"/>
  <c r="O77" i="5"/>
  <c r="Q85" i="5"/>
  <c r="M87" i="5"/>
  <c r="M88" i="5"/>
  <c r="M90" i="5"/>
  <c r="Q96" i="5"/>
  <c r="S97" i="5"/>
  <c r="U112" i="5"/>
  <c r="O54" i="5"/>
  <c r="Q72" i="5"/>
  <c r="Q77" i="5"/>
  <c r="S85" i="5"/>
  <c r="O87" i="5"/>
  <c r="Q90" i="5"/>
  <c r="S96" i="5"/>
  <c r="U97" i="5"/>
  <c r="M104" i="5"/>
  <c r="Q122" i="5"/>
  <c r="S19" i="5"/>
  <c r="Q54" i="5"/>
  <c r="S77" i="5"/>
  <c r="Q87" i="5"/>
  <c r="I112" i="5"/>
  <c r="J112" i="5" s="1"/>
  <c r="I113" i="5"/>
  <c r="J113" i="5" s="1"/>
  <c r="I114" i="5"/>
  <c r="J114" i="5" s="1"/>
  <c r="O116" i="5"/>
  <c r="Q118" i="5"/>
  <c r="U122" i="5"/>
  <c r="I76" i="5"/>
  <c r="J76" i="5" s="1"/>
  <c r="U77" i="5"/>
  <c r="S87" i="5"/>
  <c r="M106" i="5"/>
  <c r="U87" i="5"/>
  <c r="I98" i="5"/>
  <c r="J98" i="5" s="1"/>
  <c r="M100" i="5"/>
  <c r="S104" i="5"/>
  <c r="M112" i="5"/>
  <c r="M113" i="5"/>
  <c r="I117" i="5"/>
  <c r="J117" i="5" s="1"/>
  <c r="I123" i="5"/>
  <c r="J123" i="5" s="1"/>
  <c r="S36" i="5"/>
  <c r="I81" i="5"/>
  <c r="J81" i="5" s="1"/>
  <c r="O98" i="5"/>
  <c r="Q100" i="5"/>
  <c r="S103" i="5"/>
  <c r="O112" i="5"/>
  <c r="O113" i="5"/>
  <c r="I119" i="5"/>
  <c r="J119" i="5" s="1"/>
  <c r="I14" i="5"/>
  <c r="J14" i="5" s="1"/>
  <c r="I24" i="5"/>
  <c r="J24" i="5" s="1"/>
  <c r="I29" i="5"/>
  <c r="J29" i="5" s="1"/>
  <c r="I32" i="5"/>
  <c r="J32" i="5" s="1"/>
  <c r="U36" i="5"/>
  <c r="O78" i="5"/>
  <c r="U81" i="5"/>
  <c r="I85" i="5"/>
  <c r="J85" i="5" s="1"/>
  <c r="I87" i="5"/>
  <c r="J87" i="5" s="1"/>
  <c r="I90" i="5"/>
  <c r="J90" i="5" s="1"/>
  <c r="I92" i="5"/>
  <c r="J92" i="5" s="1"/>
  <c r="M96" i="5"/>
  <c r="M97" i="5"/>
  <c r="S100" i="5"/>
  <c r="I107" i="5"/>
  <c r="J107" i="5" s="1"/>
  <c r="Q112" i="5"/>
  <c r="S113" i="5"/>
  <c r="I7" i="5"/>
  <c r="I6" i="5" s="1"/>
  <c r="O7" i="5"/>
  <c r="M7" i="5"/>
  <c r="Q7" i="5"/>
  <c r="M18" i="5"/>
  <c r="O47" i="5"/>
  <c r="M27" i="5"/>
  <c r="M30" i="5"/>
  <c r="M39" i="5"/>
  <c r="F55" i="5"/>
  <c r="F64" i="5" s="1"/>
  <c r="I64" i="5" s="1"/>
  <c r="J64" i="5" s="1"/>
  <c r="S90" i="5"/>
  <c r="O94" i="5"/>
  <c r="U108" i="5"/>
  <c r="U9" i="5"/>
  <c r="I16" i="5"/>
  <c r="J16" i="5" s="1"/>
  <c r="S17" i="5"/>
  <c r="O20" i="5"/>
  <c r="O22" i="5"/>
  <c r="Q24" i="5"/>
  <c r="W27" i="5"/>
  <c r="Q29" i="5"/>
  <c r="Q30" i="5"/>
  <c r="O32" i="5"/>
  <c r="Q39" i="5"/>
  <c r="Q40" i="5"/>
  <c r="O44" i="5"/>
  <c r="S46" i="5"/>
  <c r="Q49" i="5"/>
  <c r="Q51" i="5"/>
  <c r="Q52" i="5"/>
  <c r="U55" i="5"/>
  <c r="Q60" i="5"/>
  <c r="I68" i="5"/>
  <c r="J68" i="5" s="1"/>
  <c r="M75" i="5"/>
  <c r="I77" i="5"/>
  <c r="J77" i="5" s="1"/>
  <c r="O81" i="5"/>
  <c r="O82" i="5"/>
  <c r="U90" i="5"/>
  <c r="S93" i="5"/>
  <c r="Q94" i="5"/>
  <c r="I101" i="5"/>
  <c r="J101" i="5" s="1"/>
  <c r="U104" i="5"/>
  <c r="O125" i="5"/>
  <c r="S129" i="5"/>
  <c r="I23" i="5"/>
  <c r="J23" i="5" s="1"/>
  <c r="O69" i="5"/>
  <c r="Q108" i="5"/>
  <c r="O17" i="5"/>
  <c r="O18" i="5"/>
  <c r="M49" i="5"/>
  <c r="M52" i="5"/>
  <c r="Q69" i="5"/>
  <c r="M94" i="5"/>
  <c r="S105" i="5"/>
  <c r="S108" i="5"/>
  <c r="Q17" i="5"/>
  <c r="M20" i="5"/>
  <c r="M22" i="5"/>
  <c r="U27" i="5"/>
  <c r="O30" i="5"/>
  <c r="M35" i="5"/>
  <c r="O39" i="5"/>
  <c r="O60" i="5"/>
  <c r="I75" i="5"/>
  <c r="J75" i="5" s="1"/>
  <c r="U105" i="5"/>
  <c r="O129" i="5"/>
  <c r="U17" i="5"/>
  <c r="Q20" i="5"/>
  <c r="Q22" i="5"/>
  <c r="S24" i="5"/>
  <c r="S29" i="5"/>
  <c r="U30" i="5"/>
  <c r="Q32" i="5"/>
  <c r="S39" i="5"/>
  <c r="I47" i="5"/>
  <c r="J47" i="5" s="1"/>
  <c r="Q44" i="5"/>
  <c r="S49" i="5"/>
  <c r="S51" i="5"/>
  <c r="U52" i="5"/>
  <c r="S60" i="5"/>
  <c r="U68" i="5"/>
  <c r="U75" i="5"/>
  <c r="S80" i="5"/>
  <c r="Q81" i="5"/>
  <c r="M85" i="5"/>
  <c r="U89" i="5"/>
  <c r="S94" i="5"/>
  <c r="M119" i="5"/>
  <c r="M122" i="5"/>
  <c r="M124" i="5"/>
  <c r="Q125" i="5"/>
  <c r="U129" i="5"/>
  <c r="U91" i="5"/>
  <c r="O105" i="5"/>
  <c r="S14" i="5"/>
  <c r="I35" i="5"/>
  <c r="J35" i="5" s="1"/>
  <c r="M40" i="5"/>
  <c r="Q47" i="5"/>
  <c r="M60" i="5"/>
  <c r="U14" i="5"/>
  <c r="S18" i="5"/>
  <c r="O40" i="5"/>
  <c r="M44" i="5"/>
  <c r="S47" i="5"/>
  <c r="O49" i="5"/>
  <c r="O52" i="5"/>
  <c r="U57" i="5"/>
  <c r="S69" i="5"/>
  <c r="M81" i="5"/>
  <c r="M82" i="5"/>
  <c r="Q93" i="5"/>
  <c r="M125" i="5"/>
  <c r="U16" i="5"/>
  <c r="U24" i="5"/>
  <c r="U29" i="5"/>
  <c r="S32" i="5"/>
  <c r="U39" i="5"/>
  <c r="I41" i="5"/>
  <c r="J41" i="5" s="1"/>
  <c r="S44" i="5"/>
  <c r="U51" i="5"/>
  <c r="M54" i="5"/>
  <c r="U60" i="5"/>
  <c r="M70" i="5"/>
  <c r="M77" i="5"/>
  <c r="M78" i="5"/>
  <c r="S81" i="5"/>
  <c r="O85" i="5"/>
  <c r="I88" i="5"/>
  <c r="J88" i="5" s="1"/>
  <c r="I91" i="5"/>
  <c r="J91" i="5" s="1"/>
  <c r="U94" i="5"/>
  <c r="M98" i="5"/>
  <c r="M101" i="5"/>
  <c r="I105" i="5"/>
  <c r="J105" i="5" s="1"/>
  <c r="I106" i="5"/>
  <c r="J106" i="5" s="1"/>
  <c r="I108" i="5"/>
  <c r="J108" i="5" s="1"/>
  <c r="M114" i="5"/>
  <c r="M116" i="5"/>
  <c r="U119" i="5"/>
  <c r="O121" i="5"/>
  <c r="O122" i="5"/>
  <c r="O123" i="5"/>
  <c r="O124" i="5"/>
  <c r="S125" i="5"/>
  <c r="I18" i="5"/>
  <c r="J18" i="5" s="1"/>
  <c r="W23" i="5"/>
  <c r="I27" i="5"/>
  <c r="J27" i="5" s="1"/>
  <c r="I30" i="5"/>
  <c r="J30" i="5" s="1"/>
  <c r="M47" i="5"/>
  <c r="I49" i="5"/>
  <c r="J49" i="5" s="1"/>
  <c r="I52" i="5"/>
  <c r="J52" i="5" s="1"/>
  <c r="M69" i="5"/>
  <c r="M91" i="5"/>
  <c r="I94" i="5"/>
  <c r="J94" i="5" s="1"/>
  <c r="M105" i="5"/>
  <c r="M108" i="5"/>
  <c r="S122" i="5"/>
  <c r="I128" i="5"/>
  <c r="J128" i="5" s="1"/>
  <c r="I8" i="5"/>
  <c r="W11" i="5"/>
  <c r="W9" i="5"/>
  <c r="I11" i="5"/>
  <c r="I13" i="5"/>
  <c r="W16" i="5"/>
  <c r="U19" i="5"/>
  <c r="S38" i="5"/>
  <c r="U76" i="5"/>
  <c r="Q76" i="5"/>
  <c r="O76" i="5"/>
  <c r="M76" i="5"/>
  <c r="I83" i="5"/>
  <c r="J83" i="5" s="1"/>
  <c r="U83" i="5"/>
  <c r="S83" i="5"/>
  <c r="Q83" i="5"/>
  <c r="O83" i="5"/>
  <c r="M83" i="5"/>
  <c r="W19" i="5"/>
  <c r="U66" i="5"/>
  <c r="Q66" i="5"/>
  <c r="O66" i="5"/>
  <c r="M66" i="5"/>
  <c r="I86" i="5"/>
  <c r="J86" i="5" s="1"/>
  <c r="U86" i="5"/>
  <c r="S86" i="5"/>
  <c r="Q86" i="5"/>
  <c r="O86" i="5"/>
  <c r="M86" i="5"/>
  <c r="W13" i="5"/>
  <c r="S31" i="5"/>
  <c r="Q31" i="5"/>
  <c r="O31" i="5"/>
  <c r="M31" i="5"/>
  <c r="I55" i="5"/>
  <c r="S7" i="5"/>
  <c r="M11" i="5"/>
  <c r="M13" i="5"/>
  <c r="W14" i="5"/>
  <c r="S20" i="5"/>
  <c r="S22" i="5"/>
  <c r="M23" i="5"/>
  <c r="W24" i="5"/>
  <c r="Q26" i="5"/>
  <c r="O26" i="5"/>
  <c r="U41" i="5"/>
  <c r="Q41" i="5"/>
  <c r="O41" i="5"/>
  <c r="M41" i="5"/>
  <c r="U43" i="5"/>
  <c r="Q43" i="5"/>
  <c r="O43" i="5"/>
  <c r="M43" i="5"/>
  <c r="S66" i="5"/>
  <c r="W76" i="5"/>
  <c r="I79" i="5"/>
  <c r="J79" i="5" s="1"/>
  <c r="U79" i="5"/>
  <c r="S79" i="5"/>
  <c r="Q79" i="5"/>
  <c r="O79" i="5"/>
  <c r="M79" i="5"/>
  <c r="W83" i="5"/>
  <c r="I102" i="5"/>
  <c r="J102" i="5" s="1"/>
  <c r="I57" i="5"/>
  <c r="U7" i="5"/>
  <c r="M9" i="5"/>
  <c r="O11" i="5"/>
  <c r="O13" i="5"/>
  <c r="S15" i="5"/>
  <c r="M16" i="5"/>
  <c r="W17" i="5"/>
  <c r="Q18" i="5"/>
  <c r="U20" i="5"/>
  <c r="U22" i="5"/>
  <c r="O23" i="5"/>
  <c r="U28" i="5"/>
  <c r="S28" i="5"/>
  <c r="O28" i="5"/>
  <c r="M28" i="5"/>
  <c r="U31" i="5"/>
  <c r="I66" i="5"/>
  <c r="S41" i="5"/>
  <c r="S43" i="5"/>
  <c r="U46" i="5"/>
  <c r="Q46" i="5"/>
  <c r="O46" i="5"/>
  <c r="M46" i="5"/>
  <c r="I46" i="5"/>
  <c r="J46" i="5" s="1"/>
  <c r="U64" i="5"/>
  <c r="Q64" i="5"/>
  <c r="O64" i="5"/>
  <c r="M64" i="5"/>
  <c r="W66" i="5"/>
  <c r="I73" i="5"/>
  <c r="J73" i="5" s="1"/>
  <c r="U73" i="5"/>
  <c r="S73" i="5"/>
  <c r="Q73" i="5"/>
  <c r="O73" i="5"/>
  <c r="M73" i="5"/>
  <c r="W86" i="5"/>
  <c r="U102" i="5"/>
  <c r="S102" i="5"/>
  <c r="Q102" i="5"/>
  <c r="O102" i="5"/>
  <c r="M102" i="5"/>
  <c r="I110" i="5"/>
  <c r="J110" i="5" s="1"/>
  <c r="I120" i="5"/>
  <c r="J120" i="5" s="1"/>
  <c r="W7" i="5"/>
  <c r="O9" i="5"/>
  <c r="Q11" i="5"/>
  <c r="Q13" i="5"/>
  <c r="O16" i="5"/>
  <c r="M19" i="5"/>
  <c r="Q23" i="5"/>
  <c r="W31" i="5"/>
  <c r="U84" i="5"/>
  <c r="Q84" i="5"/>
  <c r="O84" i="5"/>
  <c r="M84" i="5"/>
  <c r="I84" i="5"/>
  <c r="J84" i="5" s="1"/>
  <c r="U110" i="5"/>
  <c r="S110" i="5"/>
  <c r="Q110" i="5"/>
  <c r="O110" i="5"/>
  <c r="M110" i="5"/>
  <c r="U120" i="5"/>
  <c r="S120" i="5"/>
  <c r="Q120" i="5"/>
  <c r="O120" i="5"/>
  <c r="M120" i="5"/>
  <c r="U38" i="5"/>
  <c r="Q38" i="5"/>
  <c r="O38" i="5"/>
  <c r="M38" i="5"/>
  <c r="I45" i="5"/>
  <c r="J45" i="5" s="1"/>
  <c r="U45" i="5"/>
  <c r="S45" i="5"/>
  <c r="Q45" i="5"/>
  <c r="O45" i="5"/>
  <c r="M45" i="5"/>
  <c r="I50" i="5"/>
  <c r="J50" i="5" s="1"/>
  <c r="U50" i="5"/>
  <c r="S50" i="5"/>
  <c r="Q50" i="5"/>
  <c r="O50" i="5"/>
  <c r="M50" i="5"/>
  <c r="Q9" i="5"/>
  <c r="S11" i="5"/>
  <c r="S13" i="5"/>
  <c r="M14" i="5"/>
  <c r="Q16" i="5"/>
  <c r="U18" i="5"/>
  <c r="O19" i="5"/>
  <c r="I22" i="5"/>
  <c r="S23" i="5"/>
  <c r="M24" i="5"/>
  <c r="M26" i="5"/>
  <c r="O27" i="5"/>
  <c r="I51" i="5"/>
  <c r="J51" i="5" s="1"/>
  <c r="W64" i="5"/>
  <c r="W73" i="5"/>
  <c r="S84" i="5"/>
  <c r="U92" i="5"/>
  <c r="S92" i="5"/>
  <c r="Q92" i="5"/>
  <c r="O92" i="5"/>
  <c r="M92" i="5"/>
  <c r="W110" i="5"/>
  <c r="W120" i="5"/>
  <c r="U126" i="5"/>
  <c r="S126" i="5"/>
  <c r="Q126" i="5"/>
  <c r="O126" i="5"/>
  <c r="M126" i="5"/>
  <c r="I126" i="5"/>
  <c r="J126" i="5" s="1"/>
  <c r="I71" i="5"/>
  <c r="J71" i="5" s="1"/>
  <c r="I69" i="5"/>
  <c r="J69" i="5" s="1"/>
  <c r="S26" i="5"/>
  <c r="Q27" i="5"/>
  <c r="Q28" i="5"/>
  <c r="I33" i="5"/>
  <c r="J33" i="5" s="1"/>
  <c r="Q36" i="5"/>
  <c r="O36" i="5"/>
  <c r="M36" i="5"/>
  <c r="I38" i="5"/>
  <c r="U71" i="5"/>
  <c r="Q71" i="5"/>
  <c r="O71" i="5"/>
  <c r="M71" i="5"/>
  <c r="U80" i="5"/>
  <c r="Q80" i="5"/>
  <c r="O80" i="5"/>
  <c r="M80" i="5"/>
  <c r="I80" i="5"/>
  <c r="J80" i="5" s="1"/>
  <c r="W84" i="5"/>
  <c r="W29" i="5"/>
  <c r="U32" i="5"/>
  <c r="U34" i="5"/>
  <c r="O35" i="5"/>
  <c r="I43" i="5"/>
  <c r="W51" i="5"/>
  <c r="O61" i="5"/>
  <c r="O63" i="5"/>
  <c r="U69" i="5"/>
  <c r="O70" i="5"/>
  <c r="S72" i="5"/>
  <c r="O75" i="5"/>
  <c r="Q78" i="5"/>
  <c r="Q82" i="5"/>
  <c r="Q88" i="5"/>
  <c r="O91" i="5"/>
  <c r="W97" i="5"/>
  <c r="Q98" i="5"/>
  <c r="O101" i="5"/>
  <c r="W105" i="5"/>
  <c r="Q106" i="5"/>
  <c r="O109" i="5"/>
  <c r="S111" i="5"/>
  <c r="W113" i="5"/>
  <c r="Q114" i="5"/>
  <c r="Q116" i="5"/>
  <c r="U118" i="5"/>
  <c r="O119" i="5"/>
  <c r="S121" i="5"/>
  <c r="W123" i="5"/>
  <c r="Q124" i="5"/>
  <c r="W129" i="5"/>
  <c r="S30" i="5"/>
  <c r="W32" i="5"/>
  <c r="W34" i="5"/>
  <c r="Q35" i="5"/>
  <c r="U47" i="5"/>
  <c r="U49" i="5"/>
  <c r="S52" i="5"/>
  <c r="S54" i="5"/>
  <c r="M55" i="5"/>
  <c r="M57" i="5"/>
  <c r="Q61" i="5"/>
  <c r="Q63" i="5"/>
  <c r="M68" i="5"/>
  <c r="Q70" i="5"/>
  <c r="U72" i="5"/>
  <c r="Q75" i="5"/>
  <c r="S78" i="5"/>
  <c r="S82" i="5"/>
  <c r="U85" i="5"/>
  <c r="S88" i="5"/>
  <c r="M89" i="5"/>
  <c r="W90" i="5"/>
  <c r="Q91" i="5"/>
  <c r="U93" i="5"/>
  <c r="S98" i="5"/>
  <c r="M99" i="5"/>
  <c r="W100" i="5"/>
  <c r="Q101" i="5"/>
  <c r="U103" i="5"/>
  <c r="S106" i="5"/>
  <c r="M107" i="5"/>
  <c r="W108" i="5"/>
  <c r="Q109" i="5"/>
  <c r="U111" i="5"/>
  <c r="S114" i="5"/>
  <c r="S116" i="5"/>
  <c r="M117" i="5"/>
  <c r="W118" i="5"/>
  <c r="Q119" i="5"/>
  <c r="U121" i="5"/>
  <c r="S124" i="5"/>
  <c r="M128" i="5"/>
  <c r="I129" i="5"/>
  <c r="J129" i="5" s="1"/>
  <c r="S35" i="5"/>
  <c r="S40" i="5"/>
  <c r="U54" i="5"/>
  <c r="O55" i="5"/>
  <c r="O57" i="5"/>
  <c r="S61" i="5"/>
  <c r="S63" i="5"/>
  <c r="O68" i="5"/>
  <c r="S70" i="5"/>
  <c r="S75" i="5"/>
  <c r="U78" i="5"/>
  <c r="U82" i="5"/>
  <c r="U88" i="5"/>
  <c r="O89" i="5"/>
  <c r="S91" i="5"/>
  <c r="W93" i="5"/>
  <c r="U98" i="5"/>
  <c r="O99" i="5"/>
  <c r="S101" i="5"/>
  <c r="W103" i="5"/>
  <c r="U106" i="5"/>
  <c r="O107" i="5"/>
  <c r="S109" i="5"/>
  <c r="W111" i="5"/>
  <c r="U114" i="5"/>
  <c r="U116" i="5"/>
  <c r="O117" i="5"/>
  <c r="S119" i="5"/>
  <c r="W121" i="5"/>
  <c r="U124" i="5"/>
  <c r="O128" i="5"/>
  <c r="M29" i="5"/>
  <c r="U35" i="5"/>
  <c r="I39" i="5"/>
  <c r="J39" i="5" s="1"/>
  <c r="U40" i="5"/>
  <c r="M51" i="5"/>
  <c r="Q55" i="5"/>
  <c r="Q57" i="5"/>
  <c r="U61" i="5"/>
  <c r="U63" i="5"/>
  <c r="Q68" i="5"/>
  <c r="U70" i="5"/>
  <c r="W78" i="5"/>
  <c r="W82" i="5"/>
  <c r="W88" i="5"/>
  <c r="Q89" i="5"/>
  <c r="W98" i="5"/>
  <c r="Q99" i="5"/>
  <c r="W106" i="5"/>
  <c r="Q107" i="5"/>
  <c r="W114" i="5"/>
  <c r="W116" i="5"/>
  <c r="Q117" i="5"/>
  <c r="Q128" i="5"/>
  <c r="M129" i="5"/>
  <c r="S55" i="5"/>
  <c r="S57" i="5"/>
  <c r="S68" i="5"/>
  <c r="S89" i="5"/>
  <c r="S99" i="5"/>
  <c r="S107" i="5"/>
  <c r="S117" i="5"/>
  <c r="S128" i="5"/>
  <c r="U99" i="5"/>
  <c r="U107" i="5"/>
  <c r="U117" i="5"/>
  <c r="U128" i="5"/>
  <c r="F64" i="1"/>
  <c r="F70" i="1"/>
  <c r="I70" i="1" s="1"/>
  <c r="J70" i="1" s="1"/>
  <c r="F51" i="1"/>
  <c r="F60" i="1" s="1"/>
  <c r="F61" i="1" s="1"/>
  <c r="I61" i="1" s="1"/>
  <c r="I46" i="1"/>
  <c r="J46" i="1" s="1"/>
  <c r="M46" i="1"/>
  <c r="O46" i="1"/>
  <c r="S46" i="1"/>
  <c r="Q46" i="1"/>
  <c r="U46" i="1"/>
  <c r="I9" i="1"/>
  <c r="Q44" i="1"/>
  <c r="I44" i="1"/>
  <c r="J44" i="1" s="1"/>
  <c r="W44" i="1"/>
  <c r="M44" i="1"/>
  <c r="O44" i="1"/>
  <c r="I128" i="1"/>
  <c r="J128" i="1" s="1"/>
  <c r="I126" i="1"/>
  <c r="J126" i="1" s="1"/>
  <c r="I94" i="1"/>
  <c r="J94" i="1" s="1"/>
  <c r="S44" i="1"/>
  <c r="I72" i="1"/>
  <c r="J72" i="1" s="1"/>
  <c r="I71" i="1"/>
  <c r="J71" i="1" s="1"/>
  <c r="I28" i="1"/>
  <c r="J28" i="1" s="1"/>
  <c r="I19" i="1"/>
  <c r="J19" i="1" s="1"/>
  <c r="I55" i="1"/>
  <c r="J55" i="1" s="1"/>
  <c r="I38" i="1"/>
  <c r="J38" i="1" s="1"/>
  <c r="F24" i="1"/>
  <c r="I24" i="1" s="1"/>
  <c r="I79" i="1"/>
  <c r="J79" i="1" s="1"/>
  <c r="I113" i="1"/>
  <c r="J113" i="1" s="1"/>
  <c r="I125" i="1"/>
  <c r="J125" i="1" s="1"/>
  <c r="I100" i="1"/>
  <c r="J100" i="1" s="1"/>
  <c r="I93" i="1"/>
  <c r="J93" i="1" s="1"/>
  <c r="I108" i="1"/>
  <c r="J108" i="1" s="1"/>
  <c r="I103" i="1"/>
  <c r="J103" i="1" s="1"/>
  <c r="I54" i="1"/>
  <c r="J54" i="1" s="1"/>
  <c r="I88" i="1"/>
  <c r="J88" i="1" s="1"/>
  <c r="I20" i="1"/>
  <c r="J20" i="1" s="1"/>
  <c r="I32" i="1"/>
  <c r="J32" i="1" s="1"/>
  <c r="I27" i="1"/>
  <c r="J27" i="1" s="1"/>
  <c r="I52" i="1"/>
  <c r="J52" i="1" s="1"/>
  <c r="I31" i="1"/>
  <c r="J31" i="1" s="1"/>
  <c r="I26" i="1"/>
  <c r="J26" i="1" s="1"/>
  <c r="I17" i="1"/>
  <c r="J17" i="1" s="1"/>
  <c r="I57" i="1"/>
  <c r="I45" i="1"/>
  <c r="J45" i="1" s="1"/>
  <c r="I89" i="1"/>
  <c r="J89" i="1" s="1"/>
  <c r="I124" i="1"/>
  <c r="J124" i="1" s="1"/>
  <c r="I119" i="1"/>
  <c r="J119" i="1" s="1"/>
  <c r="I111" i="1"/>
  <c r="J111" i="1" s="1"/>
  <c r="I99" i="1"/>
  <c r="J99" i="1" s="1"/>
  <c r="I92" i="1"/>
  <c r="J92" i="1" s="1"/>
  <c r="I86" i="1"/>
  <c r="J86" i="1" s="1"/>
  <c r="I76" i="1"/>
  <c r="J76" i="1" s="1"/>
  <c r="I63" i="1"/>
  <c r="J63" i="1" s="1"/>
  <c r="I16" i="1"/>
  <c r="J16" i="1" s="1"/>
  <c r="I30" i="1"/>
  <c r="J30" i="1" s="1"/>
  <c r="I123" i="1"/>
  <c r="J123" i="1" s="1"/>
  <c r="I85" i="1"/>
  <c r="J85" i="1" s="1"/>
  <c r="I69" i="1"/>
  <c r="J69" i="1" s="1"/>
  <c r="I50" i="1"/>
  <c r="J50" i="1" s="1"/>
  <c r="I36" i="1"/>
  <c r="J36" i="1" s="1"/>
  <c r="I15" i="1"/>
  <c r="J15" i="1" s="1"/>
  <c r="I122" i="1"/>
  <c r="J122" i="1" s="1"/>
  <c r="I117" i="1"/>
  <c r="J117" i="1" s="1"/>
  <c r="I109" i="1"/>
  <c r="J109" i="1" s="1"/>
  <c r="I97" i="1"/>
  <c r="J97" i="1" s="1"/>
  <c r="I80" i="1"/>
  <c r="J80" i="1" s="1"/>
  <c r="I68" i="1"/>
  <c r="J68" i="1" s="1"/>
  <c r="I35" i="1"/>
  <c r="J35" i="1" s="1"/>
  <c r="I22" i="1"/>
  <c r="J22" i="1" s="1"/>
  <c r="I14" i="1"/>
  <c r="J14" i="1" s="1"/>
  <c r="I110" i="1"/>
  <c r="J110" i="1" s="1"/>
  <c r="I91" i="1"/>
  <c r="J91" i="1" s="1"/>
  <c r="I81" i="1"/>
  <c r="J81" i="1" s="1"/>
  <c r="I43" i="1"/>
  <c r="J43" i="1" s="1"/>
  <c r="I23" i="1"/>
  <c r="J23" i="1" s="1"/>
  <c r="I121" i="1"/>
  <c r="J121" i="1" s="1"/>
  <c r="I116" i="1"/>
  <c r="J116" i="1" s="1"/>
  <c r="I96" i="1"/>
  <c r="J96" i="1" s="1"/>
  <c r="I90" i="1"/>
  <c r="J90" i="1" s="1"/>
  <c r="I73" i="1"/>
  <c r="J73" i="1" s="1"/>
  <c r="I49" i="1"/>
  <c r="J49" i="1" s="1"/>
  <c r="I41" i="1"/>
  <c r="J41" i="1" s="1"/>
  <c r="I34" i="1"/>
  <c r="J34" i="1" s="1"/>
  <c r="I29" i="1"/>
  <c r="J29" i="1" s="1"/>
  <c r="I13" i="1"/>
  <c r="I98" i="1"/>
  <c r="J98" i="1" s="1"/>
  <c r="I129" i="1"/>
  <c r="J129" i="1" s="1"/>
  <c r="I107" i="1"/>
  <c r="J107" i="1" s="1"/>
  <c r="I102" i="1"/>
  <c r="J102" i="1" s="1"/>
  <c r="I40" i="1"/>
  <c r="J40" i="1" s="1"/>
  <c r="I118" i="1"/>
  <c r="J118" i="1" s="1"/>
  <c r="I75" i="1"/>
  <c r="J75" i="1" s="1"/>
  <c r="I114" i="1"/>
  <c r="J114" i="1" s="1"/>
  <c r="I106" i="1"/>
  <c r="J106" i="1" s="1"/>
  <c r="I101" i="1"/>
  <c r="J101" i="1" s="1"/>
  <c r="I84" i="1"/>
  <c r="J84" i="1" s="1"/>
  <c r="I66" i="1"/>
  <c r="I11" i="1"/>
  <c r="I105" i="1"/>
  <c r="J105" i="1" s="1"/>
  <c r="I83" i="1"/>
  <c r="J83" i="1" s="1"/>
  <c r="I78" i="1"/>
  <c r="J78" i="1" s="1"/>
  <c r="I39" i="1"/>
  <c r="I18" i="1"/>
  <c r="J18" i="1" s="1"/>
  <c r="I120" i="1"/>
  <c r="J120" i="1" s="1"/>
  <c r="I112" i="1"/>
  <c r="J112" i="1" s="1"/>
  <c r="I104" i="1"/>
  <c r="J104" i="1" s="1"/>
  <c r="I87" i="1"/>
  <c r="J87" i="1" s="1"/>
  <c r="I82" i="1"/>
  <c r="J82" i="1" s="1"/>
  <c r="I77" i="1"/>
  <c r="J77" i="1" s="1"/>
  <c r="I64" i="1"/>
  <c r="J64" i="1" s="1"/>
  <c r="I47" i="1"/>
  <c r="J47" i="1" s="1"/>
  <c r="E17" i="3"/>
  <c r="E18" i="3"/>
  <c r="E19" i="3"/>
  <c r="E20" i="3"/>
  <c r="K20" i="3" s="1"/>
  <c r="L20" i="3" s="1"/>
  <c r="E22" i="3"/>
  <c r="E24" i="3"/>
  <c r="E25" i="3"/>
  <c r="E26" i="3"/>
  <c r="E27" i="3"/>
  <c r="E28" i="3"/>
  <c r="E29" i="3"/>
  <c r="E30" i="3"/>
  <c r="E31" i="3"/>
  <c r="E33" i="3"/>
  <c r="K33" i="3" s="1"/>
  <c r="L33" i="3" s="1"/>
  <c r="E34" i="3"/>
  <c r="K34" i="3" s="1"/>
  <c r="L34" i="3" s="1"/>
  <c r="E35" i="3"/>
  <c r="K35" i="3" s="1"/>
  <c r="L35" i="3" s="1"/>
  <c r="E37" i="3"/>
  <c r="E38" i="3"/>
  <c r="E39" i="3"/>
  <c r="E40" i="3"/>
  <c r="K40" i="3" s="1"/>
  <c r="L40" i="3" s="1"/>
  <c r="E41" i="3"/>
  <c r="K41" i="3" s="1"/>
  <c r="L41" i="3" s="1"/>
  <c r="E42" i="3"/>
  <c r="K42" i="3" s="1"/>
  <c r="L42" i="3" s="1"/>
  <c r="E43" i="3"/>
  <c r="K43" i="3" s="1"/>
  <c r="L43" i="3" s="1"/>
  <c r="E44" i="3"/>
  <c r="E45" i="3"/>
  <c r="E46" i="3"/>
  <c r="K46" i="3" s="1"/>
  <c r="L46" i="3" s="1"/>
  <c r="E48" i="3"/>
  <c r="K48" i="3" s="1"/>
  <c r="L48" i="3" s="1"/>
  <c r="E49" i="3"/>
  <c r="K49" i="3" s="1"/>
  <c r="L49" i="3" s="1"/>
  <c r="E50" i="3"/>
  <c r="K50" i="3" s="1"/>
  <c r="L50" i="3" s="1"/>
  <c r="E52" i="3"/>
  <c r="E53" i="3"/>
  <c r="K53" i="3" s="1"/>
  <c r="L53" i="3" s="1"/>
  <c r="E54" i="3"/>
  <c r="K54" i="3" s="1"/>
  <c r="L54" i="3" s="1"/>
  <c r="E55" i="3"/>
  <c r="K55" i="3" s="1"/>
  <c r="L55" i="3" s="1"/>
  <c r="E56" i="3"/>
  <c r="E58" i="3"/>
  <c r="K58" i="3" s="1"/>
  <c r="L58" i="3" s="1"/>
  <c r="E59" i="3"/>
  <c r="K59" i="3" s="1"/>
  <c r="L59" i="3" s="1"/>
  <c r="E60" i="3"/>
  <c r="K60" i="3" s="1"/>
  <c r="L60" i="3" s="1"/>
  <c r="E61" i="3"/>
  <c r="K61" i="3" s="1"/>
  <c r="L61" i="3" s="1"/>
  <c r="E62" i="3"/>
  <c r="E64" i="3"/>
  <c r="K64" i="3" s="1"/>
  <c r="L64" i="3" s="1"/>
  <c r="E65" i="3"/>
  <c r="K65" i="3" s="1"/>
  <c r="L65" i="3" s="1"/>
  <c r="E66" i="3"/>
  <c r="K66" i="3" s="1"/>
  <c r="L66" i="3" s="1"/>
  <c r="E67" i="3"/>
  <c r="E68" i="3"/>
  <c r="K68" i="3" s="1"/>
  <c r="L68" i="3" s="1"/>
  <c r="E69" i="3"/>
  <c r="E70" i="3"/>
  <c r="K70" i="3" s="1"/>
  <c r="L70" i="3" s="1"/>
  <c r="E72" i="3"/>
  <c r="K72" i="3" s="1"/>
  <c r="L72" i="3" s="1"/>
  <c r="E73" i="3"/>
  <c r="K73" i="3" s="1"/>
  <c r="L73" i="3" s="1"/>
  <c r="E75" i="3"/>
  <c r="E78" i="3"/>
  <c r="K78" i="3" s="1"/>
  <c r="L78" i="3" s="1"/>
  <c r="E79" i="3"/>
  <c r="K79" i="3" s="1"/>
  <c r="L79" i="3" s="1"/>
  <c r="E80" i="3"/>
  <c r="K80" i="3" s="1"/>
  <c r="L80" i="3" s="1"/>
  <c r="E81" i="3"/>
  <c r="E83" i="3"/>
  <c r="K83" i="3" s="1"/>
  <c r="L83" i="3" s="1"/>
  <c r="E84" i="3"/>
  <c r="K84" i="3" s="1"/>
  <c r="L84" i="3" s="1"/>
  <c r="E86" i="3"/>
  <c r="K86" i="3" s="1"/>
  <c r="L86" i="3" s="1"/>
  <c r="E87" i="3"/>
  <c r="K87" i="3" s="1"/>
  <c r="L87" i="3" s="1"/>
  <c r="E89" i="3"/>
  <c r="K89" i="3" s="1"/>
  <c r="L89" i="3" s="1"/>
  <c r="E90" i="3"/>
  <c r="K90" i="3" s="1"/>
  <c r="L90" i="3" s="1"/>
  <c r="E91" i="3"/>
  <c r="K91" i="3" s="1"/>
  <c r="L91" i="3" s="1"/>
  <c r="E92" i="3"/>
  <c r="K92" i="3" s="1"/>
  <c r="L92" i="3" s="1"/>
  <c r="E93" i="3"/>
  <c r="E94" i="3"/>
  <c r="K94" i="3" s="1"/>
  <c r="L94" i="3" s="1"/>
  <c r="E95" i="3"/>
  <c r="E96" i="3"/>
  <c r="K96" i="3" s="1"/>
  <c r="L96" i="3" s="1"/>
  <c r="E98" i="3"/>
  <c r="K98" i="3" s="1"/>
  <c r="L98" i="3" s="1"/>
  <c r="E99" i="3"/>
  <c r="K99" i="3" s="1"/>
  <c r="L99" i="3" s="1"/>
  <c r="E100" i="3"/>
  <c r="K100" i="3" s="1"/>
  <c r="L100" i="3" s="1"/>
  <c r="E101" i="3"/>
  <c r="K101" i="3" s="1"/>
  <c r="L101" i="3" s="1"/>
  <c r="E102" i="3"/>
  <c r="E103" i="3"/>
  <c r="K103" i="3" s="1"/>
  <c r="L103" i="3" s="1"/>
  <c r="E104" i="3"/>
  <c r="E105" i="3"/>
  <c r="K105" i="3" s="1"/>
  <c r="L105" i="3" s="1"/>
  <c r="E106" i="3"/>
  <c r="K106" i="3" s="1"/>
  <c r="L106" i="3" s="1"/>
  <c r="E107" i="3"/>
  <c r="K107" i="3" s="1"/>
  <c r="L107" i="3" s="1"/>
  <c r="E108" i="3"/>
  <c r="K108" i="3" s="1"/>
  <c r="L108" i="3" s="1"/>
  <c r="E109" i="3"/>
  <c r="K109" i="3" s="1"/>
  <c r="L109" i="3" s="1"/>
  <c r="E110" i="3"/>
  <c r="K110" i="3" s="1"/>
  <c r="L110" i="3" s="1"/>
  <c r="E111" i="3"/>
  <c r="E112" i="3"/>
  <c r="K112" i="3" s="1"/>
  <c r="L112" i="3" s="1"/>
  <c r="E113" i="3"/>
  <c r="E114" i="3"/>
  <c r="K114" i="3" s="1"/>
  <c r="L114" i="3" s="1"/>
  <c r="E115" i="3"/>
  <c r="K115" i="3" s="1"/>
  <c r="L115" i="3" s="1"/>
  <c r="E116" i="3"/>
  <c r="K116" i="3" s="1"/>
  <c r="L116" i="3" s="1"/>
  <c r="E117" i="3"/>
  <c r="K117" i="3" s="1"/>
  <c r="L117" i="3" s="1"/>
  <c r="E118" i="3"/>
  <c r="K118" i="3" s="1"/>
  <c r="L118" i="3" s="1"/>
  <c r="E119" i="3"/>
  <c r="K119" i="3" s="1"/>
  <c r="L119" i="3" s="1"/>
  <c r="E120" i="3"/>
  <c r="K120" i="3" s="1"/>
  <c r="L120" i="3" s="1"/>
  <c r="E121" i="3"/>
  <c r="K121" i="3" s="1"/>
  <c r="L121" i="3" s="1"/>
  <c r="E122" i="3"/>
  <c r="E123" i="3"/>
  <c r="K123" i="3" s="1"/>
  <c r="L123" i="3" s="1"/>
  <c r="E124" i="3"/>
  <c r="K124" i="3" s="1"/>
  <c r="L124" i="3" s="1"/>
  <c r="E125" i="3"/>
  <c r="E126" i="3"/>
  <c r="K126" i="3" s="1"/>
  <c r="L126" i="3" s="1"/>
  <c r="E127" i="3"/>
  <c r="K127" i="3" s="1"/>
  <c r="L127" i="3" s="1"/>
  <c r="E128" i="3"/>
  <c r="E129" i="3"/>
  <c r="E130" i="3"/>
  <c r="E131" i="3"/>
  <c r="K131" i="3" s="1"/>
  <c r="L131" i="3" s="1"/>
  <c r="E132" i="3"/>
  <c r="K132" i="3" s="1"/>
  <c r="L132" i="3" s="1"/>
  <c r="E133" i="3"/>
  <c r="K133" i="3" s="1"/>
  <c r="L133" i="3" s="1"/>
  <c r="E134" i="3"/>
  <c r="K134" i="3" s="1"/>
  <c r="L134" i="3" s="1"/>
  <c r="E135" i="3"/>
  <c r="K135" i="3" s="1"/>
  <c r="L135" i="3" s="1"/>
  <c r="E136" i="3"/>
  <c r="K136" i="3" s="1"/>
  <c r="L136" i="3" s="1"/>
  <c r="E137" i="3"/>
  <c r="K137" i="3" s="1"/>
  <c r="L137" i="3" s="1"/>
  <c r="E138" i="3"/>
  <c r="K138" i="3" s="1"/>
  <c r="L138" i="3" s="1"/>
  <c r="E139" i="3"/>
  <c r="E140" i="3"/>
  <c r="E141" i="3"/>
  <c r="K141" i="3" s="1"/>
  <c r="L141" i="3" s="1"/>
  <c r="E142" i="3"/>
  <c r="K142" i="3" s="1"/>
  <c r="L142" i="3" s="1"/>
  <c r="E143" i="3"/>
  <c r="K143" i="3" s="1"/>
  <c r="L143" i="3" s="1"/>
  <c r="E144" i="3"/>
  <c r="K144" i="3" s="1"/>
  <c r="L144" i="3" s="1"/>
  <c r="E145" i="3"/>
  <c r="K145" i="3" s="1"/>
  <c r="L145" i="3" s="1"/>
  <c r="E146" i="3"/>
  <c r="E147" i="3"/>
  <c r="K147" i="3" s="1"/>
  <c r="L147" i="3" s="1"/>
  <c r="E148" i="3"/>
  <c r="E149" i="3"/>
  <c r="K149" i="3" s="1"/>
  <c r="L149" i="3" s="1"/>
  <c r="E150" i="3"/>
  <c r="K150" i="3" s="1"/>
  <c r="L150" i="3" s="1"/>
  <c r="E151" i="3"/>
  <c r="K151" i="3" s="1"/>
  <c r="L151" i="3" s="1"/>
  <c r="E152" i="3"/>
  <c r="K152" i="3" s="1"/>
  <c r="L152" i="3" s="1"/>
  <c r="E153" i="3"/>
  <c r="K153" i="3" s="1"/>
  <c r="L153" i="3" s="1"/>
  <c r="E154" i="3"/>
  <c r="E155" i="3"/>
  <c r="E156" i="3"/>
  <c r="K156" i="3" s="1"/>
  <c r="L156" i="3" s="1"/>
  <c r="E157" i="3"/>
  <c r="E158" i="3"/>
  <c r="K158" i="3" s="1"/>
  <c r="L158" i="3" s="1"/>
  <c r="E160" i="3"/>
  <c r="K160" i="3" s="1"/>
  <c r="L160" i="3" s="1"/>
  <c r="E161" i="3"/>
  <c r="K161" i="3" s="1"/>
  <c r="L161" i="3" s="1"/>
  <c r="E162" i="3"/>
  <c r="K162" i="3" s="1"/>
  <c r="L162" i="3" s="1"/>
  <c r="E163" i="3"/>
  <c r="K163" i="3" s="1"/>
  <c r="L163" i="3" s="1"/>
  <c r="E164" i="3"/>
  <c r="K164" i="3" s="1"/>
  <c r="L164" i="3" s="1"/>
  <c r="E165" i="3"/>
  <c r="K165" i="3" s="1"/>
  <c r="L165" i="3" s="1"/>
  <c r="E166" i="3"/>
  <c r="K166" i="3" s="1"/>
  <c r="L166" i="3" s="1"/>
  <c r="E167" i="3"/>
  <c r="K167" i="3" s="1"/>
  <c r="L167" i="3" s="1"/>
  <c r="E168" i="3"/>
  <c r="K168" i="3" s="1"/>
  <c r="L168" i="3" s="1"/>
  <c r="E169" i="3"/>
  <c r="K169" i="3" s="1"/>
  <c r="L169" i="3" s="1"/>
  <c r="E170" i="3"/>
  <c r="K170" i="3" s="1"/>
  <c r="L170" i="3" s="1"/>
  <c r="E171" i="3"/>
  <c r="E172" i="3"/>
  <c r="K172" i="3" s="1"/>
  <c r="L172" i="3" s="1"/>
  <c r="E173" i="3"/>
  <c r="K173" i="3" s="1"/>
  <c r="L173" i="3" s="1"/>
  <c r="E174" i="3"/>
  <c r="E175" i="3"/>
  <c r="K175" i="3" s="1"/>
  <c r="L175" i="3" s="1"/>
  <c r="E176" i="3"/>
  <c r="E177" i="3"/>
  <c r="E178" i="3"/>
  <c r="K178" i="3" s="1"/>
  <c r="L178" i="3" s="1"/>
  <c r="E180" i="3"/>
  <c r="K180" i="3" s="1"/>
  <c r="L180" i="3" s="1"/>
  <c r="E181" i="3"/>
  <c r="E182" i="3"/>
  <c r="K182" i="3" s="1"/>
  <c r="L182" i="3" s="1"/>
  <c r="E183" i="3"/>
  <c r="E184" i="3"/>
  <c r="K184" i="3" s="1"/>
  <c r="L184" i="3" s="1"/>
  <c r="E185" i="3"/>
  <c r="K185" i="3" s="1"/>
  <c r="L185" i="3" s="1"/>
  <c r="E187" i="3"/>
  <c r="K187" i="3" s="1"/>
  <c r="L187" i="3" s="1"/>
  <c r="E188" i="3"/>
  <c r="E189" i="3"/>
  <c r="E190" i="3"/>
  <c r="E191" i="3"/>
  <c r="K191" i="3" s="1"/>
  <c r="L191" i="3" s="1"/>
  <c r="E15" i="3"/>
  <c r="I191" i="3"/>
  <c r="D191" i="3"/>
  <c r="C191" i="3"/>
  <c r="B191" i="3"/>
  <c r="A191" i="3"/>
  <c r="I190" i="3"/>
  <c r="D190" i="3"/>
  <c r="C190" i="3"/>
  <c r="B190" i="3"/>
  <c r="A190" i="3"/>
  <c r="I189" i="3"/>
  <c r="D189" i="3"/>
  <c r="C189" i="3"/>
  <c r="B189" i="3"/>
  <c r="A189" i="3"/>
  <c r="I188" i="3"/>
  <c r="D188" i="3"/>
  <c r="C188" i="3"/>
  <c r="B188" i="3"/>
  <c r="A188" i="3"/>
  <c r="I187" i="3"/>
  <c r="D187" i="3"/>
  <c r="C187" i="3"/>
  <c r="B187" i="3"/>
  <c r="A187" i="3"/>
  <c r="B186" i="3"/>
  <c r="A186" i="3"/>
  <c r="I185" i="3"/>
  <c r="D185" i="3"/>
  <c r="C185" i="3"/>
  <c r="B185" i="3"/>
  <c r="A185" i="3"/>
  <c r="I184" i="3"/>
  <c r="D184" i="3"/>
  <c r="C184" i="3"/>
  <c r="B184" i="3"/>
  <c r="A184" i="3"/>
  <c r="I183" i="3"/>
  <c r="D183" i="3"/>
  <c r="C183" i="3"/>
  <c r="B183" i="3"/>
  <c r="A183" i="3"/>
  <c r="I182" i="3"/>
  <c r="D182" i="3"/>
  <c r="C182" i="3"/>
  <c r="B182" i="3"/>
  <c r="A182" i="3"/>
  <c r="I181" i="3"/>
  <c r="D181" i="3"/>
  <c r="C181" i="3"/>
  <c r="B181" i="3"/>
  <c r="A181" i="3"/>
  <c r="I180" i="3"/>
  <c r="D180" i="3"/>
  <c r="C180" i="3"/>
  <c r="B180" i="3"/>
  <c r="A180" i="3"/>
  <c r="B179" i="3"/>
  <c r="A179" i="3"/>
  <c r="I178" i="3"/>
  <c r="D178" i="3"/>
  <c r="C178" i="3"/>
  <c r="B178" i="3"/>
  <c r="A178" i="3"/>
  <c r="I177" i="3"/>
  <c r="D177" i="3"/>
  <c r="C177" i="3"/>
  <c r="B177" i="3"/>
  <c r="A177" i="3"/>
  <c r="I176" i="3"/>
  <c r="D176" i="3"/>
  <c r="C176" i="3"/>
  <c r="B176" i="3"/>
  <c r="A176" i="3"/>
  <c r="I175" i="3"/>
  <c r="D175" i="3"/>
  <c r="C175" i="3"/>
  <c r="B175" i="3"/>
  <c r="A175" i="3"/>
  <c r="I174" i="3"/>
  <c r="D174" i="3"/>
  <c r="C174" i="3"/>
  <c r="B174" i="3"/>
  <c r="A174" i="3"/>
  <c r="I173" i="3"/>
  <c r="D173" i="3"/>
  <c r="C173" i="3"/>
  <c r="B173" i="3"/>
  <c r="A173" i="3"/>
  <c r="I172" i="3"/>
  <c r="D172" i="3"/>
  <c r="C172" i="3"/>
  <c r="B172" i="3"/>
  <c r="A172" i="3"/>
  <c r="I171" i="3"/>
  <c r="D171" i="3"/>
  <c r="C171" i="3"/>
  <c r="B171" i="3"/>
  <c r="A171" i="3"/>
  <c r="I170" i="3"/>
  <c r="D170" i="3"/>
  <c r="C170" i="3"/>
  <c r="B170" i="3"/>
  <c r="A170" i="3"/>
  <c r="I169" i="3"/>
  <c r="D169" i="3"/>
  <c r="C169" i="3"/>
  <c r="B169" i="3"/>
  <c r="A169" i="3"/>
  <c r="I168" i="3"/>
  <c r="D168" i="3"/>
  <c r="C168" i="3"/>
  <c r="B168" i="3"/>
  <c r="A168" i="3"/>
  <c r="I167" i="3"/>
  <c r="D167" i="3"/>
  <c r="C167" i="3"/>
  <c r="B167" i="3"/>
  <c r="A167" i="3"/>
  <c r="I166" i="3"/>
  <c r="D166" i="3"/>
  <c r="C166" i="3"/>
  <c r="B166" i="3"/>
  <c r="A166" i="3"/>
  <c r="I165" i="3"/>
  <c r="D165" i="3"/>
  <c r="C165" i="3"/>
  <c r="B165" i="3"/>
  <c r="A165" i="3"/>
  <c r="I164" i="3"/>
  <c r="D164" i="3"/>
  <c r="C164" i="3"/>
  <c r="B164" i="3"/>
  <c r="A164" i="3"/>
  <c r="I163" i="3"/>
  <c r="D163" i="3"/>
  <c r="C163" i="3"/>
  <c r="B163" i="3"/>
  <c r="A163" i="3"/>
  <c r="I162" i="3"/>
  <c r="D162" i="3"/>
  <c r="C162" i="3"/>
  <c r="B162" i="3"/>
  <c r="A162" i="3"/>
  <c r="I161" i="3"/>
  <c r="D161" i="3"/>
  <c r="C161" i="3"/>
  <c r="B161" i="3"/>
  <c r="A161" i="3"/>
  <c r="I160" i="3"/>
  <c r="D160" i="3"/>
  <c r="C160" i="3"/>
  <c r="B160" i="3"/>
  <c r="A160" i="3"/>
  <c r="B159" i="3"/>
  <c r="A159" i="3"/>
  <c r="I158" i="3"/>
  <c r="D158" i="3"/>
  <c r="C158" i="3"/>
  <c r="B158" i="3"/>
  <c r="A158" i="3"/>
  <c r="I157" i="3"/>
  <c r="D157" i="3"/>
  <c r="C157" i="3"/>
  <c r="B157" i="3"/>
  <c r="A157" i="3"/>
  <c r="I156" i="3"/>
  <c r="D156" i="3"/>
  <c r="C156" i="3"/>
  <c r="B156" i="3"/>
  <c r="A156" i="3"/>
  <c r="I155" i="3"/>
  <c r="D155" i="3"/>
  <c r="C155" i="3"/>
  <c r="B155" i="3"/>
  <c r="A155" i="3"/>
  <c r="I154" i="3"/>
  <c r="D154" i="3"/>
  <c r="C154" i="3"/>
  <c r="B154" i="3"/>
  <c r="A154" i="3"/>
  <c r="I153" i="3"/>
  <c r="D153" i="3"/>
  <c r="C153" i="3"/>
  <c r="B153" i="3"/>
  <c r="A153" i="3"/>
  <c r="I152" i="3"/>
  <c r="D152" i="3"/>
  <c r="C152" i="3"/>
  <c r="B152" i="3"/>
  <c r="A152" i="3"/>
  <c r="I151" i="3"/>
  <c r="D151" i="3"/>
  <c r="C151" i="3"/>
  <c r="B151" i="3"/>
  <c r="A151" i="3"/>
  <c r="I150" i="3"/>
  <c r="D150" i="3"/>
  <c r="C150" i="3"/>
  <c r="B150" i="3"/>
  <c r="A150" i="3"/>
  <c r="I149" i="3"/>
  <c r="D149" i="3"/>
  <c r="C149" i="3"/>
  <c r="B149" i="3"/>
  <c r="A149" i="3"/>
  <c r="I148" i="3"/>
  <c r="D148" i="3"/>
  <c r="C148" i="3"/>
  <c r="B148" i="3"/>
  <c r="A148" i="3"/>
  <c r="I147" i="3"/>
  <c r="D147" i="3"/>
  <c r="C147" i="3"/>
  <c r="B147" i="3"/>
  <c r="A147" i="3"/>
  <c r="I146" i="3"/>
  <c r="D146" i="3"/>
  <c r="C146" i="3"/>
  <c r="B146" i="3"/>
  <c r="A146" i="3"/>
  <c r="I145" i="3"/>
  <c r="D145" i="3"/>
  <c r="C145" i="3"/>
  <c r="B145" i="3"/>
  <c r="A145" i="3"/>
  <c r="I144" i="3"/>
  <c r="D144" i="3"/>
  <c r="C144" i="3"/>
  <c r="B144" i="3"/>
  <c r="A144" i="3"/>
  <c r="I143" i="3"/>
  <c r="D143" i="3"/>
  <c r="C143" i="3"/>
  <c r="B143" i="3"/>
  <c r="A143" i="3"/>
  <c r="I142" i="3"/>
  <c r="D142" i="3"/>
  <c r="C142" i="3"/>
  <c r="B142" i="3"/>
  <c r="A142" i="3"/>
  <c r="I141" i="3"/>
  <c r="D141" i="3"/>
  <c r="C141" i="3"/>
  <c r="B141" i="3"/>
  <c r="A141" i="3"/>
  <c r="I140" i="3"/>
  <c r="D140" i="3"/>
  <c r="C140" i="3"/>
  <c r="B140" i="3"/>
  <c r="A140" i="3"/>
  <c r="I139" i="3"/>
  <c r="D139" i="3"/>
  <c r="C139" i="3"/>
  <c r="B139" i="3"/>
  <c r="A139" i="3"/>
  <c r="I138" i="3"/>
  <c r="D138" i="3"/>
  <c r="C138" i="3"/>
  <c r="B138" i="3"/>
  <c r="A138" i="3"/>
  <c r="I137" i="3"/>
  <c r="D137" i="3"/>
  <c r="C137" i="3"/>
  <c r="B137" i="3"/>
  <c r="A137" i="3"/>
  <c r="I136" i="3"/>
  <c r="D136" i="3"/>
  <c r="C136" i="3"/>
  <c r="B136" i="3"/>
  <c r="A136" i="3"/>
  <c r="I135" i="3"/>
  <c r="D135" i="3"/>
  <c r="C135" i="3"/>
  <c r="B135" i="3"/>
  <c r="A135" i="3"/>
  <c r="I134" i="3"/>
  <c r="D134" i="3"/>
  <c r="C134" i="3"/>
  <c r="B134" i="3"/>
  <c r="A134" i="3"/>
  <c r="I133" i="3"/>
  <c r="D133" i="3"/>
  <c r="C133" i="3"/>
  <c r="B133" i="3"/>
  <c r="A133" i="3"/>
  <c r="I132" i="3"/>
  <c r="D132" i="3"/>
  <c r="C132" i="3"/>
  <c r="B132" i="3"/>
  <c r="A132" i="3"/>
  <c r="I131" i="3"/>
  <c r="D131" i="3"/>
  <c r="C131" i="3"/>
  <c r="B131" i="3"/>
  <c r="A131" i="3"/>
  <c r="I130" i="3"/>
  <c r="D130" i="3"/>
  <c r="C130" i="3"/>
  <c r="B130" i="3"/>
  <c r="A130" i="3"/>
  <c r="I129" i="3"/>
  <c r="D129" i="3"/>
  <c r="C129" i="3"/>
  <c r="B129" i="3"/>
  <c r="A129" i="3"/>
  <c r="I128" i="3"/>
  <c r="D128" i="3"/>
  <c r="C128" i="3"/>
  <c r="B128" i="3"/>
  <c r="A128" i="3"/>
  <c r="I127" i="3"/>
  <c r="D127" i="3"/>
  <c r="C127" i="3"/>
  <c r="B127" i="3"/>
  <c r="A127" i="3"/>
  <c r="I126" i="3"/>
  <c r="D126" i="3"/>
  <c r="C126" i="3"/>
  <c r="B126" i="3"/>
  <c r="A126" i="3"/>
  <c r="I125" i="3"/>
  <c r="D125" i="3"/>
  <c r="C125" i="3"/>
  <c r="B125" i="3"/>
  <c r="A125" i="3"/>
  <c r="I124" i="3"/>
  <c r="D124" i="3"/>
  <c r="C124" i="3"/>
  <c r="B124" i="3"/>
  <c r="A124" i="3"/>
  <c r="I123" i="3"/>
  <c r="D123" i="3"/>
  <c r="C123" i="3"/>
  <c r="B123" i="3"/>
  <c r="A123" i="3"/>
  <c r="I122" i="3"/>
  <c r="D122" i="3"/>
  <c r="C122" i="3"/>
  <c r="B122" i="3"/>
  <c r="A122" i="3"/>
  <c r="I121" i="3"/>
  <c r="D121" i="3"/>
  <c r="C121" i="3"/>
  <c r="B121" i="3"/>
  <c r="A121" i="3"/>
  <c r="I120" i="3"/>
  <c r="D120" i="3"/>
  <c r="C120" i="3"/>
  <c r="B120" i="3"/>
  <c r="A120" i="3"/>
  <c r="I119" i="3"/>
  <c r="D119" i="3"/>
  <c r="C119" i="3"/>
  <c r="B119" i="3"/>
  <c r="A119" i="3"/>
  <c r="I118" i="3"/>
  <c r="D118" i="3"/>
  <c r="C118" i="3"/>
  <c r="B118" i="3"/>
  <c r="A118" i="3"/>
  <c r="I117" i="3"/>
  <c r="D117" i="3"/>
  <c r="C117" i="3"/>
  <c r="B117" i="3"/>
  <c r="A117" i="3"/>
  <c r="I116" i="3"/>
  <c r="D116" i="3"/>
  <c r="C116" i="3"/>
  <c r="B116" i="3"/>
  <c r="A116" i="3"/>
  <c r="I115" i="3"/>
  <c r="D115" i="3"/>
  <c r="C115" i="3"/>
  <c r="B115" i="3"/>
  <c r="A115" i="3"/>
  <c r="I114" i="3"/>
  <c r="D114" i="3"/>
  <c r="C114" i="3"/>
  <c r="B114" i="3"/>
  <c r="A114" i="3"/>
  <c r="I113" i="3"/>
  <c r="D113" i="3"/>
  <c r="C113" i="3"/>
  <c r="B113" i="3"/>
  <c r="A113" i="3"/>
  <c r="I112" i="3"/>
  <c r="D112" i="3"/>
  <c r="C112" i="3"/>
  <c r="B112" i="3"/>
  <c r="A112" i="3"/>
  <c r="I111" i="3"/>
  <c r="D111" i="3"/>
  <c r="C111" i="3"/>
  <c r="B111" i="3"/>
  <c r="A111" i="3"/>
  <c r="I110" i="3"/>
  <c r="D110" i="3"/>
  <c r="C110" i="3"/>
  <c r="B110" i="3"/>
  <c r="A110" i="3"/>
  <c r="I109" i="3"/>
  <c r="D109" i="3"/>
  <c r="C109" i="3"/>
  <c r="B109" i="3"/>
  <c r="A109" i="3"/>
  <c r="I108" i="3"/>
  <c r="D108" i="3"/>
  <c r="C108" i="3"/>
  <c r="B108" i="3"/>
  <c r="A108" i="3"/>
  <c r="I107" i="3"/>
  <c r="D107" i="3"/>
  <c r="C107" i="3"/>
  <c r="B107" i="3"/>
  <c r="A107" i="3"/>
  <c r="I106" i="3"/>
  <c r="D106" i="3"/>
  <c r="C106" i="3"/>
  <c r="B106" i="3"/>
  <c r="A106" i="3"/>
  <c r="I105" i="3"/>
  <c r="D105" i="3"/>
  <c r="C105" i="3"/>
  <c r="B105" i="3"/>
  <c r="A105" i="3"/>
  <c r="I104" i="3"/>
  <c r="D104" i="3"/>
  <c r="C104" i="3"/>
  <c r="B104" i="3"/>
  <c r="A104" i="3"/>
  <c r="I103" i="3"/>
  <c r="D103" i="3"/>
  <c r="C103" i="3"/>
  <c r="B103" i="3"/>
  <c r="A103" i="3"/>
  <c r="I102" i="3"/>
  <c r="D102" i="3"/>
  <c r="C102" i="3"/>
  <c r="B102" i="3"/>
  <c r="A102" i="3"/>
  <c r="I101" i="3"/>
  <c r="D101" i="3"/>
  <c r="C101" i="3"/>
  <c r="B101" i="3"/>
  <c r="A101" i="3"/>
  <c r="I100" i="3"/>
  <c r="D100" i="3"/>
  <c r="C100" i="3"/>
  <c r="B100" i="3"/>
  <c r="A100" i="3"/>
  <c r="I99" i="3"/>
  <c r="D99" i="3"/>
  <c r="C99" i="3"/>
  <c r="B99" i="3"/>
  <c r="A99" i="3"/>
  <c r="I98" i="3"/>
  <c r="D98" i="3"/>
  <c r="C98" i="3"/>
  <c r="B98" i="3"/>
  <c r="A98" i="3"/>
  <c r="B97" i="3"/>
  <c r="A97" i="3"/>
  <c r="I96" i="3"/>
  <c r="D96" i="3"/>
  <c r="C96" i="3"/>
  <c r="B96" i="3"/>
  <c r="A96" i="3"/>
  <c r="I95" i="3"/>
  <c r="D95" i="3"/>
  <c r="C95" i="3"/>
  <c r="B95" i="3"/>
  <c r="A95" i="3"/>
  <c r="I94" i="3"/>
  <c r="D94" i="3"/>
  <c r="C94" i="3"/>
  <c r="B94" i="3"/>
  <c r="A94" i="3"/>
  <c r="I93" i="3"/>
  <c r="D93" i="3"/>
  <c r="C93" i="3"/>
  <c r="B93" i="3"/>
  <c r="A93" i="3"/>
  <c r="I92" i="3"/>
  <c r="D92" i="3"/>
  <c r="C92" i="3"/>
  <c r="B92" i="3"/>
  <c r="A92" i="3"/>
  <c r="I91" i="3"/>
  <c r="D91" i="3"/>
  <c r="C91" i="3"/>
  <c r="B91" i="3"/>
  <c r="A91" i="3"/>
  <c r="I90" i="3"/>
  <c r="D90" i="3"/>
  <c r="C90" i="3"/>
  <c r="B90" i="3"/>
  <c r="A90" i="3"/>
  <c r="I89" i="3"/>
  <c r="D89" i="3"/>
  <c r="C89" i="3"/>
  <c r="B89" i="3"/>
  <c r="A89" i="3"/>
  <c r="B88" i="3"/>
  <c r="A88" i="3"/>
  <c r="I87" i="3"/>
  <c r="D87" i="3"/>
  <c r="C87" i="3"/>
  <c r="B87" i="3"/>
  <c r="A87" i="3"/>
  <c r="I86" i="3"/>
  <c r="D86" i="3"/>
  <c r="C86" i="3"/>
  <c r="B86" i="3"/>
  <c r="A86" i="3"/>
  <c r="B85" i="3"/>
  <c r="A85" i="3"/>
  <c r="I84" i="3"/>
  <c r="D84" i="3"/>
  <c r="C84" i="3"/>
  <c r="B84" i="3"/>
  <c r="A84" i="3"/>
  <c r="I83" i="3"/>
  <c r="D83" i="3"/>
  <c r="C83" i="3"/>
  <c r="B83" i="3"/>
  <c r="A83" i="3"/>
  <c r="B82" i="3"/>
  <c r="A82" i="3"/>
  <c r="I81" i="3"/>
  <c r="D81" i="3"/>
  <c r="C81" i="3"/>
  <c r="B81" i="3"/>
  <c r="A81" i="3"/>
  <c r="I80" i="3"/>
  <c r="C80" i="3"/>
  <c r="B80" i="3"/>
  <c r="A80" i="3"/>
  <c r="I79" i="3"/>
  <c r="D79" i="3"/>
  <c r="C79" i="3"/>
  <c r="B79" i="3"/>
  <c r="A79" i="3"/>
  <c r="I78" i="3"/>
  <c r="C78" i="3"/>
  <c r="B78" i="3"/>
  <c r="A78" i="3"/>
  <c r="B77" i="3"/>
  <c r="A77" i="3"/>
  <c r="B76" i="3"/>
  <c r="A76" i="3"/>
  <c r="I75" i="3"/>
  <c r="D75" i="3"/>
  <c r="C75" i="3"/>
  <c r="B75" i="3"/>
  <c r="A75" i="3"/>
  <c r="B74" i="3"/>
  <c r="A74" i="3"/>
  <c r="I73" i="3"/>
  <c r="D73" i="3"/>
  <c r="C73" i="3"/>
  <c r="B73" i="3"/>
  <c r="A73" i="3"/>
  <c r="I72" i="3"/>
  <c r="D72" i="3"/>
  <c r="C72" i="3"/>
  <c r="B72" i="3"/>
  <c r="A72" i="3"/>
  <c r="B71" i="3"/>
  <c r="A71" i="3"/>
  <c r="I70" i="3"/>
  <c r="D70" i="3"/>
  <c r="C70" i="3"/>
  <c r="B70" i="3"/>
  <c r="A70" i="3"/>
  <c r="I69" i="3"/>
  <c r="D69" i="3"/>
  <c r="C69" i="3"/>
  <c r="B69" i="3"/>
  <c r="A69" i="3"/>
  <c r="I68" i="3"/>
  <c r="D68" i="3"/>
  <c r="C68" i="3"/>
  <c r="B68" i="3"/>
  <c r="A68" i="3"/>
  <c r="I67" i="3"/>
  <c r="C67" i="3"/>
  <c r="B67" i="3"/>
  <c r="A67" i="3"/>
  <c r="I66" i="3"/>
  <c r="D66" i="3"/>
  <c r="C66" i="3"/>
  <c r="B66" i="3"/>
  <c r="A66" i="3"/>
  <c r="I65" i="3"/>
  <c r="D65" i="3"/>
  <c r="C65" i="3"/>
  <c r="B65" i="3"/>
  <c r="A65" i="3"/>
  <c r="I64" i="3"/>
  <c r="D64" i="3"/>
  <c r="C64" i="3"/>
  <c r="B64" i="3"/>
  <c r="A64" i="3"/>
  <c r="B63" i="3"/>
  <c r="A63" i="3"/>
  <c r="I62" i="3"/>
  <c r="D62" i="3"/>
  <c r="C62" i="3"/>
  <c r="B62" i="3"/>
  <c r="A62" i="3"/>
  <c r="I61" i="3"/>
  <c r="D61" i="3"/>
  <c r="C61" i="3"/>
  <c r="B61" i="3"/>
  <c r="A61" i="3"/>
  <c r="I60" i="3"/>
  <c r="D60" i="3"/>
  <c r="C60" i="3"/>
  <c r="B60" i="3"/>
  <c r="A60" i="3"/>
  <c r="I59" i="3"/>
  <c r="D59" i="3"/>
  <c r="C59" i="3"/>
  <c r="B59" i="3"/>
  <c r="A59" i="3"/>
  <c r="I58" i="3"/>
  <c r="D58" i="3"/>
  <c r="C58" i="3"/>
  <c r="B58" i="3"/>
  <c r="A58" i="3"/>
  <c r="B57" i="3"/>
  <c r="A57" i="3"/>
  <c r="I56" i="3"/>
  <c r="D56" i="3"/>
  <c r="C56" i="3"/>
  <c r="B56" i="3"/>
  <c r="A56" i="3"/>
  <c r="I55" i="3"/>
  <c r="D55" i="3"/>
  <c r="C55" i="3"/>
  <c r="B55" i="3"/>
  <c r="A55" i="3"/>
  <c r="I54" i="3"/>
  <c r="D54" i="3"/>
  <c r="C54" i="3"/>
  <c r="B54" i="3"/>
  <c r="A54" i="3"/>
  <c r="I53" i="3"/>
  <c r="D53" i="3"/>
  <c r="C53" i="3"/>
  <c r="B53" i="3"/>
  <c r="A53" i="3"/>
  <c r="I52" i="3"/>
  <c r="D52" i="3"/>
  <c r="C52" i="3"/>
  <c r="B52" i="3"/>
  <c r="A52" i="3"/>
  <c r="B51" i="3"/>
  <c r="A51" i="3"/>
  <c r="I50" i="3"/>
  <c r="D50" i="3"/>
  <c r="C50" i="3"/>
  <c r="B50" i="3"/>
  <c r="A50" i="3"/>
  <c r="I49" i="3"/>
  <c r="D49" i="3"/>
  <c r="C49" i="3"/>
  <c r="B49" i="3"/>
  <c r="A49" i="3"/>
  <c r="I48" i="3"/>
  <c r="D48" i="3"/>
  <c r="C48" i="3"/>
  <c r="B48" i="3"/>
  <c r="A48" i="3"/>
  <c r="B47" i="3"/>
  <c r="A47" i="3"/>
  <c r="I46" i="3"/>
  <c r="D46" i="3"/>
  <c r="C46" i="3"/>
  <c r="B46" i="3"/>
  <c r="A46" i="3"/>
  <c r="I45" i="3"/>
  <c r="D45" i="3"/>
  <c r="C45" i="3"/>
  <c r="B45" i="3"/>
  <c r="A45" i="3"/>
  <c r="I44" i="3"/>
  <c r="D44" i="3"/>
  <c r="C44" i="3"/>
  <c r="B44" i="3"/>
  <c r="A44" i="3"/>
  <c r="I43" i="3"/>
  <c r="D43" i="3"/>
  <c r="C43" i="3"/>
  <c r="B43" i="3"/>
  <c r="A43" i="3"/>
  <c r="I42" i="3"/>
  <c r="D42" i="3"/>
  <c r="C42" i="3"/>
  <c r="B42" i="3"/>
  <c r="A42" i="3"/>
  <c r="I41" i="3"/>
  <c r="D41" i="3"/>
  <c r="C41" i="3"/>
  <c r="B41" i="3"/>
  <c r="A41" i="3"/>
  <c r="I40" i="3"/>
  <c r="D40" i="3"/>
  <c r="C40" i="3"/>
  <c r="B40" i="3"/>
  <c r="A40" i="3"/>
  <c r="I39" i="3"/>
  <c r="D39" i="3"/>
  <c r="C39" i="3"/>
  <c r="B39" i="3"/>
  <c r="A39" i="3"/>
  <c r="I38" i="3"/>
  <c r="D38" i="3"/>
  <c r="C38" i="3"/>
  <c r="B38" i="3"/>
  <c r="A38" i="3"/>
  <c r="I37" i="3"/>
  <c r="D37" i="3"/>
  <c r="C37" i="3"/>
  <c r="B37" i="3"/>
  <c r="A37" i="3"/>
  <c r="B36" i="3"/>
  <c r="A36" i="3"/>
  <c r="I35" i="3"/>
  <c r="C35" i="3"/>
  <c r="B35" i="3"/>
  <c r="A35" i="3"/>
  <c r="I34" i="3"/>
  <c r="D34" i="3"/>
  <c r="C34" i="3"/>
  <c r="B34" i="3"/>
  <c r="A34" i="3"/>
  <c r="I33" i="3"/>
  <c r="D33" i="3"/>
  <c r="C33" i="3"/>
  <c r="B33" i="3"/>
  <c r="A33" i="3"/>
  <c r="B32" i="3"/>
  <c r="A32" i="3"/>
  <c r="D31" i="3"/>
  <c r="H31" i="3" s="1"/>
  <c r="I31" i="3" s="1"/>
  <c r="C31" i="3"/>
  <c r="B31" i="3"/>
  <c r="A31" i="3"/>
  <c r="D30" i="3"/>
  <c r="H30" i="3" s="1"/>
  <c r="C30" i="3"/>
  <c r="B30" i="3"/>
  <c r="A30" i="3"/>
  <c r="D29" i="3"/>
  <c r="H29" i="3" s="1"/>
  <c r="I29" i="3" s="1"/>
  <c r="C29" i="3"/>
  <c r="B29" i="3"/>
  <c r="A29" i="3"/>
  <c r="D28" i="3"/>
  <c r="H28" i="3" s="1"/>
  <c r="I28" i="3" s="1"/>
  <c r="C28" i="3"/>
  <c r="B28" i="3"/>
  <c r="A28" i="3"/>
  <c r="D27" i="3"/>
  <c r="H27" i="3" s="1"/>
  <c r="I27" i="3" s="1"/>
  <c r="C27" i="3"/>
  <c r="B27" i="3"/>
  <c r="A27" i="3"/>
  <c r="D26" i="3"/>
  <c r="H26" i="3" s="1"/>
  <c r="C26" i="3"/>
  <c r="B26" i="3"/>
  <c r="A26" i="3"/>
  <c r="D25" i="3"/>
  <c r="H25" i="3" s="1"/>
  <c r="I25" i="3" s="1"/>
  <c r="C25" i="3"/>
  <c r="B25" i="3"/>
  <c r="A25" i="3"/>
  <c r="D24" i="3"/>
  <c r="H24" i="3" s="1"/>
  <c r="I24" i="3" s="1"/>
  <c r="C24" i="3"/>
  <c r="B24" i="3"/>
  <c r="A24" i="3"/>
  <c r="B23" i="3"/>
  <c r="A23" i="3"/>
  <c r="D22" i="3"/>
  <c r="H22" i="3" s="1"/>
  <c r="I22" i="3" s="1"/>
  <c r="C22" i="3"/>
  <c r="B22" i="3"/>
  <c r="A22" i="3"/>
  <c r="B21" i="3"/>
  <c r="A21" i="3"/>
  <c r="I20" i="3"/>
  <c r="D20" i="3"/>
  <c r="C20" i="3"/>
  <c r="B20" i="3"/>
  <c r="A20" i="3"/>
  <c r="D19" i="3"/>
  <c r="H19" i="3" s="1"/>
  <c r="I19" i="3" s="1"/>
  <c r="C19" i="3"/>
  <c r="B19" i="3"/>
  <c r="A19" i="3"/>
  <c r="D18" i="3"/>
  <c r="H18" i="3" s="1"/>
  <c r="C18" i="3"/>
  <c r="B18" i="3"/>
  <c r="A18" i="3"/>
  <c r="D17" i="3"/>
  <c r="H17" i="3" s="1"/>
  <c r="C17" i="3"/>
  <c r="B17" i="3"/>
  <c r="A17" i="3"/>
  <c r="B16" i="3"/>
  <c r="A16" i="3"/>
  <c r="D15" i="3"/>
  <c r="C15" i="3"/>
  <c r="A15" i="3"/>
  <c r="B15" i="3"/>
  <c r="A14" i="3"/>
  <c r="B14" i="3"/>
  <c r="B13" i="3"/>
  <c r="A13" i="3"/>
  <c r="J192" i="3"/>
  <c r="G7" i="3"/>
  <c r="W129" i="1"/>
  <c r="W128" i="1"/>
  <c r="W126" i="1"/>
  <c r="W125" i="1"/>
  <c r="W124" i="1"/>
  <c r="W123" i="1"/>
  <c r="W122" i="1"/>
  <c r="W121" i="1"/>
  <c r="W120" i="1"/>
  <c r="W119" i="1"/>
  <c r="W118" i="1"/>
  <c r="W117" i="1"/>
  <c r="W116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3" i="1"/>
  <c r="W72" i="1"/>
  <c r="W71" i="1"/>
  <c r="W70" i="1"/>
  <c r="W69" i="1"/>
  <c r="W68" i="1"/>
  <c r="W66" i="1"/>
  <c r="W64" i="1"/>
  <c r="W63" i="1"/>
  <c r="W61" i="1"/>
  <c r="W60" i="1"/>
  <c r="W57" i="1"/>
  <c r="W55" i="1"/>
  <c r="W54" i="1"/>
  <c r="W52" i="1"/>
  <c r="W51" i="1"/>
  <c r="W50" i="1"/>
  <c r="W49" i="1"/>
  <c r="W47" i="1"/>
  <c r="W45" i="1"/>
  <c r="W43" i="1"/>
  <c r="W41" i="1"/>
  <c r="W40" i="1"/>
  <c r="W39" i="1"/>
  <c r="W38" i="1"/>
  <c r="W36" i="1"/>
  <c r="W35" i="1"/>
  <c r="W34" i="1"/>
  <c r="W32" i="1"/>
  <c r="W31" i="1"/>
  <c r="W30" i="1"/>
  <c r="W29" i="1"/>
  <c r="W28" i="1"/>
  <c r="W27" i="1"/>
  <c r="W26" i="1"/>
  <c r="W24" i="1"/>
  <c r="W23" i="1"/>
  <c r="W22" i="1"/>
  <c r="W20" i="1"/>
  <c r="W19" i="1"/>
  <c r="W18" i="1"/>
  <c r="W17" i="1"/>
  <c r="W16" i="1"/>
  <c r="W15" i="1"/>
  <c r="W14" i="1"/>
  <c r="W13" i="1"/>
  <c r="W11" i="1"/>
  <c r="W9" i="1"/>
  <c r="W7" i="1"/>
  <c r="U129" i="1"/>
  <c r="U128" i="1"/>
  <c r="U126" i="1"/>
  <c r="U125" i="1"/>
  <c r="U124" i="1"/>
  <c r="U123" i="1"/>
  <c r="U122" i="1"/>
  <c r="U121" i="1"/>
  <c r="U120" i="1"/>
  <c r="U119" i="1"/>
  <c r="U118" i="1"/>
  <c r="U117" i="1"/>
  <c r="U116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3" i="1"/>
  <c r="U72" i="1"/>
  <c r="U71" i="1"/>
  <c r="U70" i="1"/>
  <c r="U69" i="1"/>
  <c r="U68" i="1"/>
  <c r="U66" i="1"/>
  <c r="U64" i="1"/>
  <c r="U63" i="1"/>
  <c r="U61" i="1"/>
  <c r="U60" i="1"/>
  <c r="U57" i="1"/>
  <c r="U55" i="1"/>
  <c r="U54" i="1"/>
  <c r="U52" i="1"/>
  <c r="U51" i="1"/>
  <c r="U50" i="1"/>
  <c r="U49" i="1"/>
  <c r="U47" i="1"/>
  <c r="U45" i="1"/>
  <c r="U43" i="1"/>
  <c r="U41" i="1"/>
  <c r="U40" i="1"/>
  <c r="U39" i="1"/>
  <c r="U38" i="1"/>
  <c r="U36" i="1"/>
  <c r="U35" i="1"/>
  <c r="U34" i="1"/>
  <c r="U32" i="1"/>
  <c r="U31" i="1"/>
  <c r="U30" i="1"/>
  <c r="U29" i="1"/>
  <c r="U28" i="1"/>
  <c r="U27" i="1"/>
  <c r="U26" i="1"/>
  <c r="U24" i="1"/>
  <c r="U23" i="1"/>
  <c r="U22" i="1"/>
  <c r="U20" i="1"/>
  <c r="U19" i="1"/>
  <c r="U18" i="1"/>
  <c r="U17" i="1"/>
  <c r="U16" i="1"/>
  <c r="U15" i="1"/>
  <c r="U14" i="1"/>
  <c r="U13" i="1"/>
  <c r="U11" i="1"/>
  <c r="U9" i="1"/>
  <c r="U7" i="1"/>
  <c r="S129" i="1"/>
  <c r="S128" i="1"/>
  <c r="S126" i="1"/>
  <c r="S125" i="1"/>
  <c r="S124" i="1"/>
  <c r="S123" i="1"/>
  <c r="S122" i="1"/>
  <c r="S121" i="1"/>
  <c r="S120" i="1"/>
  <c r="S119" i="1"/>
  <c r="S118" i="1"/>
  <c r="S117" i="1"/>
  <c r="S116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3" i="1"/>
  <c r="S72" i="1"/>
  <c r="S71" i="1"/>
  <c r="S70" i="1"/>
  <c r="S69" i="1"/>
  <c r="S68" i="1"/>
  <c r="S66" i="1"/>
  <c r="S64" i="1"/>
  <c r="S63" i="1"/>
  <c r="S61" i="1"/>
  <c r="S60" i="1"/>
  <c r="S57" i="1"/>
  <c r="S55" i="1"/>
  <c r="S54" i="1"/>
  <c r="S52" i="1"/>
  <c r="S51" i="1"/>
  <c r="S50" i="1"/>
  <c r="S49" i="1"/>
  <c r="S47" i="1"/>
  <c r="S45" i="1"/>
  <c r="S43" i="1"/>
  <c r="S41" i="1"/>
  <c r="S40" i="1"/>
  <c r="S39" i="1"/>
  <c r="S38" i="1"/>
  <c r="S36" i="1"/>
  <c r="S35" i="1"/>
  <c r="S34" i="1"/>
  <c r="S32" i="1"/>
  <c r="S31" i="1"/>
  <c r="S30" i="1"/>
  <c r="S29" i="1"/>
  <c r="S28" i="1"/>
  <c r="S27" i="1"/>
  <c r="S26" i="1"/>
  <c r="S24" i="1"/>
  <c r="S23" i="1"/>
  <c r="S22" i="1"/>
  <c r="S20" i="1"/>
  <c r="S19" i="1"/>
  <c r="S18" i="1"/>
  <c r="S17" i="1"/>
  <c r="S16" i="1"/>
  <c r="S15" i="1"/>
  <c r="S14" i="1"/>
  <c r="S13" i="1"/>
  <c r="S11" i="1"/>
  <c r="S9" i="1"/>
  <c r="S7" i="1"/>
  <c r="Q129" i="1"/>
  <c r="Q128" i="1"/>
  <c r="Q126" i="1"/>
  <c r="Q125" i="1"/>
  <c r="Q124" i="1"/>
  <c r="Q123" i="1"/>
  <c r="Q122" i="1"/>
  <c r="Q121" i="1"/>
  <c r="Q120" i="1"/>
  <c r="Q119" i="1"/>
  <c r="Q118" i="1"/>
  <c r="Q117" i="1"/>
  <c r="Q116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3" i="1"/>
  <c r="Q72" i="1"/>
  <c r="Q71" i="1"/>
  <c r="Q70" i="1"/>
  <c r="Q69" i="1"/>
  <c r="Q68" i="1"/>
  <c r="Q66" i="1"/>
  <c r="Q64" i="1"/>
  <c r="Q63" i="1"/>
  <c r="Q61" i="1"/>
  <c r="Q60" i="1"/>
  <c r="Q57" i="1"/>
  <c r="Q55" i="1"/>
  <c r="Q54" i="1"/>
  <c r="Q52" i="1"/>
  <c r="Q51" i="1"/>
  <c r="Q50" i="1"/>
  <c r="Q49" i="1"/>
  <c r="Q47" i="1"/>
  <c r="Q45" i="1"/>
  <c r="Q43" i="1"/>
  <c r="Q41" i="1"/>
  <c r="Q40" i="1"/>
  <c r="Q39" i="1"/>
  <c r="Q38" i="1"/>
  <c r="Q36" i="1"/>
  <c r="Q35" i="1"/>
  <c r="Q34" i="1"/>
  <c r="Q32" i="1"/>
  <c r="Q31" i="1"/>
  <c r="Q30" i="1"/>
  <c r="Q29" i="1"/>
  <c r="Q28" i="1"/>
  <c r="Q27" i="1"/>
  <c r="Q26" i="1"/>
  <c r="Q24" i="1"/>
  <c r="Q23" i="1"/>
  <c r="Q22" i="1"/>
  <c r="Q20" i="1"/>
  <c r="Q19" i="1"/>
  <c r="Q18" i="1"/>
  <c r="Q17" i="1"/>
  <c r="Q16" i="1"/>
  <c r="Q15" i="1"/>
  <c r="Q14" i="1"/>
  <c r="Q13" i="1"/>
  <c r="Q11" i="1"/>
  <c r="Q9" i="1"/>
  <c r="Q7" i="1"/>
  <c r="O129" i="1"/>
  <c r="O128" i="1"/>
  <c r="O126" i="1"/>
  <c r="O125" i="1"/>
  <c r="O124" i="1"/>
  <c r="O123" i="1"/>
  <c r="O122" i="1"/>
  <c r="O121" i="1"/>
  <c r="O120" i="1"/>
  <c r="O119" i="1"/>
  <c r="O118" i="1"/>
  <c r="O117" i="1"/>
  <c r="O116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3" i="1"/>
  <c r="O72" i="1"/>
  <c r="O71" i="1"/>
  <c r="O70" i="1"/>
  <c r="O69" i="1"/>
  <c r="O68" i="1"/>
  <c r="O66" i="1"/>
  <c r="O64" i="1"/>
  <c r="O63" i="1"/>
  <c r="O61" i="1"/>
  <c r="O60" i="1"/>
  <c r="O57" i="1"/>
  <c r="O55" i="1"/>
  <c r="O54" i="1"/>
  <c r="O52" i="1"/>
  <c r="O51" i="1"/>
  <c r="O50" i="1"/>
  <c r="O49" i="1"/>
  <c r="O47" i="1"/>
  <c r="O45" i="1"/>
  <c r="O43" i="1"/>
  <c r="O41" i="1"/>
  <c r="O40" i="1"/>
  <c r="O39" i="1"/>
  <c r="O38" i="1"/>
  <c r="O36" i="1"/>
  <c r="O35" i="1"/>
  <c r="O34" i="1"/>
  <c r="O32" i="1"/>
  <c r="O31" i="1"/>
  <c r="O30" i="1"/>
  <c r="O29" i="1"/>
  <c r="O28" i="1"/>
  <c r="O27" i="1"/>
  <c r="O26" i="1"/>
  <c r="O24" i="1"/>
  <c r="O23" i="1"/>
  <c r="O22" i="1"/>
  <c r="O20" i="1"/>
  <c r="O19" i="1"/>
  <c r="O18" i="1"/>
  <c r="O17" i="1"/>
  <c r="O16" i="1"/>
  <c r="O15" i="1"/>
  <c r="O14" i="1"/>
  <c r="O13" i="1"/>
  <c r="O11" i="1"/>
  <c r="O9" i="1"/>
  <c r="O7" i="1"/>
  <c r="M129" i="1"/>
  <c r="M128" i="1"/>
  <c r="M126" i="1"/>
  <c r="M125" i="1"/>
  <c r="M124" i="1"/>
  <c r="M123" i="1"/>
  <c r="M122" i="1"/>
  <c r="M121" i="1"/>
  <c r="M120" i="1"/>
  <c r="M119" i="1"/>
  <c r="M118" i="1"/>
  <c r="M117" i="1"/>
  <c r="M116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3" i="1"/>
  <c r="M72" i="1"/>
  <c r="M71" i="1"/>
  <c r="M70" i="1"/>
  <c r="M69" i="1"/>
  <c r="M68" i="1"/>
  <c r="M66" i="1"/>
  <c r="M64" i="1"/>
  <c r="M63" i="1"/>
  <c r="M61" i="1"/>
  <c r="M60" i="1"/>
  <c r="M57" i="1"/>
  <c r="M55" i="1"/>
  <c r="M54" i="1"/>
  <c r="M52" i="1"/>
  <c r="M51" i="1"/>
  <c r="M50" i="1"/>
  <c r="M49" i="1"/>
  <c r="M47" i="1"/>
  <c r="M45" i="1"/>
  <c r="M43" i="1"/>
  <c r="M41" i="1"/>
  <c r="M40" i="1"/>
  <c r="M39" i="1"/>
  <c r="M38" i="1"/>
  <c r="M36" i="1"/>
  <c r="M35" i="1"/>
  <c r="M34" i="1"/>
  <c r="M32" i="1"/>
  <c r="M31" i="1"/>
  <c r="M30" i="1"/>
  <c r="M29" i="1"/>
  <c r="M28" i="1"/>
  <c r="M27" i="1"/>
  <c r="M26" i="1"/>
  <c r="M24" i="1"/>
  <c r="M23" i="1"/>
  <c r="M22" i="1"/>
  <c r="M20" i="1"/>
  <c r="M19" i="1"/>
  <c r="M18" i="1"/>
  <c r="M17" i="1"/>
  <c r="M16" i="1"/>
  <c r="M15" i="1"/>
  <c r="M14" i="1"/>
  <c r="M13" i="1"/>
  <c r="M11" i="1"/>
  <c r="M9" i="1"/>
  <c r="M7" i="1"/>
  <c r="J26" i="5" l="1"/>
  <c r="I63" i="5"/>
  <c r="J63" i="5" s="1"/>
  <c r="I115" i="5"/>
  <c r="J115" i="5" s="1"/>
  <c r="I95" i="5"/>
  <c r="J95" i="5" s="1"/>
  <c r="I65" i="5"/>
  <c r="J65" i="5" s="1"/>
  <c r="J66" i="5"/>
  <c r="I42" i="5"/>
  <c r="J42" i="5" s="1"/>
  <c r="J43" i="5"/>
  <c r="I37" i="5"/>
  <c r="J37" i="5" s="1"/>
  <c r="J38" i="5"/>
  <c r="I56" i="5"/>
  <c r="J56" i="5" s="1"/>
  <c r="J57" i="5"/>
  <c r="J22" i="5"/>
  <c r="I21" i="5"/>
  <c r="J21" i="5" s="1"/>
  <c r="I10" i="5"/>
  <c r="J10" i="5" s="1"/>
  <c r="J11" i="5"/>
  <c r="J13" i="5"/>
  <c r="I12" i="5"/>
  <c r="J12" i="5" s="1"/>
  <c r="I127" i="5"/>
  <c r="J127" i="5" s="1"/>
  <c r="I74" i="5"/>
  <c r="J74" i="5" s="1"/>
  <c r="I67" i="5"/>
  <c r="J67" i="5" s="1"/>
  <c r="J55" i="5"/>
  <c r="I53" i="5"/>
  <c r="J53" i="5" s="1"/>
  <c r="I48" i="5"/>
  <c r="J48" i="5" s="1"/>
  <c r="I61" i="5"/>
  <c r="J61" i="5" s="1"/>
  <c r="I60" i="5"/>
  <c r="D80" i="3"/>
  <c r="F80" i="3" s="1"/>
  <c r="D67" i="3"/>
  <c r="F67" i="3" s="1"/>
  <c r="I51" i="1"/>
  <c r="J51" i="1" s="1"/>
  <c r="F137" i="3"/>
  <c r="I53" i="1"/>
  <c r="J53" i="1" s="1"/>
  <c r="D35" i="3"/>
  <c r="F35" i="3" s="1"/>
  <c r="I37" i="1"/>
  <c r="J37" i="1" s="1"/>
  <c r="J39" i="1"/>
  <c r="F92" i="3"/>
  <c r="I56" i="1"/>
  <c r="J56" i="1" s="1"/>
  <c r="J57" i="1"/>
  <c r="I65" i="1"/>
  <c r="J65" i="1" s="1"/>
  <c r="J66" i="1"/>
  <c r="I62" i="1"/>
  <c r="J62" i="1" s="1"/>
  <c r="J61" i="1"/>
  <c r="I42" i="1"/>
  <c r="J42" i="1" s="1"/>
  <c r="I12" i="1"/>
  <c r="J13" i="1"/>
  <c r="E10" i="4"/>
  <c r="J24" i="1"/>
  <c r="I10" i="1"/>
  <c r="J11" i="1"/>
  <c r="I67" i="1"/>
  <c r="J67" i="1" s="1"/>
  <c r="I21" i="1"/>
  <c r="J21" i="1" s="1"/>
  <c r="I33" i="1"/>
  <c r="J33" i="1" s="1"/>
  <c r="I95" i="1"/>
  <c r="J95" i="1" s="1"/>
  <c r="F188" i="3"/>
  <c r="F29" i="3"/>
  <c r="I115" i="1"/>
  <c r="J115" i="1" s="1"/>
  <c r="I25" i="1"/>
  <c r="J25" i="1" s="1"/>
  <c r="I74" i="1"/>
  <c r="J74" i="1" s="1"/>
  <c r="I127" i="1"/>
  <c r="J127" i="1" s="1"/>
  <c r="I8" i="1"/>
  <c r="F96" i="3"/>
  <c r="F136" i="3"/>
  <c r="F111" i="3"/>
  <c r="F52" i="3"/>
  <c r="F181" i="3"/>
  <c r="F182" i="3"/>
  <c r="F114" i="3"/>
  <c r="K111" i="3"/>
  <c r="L111" i="3" s="1"/>
  <c r="F42" i="3"/>
  <c r="W133" i="1"/>
  <c r="K17" i="3"/>
  <c r="L17" i="3" s="1"/>
  <c r="I17" i="3"/>
  <c r="K188" i="3"/>
  <c r="L188" i="3" s="1"/>
  <c r="F150" i="3"/>
  <c r="F24" i="3"/>
  <c r="F125" i="3"/>
  <c r="I26" i="3"/>
  <c r="K26" i="3"/>
  <c r="L26" i="3" s="1"/>
  <c r="I30" i="3"/>
  <c r="K30" i="3"/>
  <c r="L30" i="3" s="1"/>
  <c r="F176" i="3"/>
  <c r="F189" i="3"/>
  <c r="F163" i="3"/>
  <c r="F122" i="3"/>
  <c r="F56" i="3"/>
  <c r="F75" i="3"/>
  <c r="F128" i="3"/>
  <c r="F112" i="3"/>
  <c r="F44" i="3"/>
  <c r="K19" i="3"/>
  <c r="L19" i="3" s="1"/>
  <c r="I18" i="3"/>
  <c r="K18" i="3"/>
  <c r="L18" i="3" s="1"/>
  <c r="K25" i="3"/>
  <c r="L25" i="3" s="1"/>
  <c r="K31" i="3"/>
  <c r="L31" i="3" s="1"/>
  <c r="K22" i="3"/>
  <c r="L22" i="3" s="1"/>
  <c r="K56" i="3"/>
  <c r="L56" i="3" s="1"/>
  <c r="F34" i="3"/>
  <c r="F53" i="3"/>
  <c r="K75" i="3"/>
  <c r="L75" i="3" s="1"/>
  <c r="F46" i="3"/>
  <c r="F68" i="3"/>
  <c r="F156" i="3"/>
  <c r="F134" i="3"/>
  <c r="F79" i="3"/>
  <c r="F73" i="3"/>
  <c r="K24" i="3"/>
  <c r="L24" i="3" s="1"/>
  <c r="F106" i="3"/>
  <c r="F103" i="3"/>
  <c r="F70" i="3"/>
  <c r="F147" i="3"/>
  <c r="F185" i="3"/>
  <c r="K44" i="3"/>
  <c r="L44" i="3" s="1"/>
  <c r="F38" i="3"/>
  <c r="K67" i="3"/>
  <c r="L67" i="3" s="1"/>
  <c r="F160" i="3"/>
  <c r="K176" i="3"/>
  <c r="L176" i="3" s="1"/>
  <c r="F61" i="3"/>
  <c r="F167" i="3"/>
  <c r="K189" i="3"/>
  <c r="L189" i="3" s="1"/>
  <c r="F145" i="3"/>
  <c r="F81" i="3"/>
  <c r="F31" i="3"/>
  <c r="F154" i="3"/>
  <c r="F58" i="3"/>
  <c r="F129" i="3"/>
  <c r="F39" i="3"/>
  <c r="F132" i="3"/>
  <c r="K129" i="3"/>
  <c r="L129" i="3" s="1"/>
  <c r="F26" i="3"/>
  <c r="K29" i="3"/>
  <c r="L29" i="3" s="1"/>
  <c r="K39" i="3"/>
  <c r="L39" i="3" s="1"/>
  <c r="K52" i="3"/>
  <c r="L52" i="3" s="1"/>
  <c r="F123" i="3"/>
  <c r="F142" i="3"/>
  <c r="F158" i="3"/>
  <c r="F93" i="3"/>
  <c r="F48" i="3"/>
  <c r="K93" i="3"/>
  <c r="L93" i="3" s="1"/>
  <c r="F116" i="3"/>
  <c r="K125" i="3"/>
  <c r="L125" i="3" s="1"/>
  <c r="F155" i="3"/>
  <c r="F171" i="3"/>
  <c r="F174" i="3"/>
  <c r="F180" i="3"/>
  <c r="F20" i="3"/>
  <c r="F62" i="3"/>
  <c r="F101" i="3"/>
  <c r="F117" i="3"/>
  <c r="K155" i="3"/>
  <c r="L155" i="3" s="1"/>
  <c r="K171" i="3"/>
  <c r="L171" i="3" s="1"/>
  <c r="K122" i="3"/>
  <c r="L122" i="3" s="1"/>
  <c r="F148" i="3"/>
  <c r="F173" i="3"/>
  <c r="K128" i="3"/>
  <c r="L128" i="3" s="1"/>
  <c r="F90" i="3"/>
  <c r="F119" i="3"/>
  <c r="K62" i="3"/>
  <c r="L62" i="3" s="1"/>
  <c r="F98" i="3"/>
  <c r="F130" i="3"/>
  <c r="F162" i="3"/>
  <c r="F178" i="3"/>
  <c r="F45" i="3"/>
  <c r="K154" i="3"/>
  <c r="L154" i="3" s="1"/>
  <c r="F27" i="3"/>
  <c r="K130" i="3"/>
  <c r="L130" i="3" s="1"/>
  <c r="F37" i="3"/>
  <c r="F140" i="3"/>
  <c r="K181" i="3"/>
  <c r="L181" i="3" s="1"/>
  <c r="F133" i="3"/>
  <c r="K38" i="3"/>
  <c r="L38" i="3" s="1"/>
  <c r="F19" i="3"/>
  <c r="K27" i="3"/>
  <c r="L27" i="3" s="1"/>
  <c r="F30" i="3"/>
  <c r="F50" i="3"/>
  <c r="F102" i="3"/>
  <c r="K102" i="3"/>
  <c r="L102" i="3" s="1"/>
  <c r="F105" i="3"/>
  <c r="F131" i="3"/>
  <c r="F166" i="3"/>
  <c r="K174" i="3"/>
  <c r="L174" i="3" s="1"/>
  <c r="K177" i="3"/>
  <c r="L177" i="3" s="1"/>
  <c r="F177" i="3"/>
  <c r="F169" i="3"/>
  <c r="F172" i="3"/>
  <c r="F65" i="3"/>
  <c r="F151" i="3"/>
  <c r="F183" i="3"/>
  <c r="K183" i="3"/>
  <c r="L183" i="3" s="1"/>
  <c r="F22" i="3"/>
  <c r="F91" i="3"/>
  <c r="F83" i="3"/>
  <c r="K45" i="3"/>
  <c r="L45" i="3" s="1"/>
  <c r="K140" i="3"/>
  <c r="L140" i="3" s="1"/>
  <c r="F100" i="3"/>
  <c r="F184" i="3"/>
  <c r="K37" i="3"/>
  <c r="L37" i="3" s="1"/>
  <c r="F135" i="3"/>
  <c r="F190" i="3"/>
  <c r="K190" i="3"/>
  <c r="L190" i="3" s="1"/>
  <c r="F84" i="3"/>
  <c r="F95" i="3"/>
  <c r="K95" i="3"/>
  <c r="L95" i="3" s="1"/>
  <c r="F110" i="3"/>
  <c r="F139" i="3"/>
  <c r="K139" i="3"/>
  <c r="L139" i="3" s="1"/>
  <c r="F99" i="3"/>
  <c r="K148" i="3"/>
  <c r="L148" i="3" s="1"/>
  <c r="F25" i="3"/>
  <c r="F120" i="3"/>
  <c r="F143" i="3"/>
  <c r="F109" i="3"/>
  <c r="F149" i="3"/>
  <c r="F66" i="3"/>
  <c r="F161" i="3"/>
  <c r="F164" i="3"/>
  <c r="F40" i="3"/>
  <c r="F118" i="3"/>
  <c r="F153" i="3"/>
  <c r="K81" i="3"/>
  <c r="L81" i="3" s="1"/>
  <c r="F157" i="3"/>
  <c r="K157" i="3"/>
  <c r="L157" i="3" s="1"/>
  <c r="F33" i="3"/>
  <c r="K28" i="3"/>
  <c r="L28" i="3" s="1"/>
  <c r="F28" i="3"/>
  <c r="F60" i="3"/>
  <c r="F94" i="3"/>
  <c r="F146" i="3"/>
  <c r="K146" i="3"/>
  <c r="L146" i="3" s="1"/>
  <c r="F175" i="3"/>
  <c r="F86" i="3"/>
  <c r="F115" i="3"/>
  <c r="K69" i="3"/>
  <c r="L69" i="3" s="1"/>
  <c r="F69" i="3"/>
  <c r="F17" i="3"/>
  <c r="F89" i="3"/>
  <c r="F127" i="3"/>
  <c r="F187" i="3"/>
  <c r="F104" i="3"/>
  <c r="F138" i="3"/>
  <c r="F144" i="3"/>
  <c r="F55" i="3"/>
  <c r="F87" i="3"/>
  <c r="K104" i="3"/>
  <c r="L104" i="3" s="1"/>
  <c r="F107" i="3"/>
  <c r="F113" i="3"/>
  <c r="K113" i="3"/>
  <c r="L113" i="3" s="1"/>
  <c r="F43" i="3"/>
  <c r="F141" i="3"/>
  <c r="F64" i="3"/>
  <c r="F18" i="3"/>
  <c r="F54" i="3"/>
  <c r="F59" i="3"/>
  <c r="F108" i="3"/>
  <c r="F121" i="3"/>
  <c r="F152" i="3"/>
  <c r="F165" i="3"/>
  <c r="F191" i="3"/>
  <c r="F72" i="3"/>
  <c r="F126" i="3"/>
  <c r="F41" i="3"/>
  <c r="F49" i="3"/>
  <c r="F170" i="3"/>
  <c r="F124" i="3"/>
  <c r="F168" i="3"/>
  <c r="F15" i="3"/>
  <c r="L15" i="3"/>
  <c r="U133" i="1"/>
  <c r="S133" i="1"/>
  <c r="Q133" i="1"/>
  <c r="O133" i="1"/>
  <c r="M133" i="1"/>
  <c r="I62" i="5" l="1"/>
  <c r="J62" i="5" s="1"/>
  <c r="J60" i="5"/>
  <c r="I59" i="5"/>
  <c r="I48" i="1"/>
  <c r="J48" i="1" s="1"/>
  <c r="I60" i="1"/>
  <c r="D78" i="3"/>
  <c r="F78" i="3" s="1"/>
  <c r="E9" i="4"/>
  <c r="J12" i="1"/>
  <c r="E8" i="4"/>
  <c r="J10" i="1"/>
  <c r="E7" i="4"/>
  <c r="M31" i="3"/>
  <c r="N31" i="3" s="1"/>
  <c r="M35" i="3"/>
  <c r="N35" i="3" s="1"/>
  <c r="H15" i="3"/>
  <c r="I15" i="3" s="1"/>
  <c r="M15" i="3"/>
  <c r="N15" i="3" s="1"/>
  <c r="M20" i="3"/>
  <c r="N20" i="3" s="1"/>
  <c r="C46" i="2"/>
  <c r="C44" i="2"/>
  <c r="C42" i="2"/>
  <c r="C40" i="2"/>
  <c r="C38" i="2"/>
  <c r="C34" i="2"/>
  <c r="C32" i="2"/>
  <c r="C30" i="2"/>
  <c r="C28" i="2"/>
  <c r="C26" i="2"/>
  <c r="C24" i="2"/>
  <c r="C22" i="2"/>
  <c r="C20" i="2"/>
  <c r="C18" i="2"/>
  <c r="C16" i="2"/>
  <c r="C14" i="2"/>
  <c r="C12" i="2"/>
  <c r="E55" i="2"/>
  <c r="F55" i="2" s="1"/>
  <c r="G55" i="2" s="1"/>
  <c r="H55" i="2" s="1"/>
  <c r="I55" i="2" s="1"/>
  <c r="J55" i="2" s="1"/>
  <c r="K55" i="2" s="1"/>
  <c r="L55" i="2" s="1"/>
  <c r="M55" i="2" s="1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J59" i="5" l="1"/>
  <c r="I58" i="5"/>
  <c r="J60" i="1"/>
  <c r="I59" i="1"/>
  <c r="J47" i="2"/>
  <c r="I47" i="2"/>
  <c r="G47" i="2"/>
  <c r="F47" i="2"/>
  <c r="H47" i="2"/>
  <c r="E25" i="2"/>
  <c r="J25" i="2"/>
  <c r="I25" i="2"/>
  <c r="H25" i="2"/>
  <c r="G25" i="2"/>
  <c r="F25" i="2"/>
  <c r="J41" i="2"/>
  <c r="I41" i="2"/>
  <c r="H41" i="2"/>
  <c r="G41" i="2"/>
  <c r="F41" i="2"/>
  <c r="J27" i="2"/>
  <c r="I27" i="2"/>
  <c r="G27" i="2"/>
  <c r="F27" i="2"/>
  <c r="E27" i="2"/>
  <c r="J43" i="2"/>
  <c r="I43" i="2"/>
  <c r="H43" i="2"/>
  <c r="G43" i="2"/>
  <c r="F43" i="2"/>
  <c r="J13" i="2"/>
  <c r="G13" i="2"/>
  <c r="I13" i="2"/>
  <c r="H13" i="2"/>
  <c r="F13" i="2"/>
  <c r="E13" i="2"/>
  <c r="H29" i="2"/>
  <c r="G29" i="2"/>
  <c r="F29" i="2"/>
  <c r="E29" i="2"/>
  <c r="J29" i="2"/>
  <c r="I29" i="2"/>
  <c r="J45" i="2"/>
  <c r="I45" i="2"/>
  <c r="H45" i="2"/>
  <c r="G45" i="2"/>
  <c r="F45" i="2"/>
  <c r="J15" i="2"/>
  <c r="H15" i="2"/>
  <c r="I15" i="2"/>
  <c r="G15" i="2"/>
  <c r="F15" i="2"/>
  <c r="E15" i="2"/>
  <c r="H31" i="2"/>
  <c r="F31" i="2"/>
  <c r="E31" i="2"/>
  <c r="J31" i="2"/>
  <c r="I31" i="2"/>
  <c r="G31" i="2"/>
  <c r="F17" i="2"/>
  <c r="I17" i="2"/>
  <c r="H17" i="2"/>
  <c r="G17" i="2"/>
  <c r="E17" i="2"/>
  <c r="J17" i="2"/>
  <c r="J33" i="2"/>
  <c r="F33" i="2"/>
  <c r="I33" i="2"/>
  <c r="H33" i="2"/>
  <c r="G33" i="2"/>
  <c r="E19" i="2"/>
  <c r="I19" i="2"/>
  <c r="F19" i="2"/>
  <c r="J19" i="2"/>
  <c r="H19" i="2"/>
  <c r="G19" i="2"/>
  <c r="J35" i="2"/>
  <c r="G35" i="2"/>
  <c r="I35" i="2"/>
  <c r="H35" i="2"/>
  <c r="F35" i="2"/>
  <c r="E21" i="2"/>
  <c r="J21" i="2"/>
  <c r="I21" i="2"/>
  <c r="H21" i="2"/>
  <c r="G21" i="2"/>
  <c r="F21" i="2"/>
  <c r="J23" i="2"/>
  <c r="F23" i="2"/>
  <c r="E23" i="2"/>
  <c r="I23" i="2"/>
  <c r="H23" i="2"/>
  <c r="G23" i="2"/>
  <c r="H39" i="2"/>
  <c r="G39" i="2"/>
  <c r="F39" i="2"/>
  <c r="J39" i="2"/>
  <c r="I39" i="2"/>
  <c r="F192" i="3"/>
  <c r="K49" i="2"/>
  <c r="K52" i="2" s="1"/>
  <c r="L49" i="2"/>
  <c r="L52" i="2" s="1"/>
  <c r="J58" i="5" l="1"/>
  <c r="I5" i="5"/>
  <c r="J59" i="1"/>
  <c r="I58" i="1"/>
  <c r="I5" i="1" s="1"/>
  <c r="Q17" i="2"/>
  <c r="R17" i="2" s="1"/>
  <c r="Q19" i="2"/>
  <c r="R19" i="2" s="1"/>
  <c r="Q31" i="2"/>
  <c r="R31" i="2" s="1"/>
  <c r="Q27" i="2"/>
  <c r="R27" i="2" s="1"/>
  <c r="Q35" i="2"/>
  <c r="R35" i="2" s="1"/>
  <c r="E59" i="2"/>
  <c r="Q13" i="2"/>
  <c r="R13" i="2" s="1"/>
  <c r="Q41" i="2"/>
  <c r="R41" i="2" s="1"/>
  <c r="Q39" i="2"/>
  <c r="R39" i="2" s="1"/>
  <c r="Q15" i="2"/>
  <c r="R15" i="2" s="1"/>
  <c r="Q45" i="2"/>
  <c r="R45" i="2" s="1"/>
  <c r="Q29" i="2"/>
  <c r="R29" i="2" s="1"/>
  <c r="Q43" i="2"/>
  <c r="R43" i="2" s="1"/>
  <c r="Q25" i="2"/>
  <c r="R25" i="2" s="1"/>
  <c r="Q47" i="2"/>
  <c r="R47" i="2" s="1"/>
  <c r="Q23" i="2"/>
  <c r="R23" i="2" s="1"/>
  <c r="Q21" i="2"/>
  <c r="R21" i="2" s="1"/>
  <c r="Q33" i="2"/>
  <c r="R33" i="2" s="1"/>
  <c r="G11" i="3"/>
  <c r="G192" i="3"/>
  <c r="L192" i="3"/>
  <c r="I192" i="3" s="1"/>
  <c r="F9" i="3" s="1"/>
  <c r="K192" i="3"/>
  <c r="H192" i="3" s="1"/>
  <c r="J9" i="5" l="1"/>
  <c r="J7" i="5"/>
  <c r="J8" i="5"/>
  <c r="J6" i="5"/>
  <c r="J58" i="1"/>
  <c r="C36" i="2"/>
  <c r="I136" i="5" l="1"/>
  <c r="G52" i="2"/>
  <c r="G37" i="2"/>
  <c r="G59" i="2" s="1"/>
  <c r="J37" i="2"/>
  <c r="J59" i="2" s="1"/>
  <c r="C11" i="2"/>
  <c r="A48" i="2" s="1"/>
  <c r="I52" i="2"/>
  <c r="I37" i="2"/>
  <c r="I59" i="2" s="1"/>
  <c r="M49" i="2"/>
  <c r="M52" i="2" s="1"/>
  <c r="H52" i="2"/>
  <c r="J49" i="2"/>
  <c r="J52" i="2" s="1"/>
  <c r="H37" i="2"/>
  <c r="H59" i="2" s="1"/>
  <c r="F52" i="2"/>
  <c r="F37" i="2"/>
  <c r="J8" i="1"/>
  <c r="I133" i="1"/>
  <c r="J133" i="1" s="1"/>
  <c r="J9" i="1"/>
  <c r="J7" i="1"/>
  <c r="J6" i="1"/>
  <c r="H48" i="2" l="1"/>
  <c r="H11" i="2" s="1"/>
  <c r="M48" i="2"/>
  <c r="G60" i="2"/>
  <c r="I60" i="2"/>
  <c r="I48" i="2"/>
  <c r="I11" i="2" s="1"/>
  <c r="J60" i="2"/>
  <c r="E52" i="2"/>
  <c r="E54" i="2"/>
  <c r="F54" i="2" s="1"/>
  <c r="G54" i="2" s="1"/>
  <c r="H54" i="2" s="1"/>
  <c r="I54" i="2" s="1"/>
  <c r="J54" i="2" s="1"/>
  <c r="K54" i="2" s="1"/>
  <c r="L54" i="2" s="1"/>
  <c r="M54" i="2" s="1"/>
  <c r="E60" i="2"/>
  <c r="F59" i="2"/>
  <c r="F60" i="2" s="1"/>
  <c r="Q37" i="2"/>
  <c r="R37" i="2" s="1"/>
  <c r="X133" i="1"/>
  <c r="I137" i="1"/>
  <c r="A62" i="2"/>
  <c r="K48" i="2"/>
  <c r="L48" i="2"/>
  <c r="S13" i="2"/>
  <c r="H60" i="2"/>
  <c r="F48" i="2"/>
  <c r="F11" i="2" s="1"/>
  <c r="J48" i="2"/>
  <c r="J11" i="2" s="1"/>
  <c r="G48" i="2"/>
  <c r="G11" i="2" s="1"/>
  <c r="E57" i="2" l="1"/>
  <c r="F57" i="2" s="1"/>
  <c r="G57" i="2" s="1"/>
  <c r="H57" i="2" s="1"/>
  <c r="I57" i="2" s="1"/>
  <c r="J57" i="2" s="1"/>
  <c r="K57" i="2" s="1"/>
  <c r="L57" i="2" s="1"/>
  <c r="M57" i="2" s="1"/>
  <c r="E48" i="2"/>
  <c r="Q48" i="2" s="1"/>
  <c r="E53" i="2" l="1"/>
  <c r="F53" i="2" s="1"/>
  <c r="G53" i="2" s="1"/>
  <c r="H53" i="2" s="1"/>
  <c r="I53" i="2" s="1"/>
  <c r="J53" i="2" s="1"/>
  <c r="K53" i="2" s="1"/>
  <c r="L53" i="2" s="1"/>
  <c r="M53" i="2" s="1"/>
  <c r="E11" i="2"/>
  <c r="Q1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Lenz Leite</author>
  </authors>
  <commentList>
    <comment ref="K9" authorId="0" shapeId="0" xr:uid="{8E259A6D-4BB2-4DB8-A839-2143E46D4515}">
      <text>
        <r>
          <rPr>
            <sz val="9"/>
            <color indexed="81"/>
            <rFont val="Segoe UI"/>
            <family val="2"/>
          </rPr>
          <t>Altere aqui o número da medição</t>
        </r>
      </text>
    </comment>
    <comment ref="G12" authorId="0" shapeId="0" xr:uid="{B84F750B-2F0A-4B96-838C-1E2BB85E9055}">
      <text>
        <r>
          <rPr>
            <sz val="9"/>
            <color indexed="81"/>
            <rFont val="Segoe UI"/>
            <family val="2"/>
          </rPr>
          <t>Preencher as medições nas colunas à direita</t>
        </r>
      </text>
    </comment>
    <comment ref="I12" authorId="0" shapeId="0" xr:uid="{A60763AE-5705-4F7C-8D04-B525A5A2FB56}">
      <text>
        <r>
          <rPr>
            <sz val="9"/>
            <color indexed="81"/>
            <rFont val="Segoe UI"/>
            <family val="2"/>
          </rPr>
          <t>Preencher as medições nas colunas à direita</t>
        </r>
      </text>
    </comment>
  </commentList>
</comments>
</file>

<file path=xl/sharedStrings.xml><?xml version="1.0" encoding="utf-8"?>
<sst xmlns="http://schemas.openxmlformats.org/spreadsheetml/2006/main" count="1350" uniqueCount="505">
  <si>
    <t>Bancos</t>
  </si>
  <si>
    <t>B.D.I.</t>
  </si>
  <si>
    <t>Encargos Sociais</t>
  </si>
  <si>
    <t>Não Desonerado: 
Horista: 110,74%
Mensalista: 68,05%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</si>
  <si>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</si>
  <si>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</si>
  <si>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</si>
  <si>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</si>
  <si>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</si>
  <si>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</si>
  <si>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</si>
  <si>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</si>
  <si>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</si>
  <si>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</si>
  <si>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</si>
  <si>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</si>
  <si>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ADMINISTRAÇÃO LOCAL DA OBRA</t>
  </si>
  <si>
    <t xml:space="preserve"> 1.1.1 </t>
  </si>
  <si>
    <t xml:space="preserve"> CPU-01.1 </t>
  </si>
  <si>
    <t>Próprio</t>
  </si>
  <si>
    <t>ADMINISTRAÇÃO LOCAL</t>
  </si>
  <si>
    <t>und</t>
  </si>
  <si>
    <t xml:space="preserve"> 1.2 </t>
  </si>
  <si>
    <t>SERVIÇOS PRELIMINARES</t>
  </si>
  <si>
    <t xml:space="preserve"> 1.2.0.1. </t>
  </si>
  <si>
    <t xml:space="preserve"> 103689 </t>
  </si>
  <si>
    <t>SINAPI</t>
  </si>
  <si>
    <t>FORNECIMENTO E INSTALAÇÃO DE PLACA DE OBRA COM CHAPA GALVANIZADA E ESTRUTURA DE MADEIRA. AF_03/2022_PS</t>
  </si>
  <si>
    <t>m²</t>
  </si>
  <si>
    <t>M</t>
  </si>
  <si>
    <t xml:space="preserve"> 1.3 </t>
  </si>
  <si>
    <t>FUNDAÇÃO</t>
  </si>
  <si>
    <t xml:space="preserve"> 1.3.0.1. </t>
  </si>
  <si>
    <t xml:space="preserve"> 101175 </t>
  </si>
  <si>
    <t>ESTACA BROCA DE CONCRETO, DIÂMETRO DE 30CM, ESCAVAÇÃO MANUAL COM TRADO CONCHA, COM ARMADURA DE ARRANQUE. AF_05/2020</t>
  </si>
  <si>
    <t xml:space="preserve"> 1.4 </t>
  </si>
  <si>
    <t>BALDRAMES</t>
  </si>
  <si>
    <t xml:space="preserve"> 1.4.0.1. </t>
  </si>
  <si>
    <t xml:space="preserve"> 96527 </t>
  </si>
  <si>
    <t>ESCAVAÇÃO MANUAL PARA VIGA BALDRAME OU SAPATA CORRIDA (INCLUINDO ESCAVAÇÃO PARA COLOCAÇÃO DE FÔRMAS). AF_01/2024</t>
  </si>
  <si>
    <t>m³</t>
  </si>
  <si>
    <t xml:space="preserve"> 1.4.0.2. </t>
  </si>
  <si>
    <t xml:space="preserve"> 96619 </t>
  </si>
  <si>
    <t>LASTRO DE CONCRETO MAGRO, APLICADO EM BLOCOS DE COROAMENTO OU SAPATAS, ESPESSURA DE 5 CM. AF_01/2024</t>
  </si>
  <si>
    <t xml:space="preserve"> 1.4.0.3. </t>
  </si>
  <si>
    <t xml:space="preserve"> 103334 </t>
  </si>
  <si>
    <t>ALVENARIA DE VEDAÇÃO DE BLOCOS CERÂMICOS FURADOS NA HORIZONTAL DE 14X9X19 CM (ESPESSURA 14 CM, BLOCO DEITADO) E ARGAMASSA DE ASSENTAMENTO COM PREPARO EM BETONEIRA. AF_12/2021</t>
  </si>
  <si>
    <t xml:space="preserve"> 1.4.0.4. </t>
  </si>
  <si>
    <t xml:space="preserve"> 96536 </t>
  </si>
  <si>
    <t>FABRICAÇÃO, MONTAGEM E DESMONTAGEM DE FÔRMA PARA VIGA BALDRAME, EM MADEIRA SERRADA, E=25 MM, 4 UTILIZAÇÕES. AF_01/2024</t>
  </si>
  <si>
    <t xml:space="preserve"> 1.4.0.5. </t>
  </si>
  <si>
    <t>KG</t>
  </si>
  <si>
    <t xml:space="preserve"> 1.4.0.6. </t>
  </si>
  <si>
    <t xml:space="preserve"> 104917 </t>
  </si>
  <si>
    <t>ARMAÇÃO DE SAPATA ISOLADA, VIGA BALDRAME E SAPATA CORRIDA UTILIZANDO AÇO CA-50 DE 6,3 MM - MONTAGEM. AF_01/2024</t>
  </si>
  <si>
    <t xml:space="preserve"> 1.4.0.7. </t>
  </si>
  <si>
    <t xml:space="preserve"> 104916 </t>
  </si>
  <si>
    <t>ARMAÇÃO DE SAPATA ISOLADA, VIGA BALDRAME E SAPATA CORRIDA UTILIZANDO AÇO CA-60 DE 5 MM - MONTAGEM. AF_01/2024</t>
  </si>
  <si>
    <t xml:space="preserve"> 1.4.0.8. </t>
  </si>
  <si>
    <t xml:space="preserve"> CM51 </t>
  </si>
  <si>
    <t>CONCRETAGEM DE VIGA BALDRAME, FCK 20 MPA, COM USO DE JERICA - LANÇAMENTO, ADENSAMENTO E ACABAMENTO. AF_01/2024</t>
  </si>
  <si>
    <t>M³</t>
  </si>
  <si>
    <t xml:space="preserve"> 1.5 </t>
  </si>
  <si>
    <t>IMPERMEABILIZAÇÃO</t>
  </si>
  <si>
    <t xml:space="preserve"> 1.5.0.1. </t>
  </si>
  <si>
    <t xml:space="preserve"> 87878 </t>
  </si>
  <si>
    <t>CHAPISCO APLICADO EM ALVENARIAS E ESTRUTURAS DE CONCRETO INTERNAS, COM COLHER DE PEDREIRO. ARGAMASSA TRAÇO 1:3 COM PREPARO MANUAL. AF_10/2022</t>
  </si>
  <si>
    <t xml:space="preserve"> 1.5.0.2. </t>
  </si>
  <si>
    <t xml:space="preserve"> 98562 </t>
  </si>
  <si>
    <t>IMPERMEABILIZAÇÃO DE SUPERFÍCIE COM ARGAMASSA DE CIMENTO E AREIA, COM ADITIVO IMPERMEABILIZANTE, E = 1,5CM. AF_09/2023</t>
  </si>
  <si>
    <t xml:space="preserve"> 1.5.0.3. </t>
  </si>
  <si>
    <t xml:space="preserve"> 98557 </t>
  </si>
  <si>
    <t>IMPERMEABILIZAÇÃO DE SUPERFÍCIE COM EMULSÃO ASFÁLTICA, 2 DEMÃOS. AF_09/2023</t>
  </si>
  <si>
    <t xml:space="preserve"> 1.6 </t>
  </si>
  <si>
    <t>PILARES, VIGAS E LAJES</t>
  </si>
  <si>
    <t xml:space="preserve"> 1.6.0.1. </t>
  </si>
  <si>
    <t xml:space="preserve"> 92427 </t>
  </si>
  <si>
    <t>MONTAGEM E DESMONTAGEM DE FÔRMA DE PILARES RETANGULARES E ESTRUTURAS SIMILARES, PÉ-DIREITO SIMPLES, EM CHAPA DE MADEIRA COMPENSADA RESINADA, 8 UTILIZAÇÕES. AF_09/2020</t>
  </si>
  <si>
    <t xml:space="preserve"> 1.6.0.2. </t>
  </si>
  <si>
    <t xml:space="preserve"> CM52 </t>
  </si>
  <si>
    <t>MONTAGEM E DESMONTAGEM DE FÔRMA DE VIGA, SEM ESCORAMENTO, PÉ-DIREITO SIMPLES, EM CHAPA DE MADEIRA RESINADA, 8 UTILIZAÇÕES</t>
  </si>
  <si>
    <t>M²</t>
  </si>
  <si>
    <t xml:space="preserve"> 1.6.0.3. </t>
  </si>
  <si>
    <t xml:space="preserve"> 92463 </t>
  </si>
  <si>
    <t>MONTAGEM E DESMONTAGEM DE FÔRMA DE VIGA, ESCORAMENTO COM GARFO DE MADEIRA, PÉ-DIREITO SIMPLES, EM CHAPA DE MADEIRA RESINADA, 8 UTILIZAÇÕES. AF_09/2020</t>
  </si>
  <si>
    <t xml:space="preserve"> 1.6.0.4. </t>
  </si>
  <si>
    <t xml:space="preserve"> 92759 </t>
  </si>
  <si>
    <t>ARMAÇÃO DE PILAR OU VIGA DE ESTRUTURA CONVENCIONAL DE CONCRETO ARMADO UTILIZANDO AÇO CA-60 DE 5,0 MM - MONTAGEM. AF_06/2022</t>
  </si>
  <si>
    <t xml:space="preserve"> 1.6.0.7. </t>
  </si>
  <si>
    <t xml:space="preserve"> 92762 </t>
  </si>
  <si>
    <t>ARMAÇÃO DE PILAR OU VIGA DE ESTRUTURA CONVENCIONAL DE CONCRETO ARMADO UTILIZANDO AÇO CA-50 DE 10,0 MM - MONTAGEM. AF_06/2022</t>
  </si>
  <si>
    <t xml:space="preserve"> 1.6.0.9. </t>
  </si>
  <si>
    <t xml:space="preserve"> CM53 </t>
  </si>
  <si>
    <t>CONCRETAGEM DE PILARES, FCK = 20 MPA, COM USO DE BALDES - LANÇAMENTO, ADENSAMENTO E ACABAMENTO. AF_02/2022</t>
  </si>
  <si>
    <t xml:space="preserve"> 1.6.0.10. </t>
  </si>
  <si>
    <t xml:space="preserve"> CM59 </t>
  </si>
  <si>
    <t>CONCRETAGEM DE VIGAS E LAJES, FCK=20 MPA, PARA QUALQUER TIPO DE LAJE COM BALDES EM EDIFICAÇÃO TÉRREA - LANÇAMENTO, ADENSAMENTO E ACABAMENTO. AF_02/2022</t>
  </si>
  <si>
    <t xml:space="preserve"> 1.7 </t>
  </si>
  <si>
    <t>ALVENARIA/FECHAMENTOS</t>
  </si>
  <si>
    <t xml:space="preserve"> 1.7.0.1.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</si>
  <si>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</si>
  <si>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</si>
  <si>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1.7.0.2. </t>
  </si>
  <si>
    <t xml:space="preserve"> 105024 </t>
  </si>
  <si>
    <t>VERGA MOLDADA IN LOCO EM CONCRETO, ESPESSURA DE *10* CM. AF_03/2024</t>
  </si>
  <si>
    <t xml:space="preserve"> 1.7.0.3. </t>
  </si>
  <si>
    <t xml:space="preserve"> 105030 </t>
  </si>
  <si>
    <t>CONTRAVERGA MOLDADA IN LOCO EM CONCRETO, ESPESSURA DE *10* CM. AF_03/2024</t>
  </si>
  <si>
    <t xml:space="preserve"> 1.8 </t>
  </si>
  <si>
    <t>ESQUADRIAS METÁLICAS</t>
  </si>
  <si>
    <t xml:space="preserve"> 1.8.0.1. </t>
  </si>
  <si>
    <t xml:space="preserve"> CM60 </t>
  </si>
  <si>
    <t>ESQUADRIAS DE VIDRO TEMPERADO FUMÊ, DE CORRER, ESP. 8MM, INCLUSIVE ACESSÓRIOS DE FIXAÇÃO</t>
  </si>
  <si>
    <t xml:space="preserve"> 1.8.0.2. </t>
  </si>
  <si>
    <t xml:space="preserve"> 100701 </t>
  </si>
  <si>
    <t>PORTA DE FERRO, DE ABRIR, TIPO GRADE COM CHAPA, COM GUARNIÇÕES. AF_12/2019</t>
  </si>
  <si>
    <t>CJ</t>
  </si>
  <si>
    <t xml:space="preserve"> 1.8.0.4. </t>
  </si>
  <si>
    <t>FECHADURA ESPELHO PARA PORTA EXTERNA, EM ACO INOX (MAQUINA, TESTA E CONTRA-TESTA) E EM ZAMAC (MACANETA, LINGUETA E TRINCOS) COM ACABAMENTO CROMADO, MAQUINA DE 40 MM, INCLUINDO CHAVE TIPO CILINDRO</t>
  </si>
  <si>
    <t xml:space="preserve"> 1.8.0.5. </t>
  </si>
  <si>
    <t xml:space="preserve"> 98695 </t>
  </si>
  <si>
    <t>SOLEIRA EM MÁRMORE, LARGURA 15 CM, ESPESSURA 2,0 CM. AF_09/2020</t>
  </si>
  <si>
    <t xml:space="preserve"> 1.9 </t>
  </si>
  <si>
    <t>COBERTURA</t>
  </si>
  <si>
    <t xml:space="preserve"> 1.9.0.1. </t>
  </si>
  <si>
    <t xml:space="preserve"> 92575 </t>
  </si>
  <si>
    <t>TRAMA DE AÇO COMPOSTA POR RIPAS E CAIBROS PARA TELHADOS DE ATÉ 2 ÁGUAS PARA TELHA CERÂMICA CAPA-CANAL, INCLUSO TRANSPORTE VERTICAL. AF_07/2019</t>
  </si>
  <si>
    <t xml:space="preserve"> 1.9.0.2. </t>
  </si>
  <si>
    <t xml:space="preserve"> 94447 </t>
  </si>
  <si>
    <t>TELHAMENTO COM TELHA CERÂMICA CAPA-CANAL, TIPO PAULISTA, COM ATÉ 2 ÁGUAS, INCLUSO TRANSPORTE VERTICAL. AF_07/2019</t>
  </si>
  <si>
    <t xml:space="preserve"> 1.9.0.3. </t>
  </si>
  <si>
    <t xml:space="preserve"> 100719 </t>
  </si>
  <si>
    <t>PINTURA COM TINTA ALQUÍDICA DE FUNDO (TIPO ZARCÃO) PULVERIZADA SOBRE PERFIL METÁLICO EXECUTADO EM FÁBRICA (POR DEMÃO). AF_01/2020_PE</t>
  </si>
  <si>
    <t xml:space="preserve"> 1.10 </t>
  </si>
  <si>
    <t>REVESTIMENTOS INTERNOS</t>
  </si>
  <si>
    <t xml:space="preserve"> 1.10.0.1.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</si>
  <si>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</si>
  <si>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</si>
  <si>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1.10.0.3. </t>
  </si>
  <si>
    <t xml:space="preserve"> 87549 </t>
  </si>
  <si>
    <t>EMBOÇO, EM ARGAMASSA TRAÇO 1:2:8, PREPARO MECÂNICO, APLICADO MANUALMENTE EM PAREDES INTERNAS DE AMBIENTES COM ÁREA ENTRE 5M² E 10M², E = 10MM, COM TALISCAS. AF_03/2024</t>
  </si>
  <si>
    <t xml:space="preserve"> 1.10.0.4.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</si>
  <si>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</si>
  <si>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</si>
  <si>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1.10.0.6. </t>
  </si>
  <si>
    <t xml:space="preserve"> 87267 </t>
  </si>
  <si>
    <t>REVESTIMENTO CERÂMICO PARA PAREDES INTERNAS COM PLACAS TIPO ESMALTADA DE DIMENSÕES 20X20 CM APLICADAS A MEIA ALTURA DAS PAREDES. AF_02/2023_PE</t>
  </si>
  <si>
    <t xml:space="preserve"> 1.11 </t>
  </si>
  <si>
    <t>REVESTIMENTOS EXTERNOS</t>
  </si>
  <si>
    <t xml:space="preserve"> 1.11.0.1.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</si>
  <si>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</si>
  <si>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</si>
  <si>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1.11.0.2. 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</si>
  <si>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</si>
  <si>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</si>
  <si>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1.12 </t>
  </si>
  <si>
    <t>FORROS</t>
  </si>
  <si>
    <t xml:space="preserve"> 1.12.0.1. </t>
  </si>
  <si>
    <t xml:space="preserve"> 96111 </t>
  </si>
  <si>
    <t>FORRO EM RÉGUAS DE PVC, FRISADO, PARA AMBIENTES RESIDENCIAIS, INCLUSIVE ESTRUTURA UNIDIRECIONAL DE FIXAÇÃO. AF_08/2023_PS</t>
  </si>
  <si>
    <t xml:space="preserve"> 1.13 </t>
  </si>
  <si>
    <t>PINTURA</t>
  </si>
  <si>
    <t xml:space="preserve"> 1.13.1 </t>
  </si>
  <si>
    <t>PINTURAS INTERNAS</t>
  </si>
  <si>
    <t xml:space="preserve"> 1.13.1.1. </t>
  </si>
  <si>
    <t xml:space="preserve"> 88485 </t>
  </si>
  <si>
    <t>FUNDO SELADOR ACRÍLICO, APLICAÇÃO MANUAL EM PAREDE, UMA DEMÃO. AF_04/2023</t>
  </si>
  <si>
    <t xml:space="preserve"> 1.13.1.3. </t>
  </si>
  <si>
    <t xml:space="preserve"> 104641 </t>
  </si>
  <si>
    <t>PINTURA LÁTEX ACRÍLICA ECONÔMICA, APLICAÇÃO MANUAL EM PAREDES, DUAS DEMÃOS. AF_04/2023</t>
  </si>
  <si>
    <t xml:space="preserve"> 1.13.2 </t>
  </si>
  <si>
    <t>PINTURAS EXTERNAS</t>
  </si>
  <si>
    <t xml:space="preserve"> 1.13.2.1. </t>
  </si>
  <si>
    <t xml:space="preserve"> 88415 </t>
  </si>
  <si>
    <t>APLICAÇÃO MANUAL DE FUNDO SELADOR ACRÍLICO EM PAREDES EXTERNAS DE CASAS. AF_03/2024</t>
  </si>
  <si>
    <t xml:space="preserve"> 1.13.2.2. </t>
  </si>
  <si>
    <t xml:space="preserve"> 104642 </t>
  </si>
  <si>
    <t>PINTURA LÁTEX ACRÍLICA STANDARD, APLICAÇÃO MANUAL EM PAREDES, DUAS DEMÃOS. AF_04/2023</t>
  </si>
  <si>
    <t xml:space="preserve"> 1.13.3 </t>
  </si>
  <si>
    <t>PINTURA ESQUADRIAS</t>
  </si>
  <si>
    <t xml:space="preserve"> 1.13.3.1.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</si>
  <si>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</si>
  <si>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</si>
  <si>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1.14 </t>
  </si>
  <si>
    <t>PISO</t>
  </si>
  <si>
    <t xml:space="preserve"> 1.14.0.1.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</si>
  <si>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</si>
  <si>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</si>
  <si>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1.14.0.2. </t>
  </si>
  <si>
    <t xml:space="preserve"> 97087 </t>
  </si>
  <si>
    <t>CAMADA SEPARADORA PARA EXECUÇÃO DE RADIER, PISO DE CONCRETO OU LAJE SOBRE SOLO, EM LONA PLÁSTICA. AF_09/2021</t>
  </si>
  <si>
    <t xml:space="preserve"> 1.14.0.3. </t>
  </si>
  <si>
    <t xml:space="preserve"> 95241 </t>
  </si>
  <si>
    <t>LASTRO DE CONCRETO MAGRO, APLICADO EM PISOS, LAJES SOBRE SOLO OU RADIERS, ESPESSURA DE 5 CM. AF_01/2024</t>
  </si>
  <si>
    <t xml:space="preserve"> 1.14.0.6. </t>
  </si>
  <si>
    <t xml:space="preserve"> 87248 </t>
  </si>
  <si>
    <t>REVESTIMENTO CERÂMICO PARA PISO COM PLACAS TIPO ESMALTADA DE DIMENSÕES 35X35 CM APLICADA EM AMBIENTES DE ÁREA MAIOR QUE 10 M2. AF_02/2023_PE</t>
  </si>
  <si>
    <t xml:space="preserve"> 1.14.0.7. </t>
  </si>
  <si>
    <t xml:space="preserve"> 94990 </t>
  </si>
  <si>
    <t>EXECUÇÃO DE PASSEIO (CALÇADA) OU PISO DE CONCRETO COM CONCRETO MOLDADO IN LOCO, FEITO EM OBRA, ACABAMENTO CONVENCIONAL, NÃO ARMADO. AF_08/2022</t>
  </si>
  <si>
    <t xml:space="preserve"> 1.14.0.8. </t>
  </si>
  <si>
    <t xml:space="preserve"> 88648 </t>
  </si>
  <si>
    <t>RODAPÉ CERÂMICO DE 7CM DE ALTURA COM PLACAS TIPO ESMALTADA DE DIMENSÕES 35X35CM. AF_02/2023</t>
  </si>
  <si>
    <t xml:space="preserve"> 1.15 </t>
  </si>
  <si>
    <t>ELÉTRICAS / TELEFÔNICAS</t>
  </si>
  <si>
    <t xml:space="preserve"> 1.15.0.1. </t>
  </si>
  <si>
    <t xml:space="preserve"> 93653 </t>
  </si>
  <si>
    <t>DISJUNTOR MONOPOLAR TIPO DIN, CORRENTE NOMINAL DE 10A - FORNECIMENTO E INSTALAÇÃO. AF_10/2020</t>
  </si>
  <si>
    <t>UN</t>
  </si>
  <si>
    <t xml:space="preserve"> 1.15.0.2. </t>
  </si>
  <si>
    <t xml:space="preserve"> 93654 </t>
  </si>
  <si>
    <t>DISJUNTOR MONOPOLAR TIPO DIN, CORRENTE NOMINAL DE 16A - FORNECIMENTO E INSTALAÇÃO. AF_10/2020</t>
  </si>
  <si>
    <t xml:space="preserve"> 1.15.0.3. </t>
  </si>
  <si>
    <t xml:space="preserve"> 93656 </t>
  </si>
  <si>
    <t>DISJUNTOR MONOPOLAR TIPO DIN, CORRENTE NOMINAL DE 25A - FORNECIMENTO E INSTALAÇÃO. AF_10/2020</t>
  </si>
  <si>
    <t xml:space="preserve"> 1.15.0.4. </t>
  </si>
  <si>
    <t xml:space="preserve"> 93659 </t>
  </si>
  <si>
    <t>DISJUNTOR MONOPOLAR TIPO DIN, CORRENTE NOMINAL DE 50A - FORNECIMENTO E INSTALAÇÃO. AF_10/2020</t>
  </si>
  <si>
    <t xml:space="preserve"> 1.15.0.6. </t>
  </si>
  <si>
    <t xml:space="preserve"> 101873 </t>
  </si>
  <si>
    <t>QUADRO DE DISTRIBUIÇÃO DE LUZ EM PVC PARA 12 DISJUNTORES - FORNECIMENTO E INSTALAÇÃO. AF_10/2020</t>
  </si>
  <si>
    <t xml:space="preserve"> 1.15.0.8. </t>
  </si>
  <si>
    <t xml:space="preserve"> 97610 </t>
  </si>
  <si>
    <t>LÂMPADA COMPACTA DE LED 10 W, BASE E27 - FORNECIMENTO E INSTALAÇÃO. AF_09/2024</t>
  </si>
  <si>
    <t xml:space="preserve"> 1.15.0.9. </t>
  </si>
  <si>
    <t xml:space="preserve"> 91953 </t>
  </si>
  <si>
    <t>INTERRUPTOR SIMPLES (1 MÓDULO), 10A/250V, INCLUINDO SUPORTE E PLACA - FORNECIMENTO E INSTALAÇÃO. AF_03/2023</t>
  </si>
  <si>
    <t xml:space="preserve"> 1.15.0.11. </t>
  </si>
  <si>
    <t xml:space="preserve"> 92000 </t>
  </si>
  <si>
    <t>TOMADA BAIXA DE EMBUTIR (1 MÓDULO), 2P+T 10 A, INCLUINDO SUPORTE E PLACA - FORNECIMENTO E INSTALAÇÃO. AF_03/2023</t>
  </si>
  <si>
    <t xml:space="preserve"> 1.15.0.12. </t>
  </si>
  <si>
    <t xml:space="preserve"> 91996 </t>
  </si>
  <si>
    <t>TOMADA MÉDIA DE EMBUTIR (1 MÓDULO), 2P+T 10 A, INCLUINDO SUPORTE E PLACA - FORNECIMENTO E INSTALAÇÃO. AF_03/2023</t>
  </si>
  <si>
    <t xml:space="preserve"> 1.15.0.13. </t>
  </si>
  <si>
    <t xml:space="preserve"> 91993 </t>
  </si>
  <si>
    <t>TOMADA ALTA DE EMBUTIR (1 MÓDULO), 2P+T 20 A, INCLUINDO SUPORTE E PLACA - FORNECIMENTO E INSTALAÇÃO. AF_03/2023</t>
  </si>
  <si>
    <t xml:space="preserve"> 1.15.0.17. </t>
  </si>
  <si>
    <t xml:space="preserve"> 91941 </t>
  </si>
  <si>
    <t>CAIXA RETANGULAR 4" X 2" BAIXA (0,30 M DO PISO), PVC, INSTALADA EM PAREDE - FORNECIMENTO E INSTALAÇÃO. AF_03/2023</t>
  </si>
  <si>
    <t xml:space="preserve"> 1.15.0.18. </t>
  </si>
  <si>
    <t xml:space="preserve"> 91940 </t>
  </si>
  <si>
    <t>CAIXA RETANGULAR 4" X 2" MÉDIA (1,30 M DO PISO), PVC, INSTALADA EM PAREDE - FORNECIMENTO E INSTALAÇÃO. AF_03/2023</t>
  </si>
  <si>
    <t xml:space="preserve"> 1.15.0.19. </t>
  </si>
  <si>
    <t xml:space="preserve"> 91939 </t>
  </si>
  <si>
    <t>CAIXA RETANGULAR 4" X 2" ALTA (2,00 M DO PISO), PVC, INSTALADA EM PAREDE - FORNECIMENTO E INSTALAÇÃO. AF_03/2023</t>
  </si>
  <si>
    <t xml:space="preserve"> 1.15.0.21. </t>
  </si>
  <si>
    <t xml:space="preserve"> 91924 </t>
  </si>
  <si>
    <t>CABO DE COBRE FLEXÍVEL ISOLADO, 1,5 MM², ANTI-CHAMA 450/750 V, PARA CIRCUITOS TERMINAIS - FORNECIMENTO E INSTALAÇÃO. AF_03/2023</t>
  </si>
  <si>
    <t xml:space="preserve"> 1.15.0.22. </t>
  </si>
  <si>
    <t xml:space="preserve"> 91926 </t>
  </si>
  <si>
    <t>CABO DE COBRE FLEXÍVEL ISOLADO, 2,5 MM², ANTI-CHAMA 450/750 V, PARA CIRCUITOS TERMINAIS - FORNECIMENTO E INSTALAÇÃO. AF_03/2023</t>
  </si>
  <si>
    <t xml:space="preserve"> 1.15.0.23. </t>
  </si>
  <si>
    <t xml:space="preserve"> 91928 </t>
  </si>
  <si>
    <t>CABO DE COBRE FLEXÍVEL ISOLADO, 4 MM², ANTI-CHAMA 450/750 V, PARA CIRCUITOS TERMINAIS - FORNECIMENTO E INSTALAÇÃO. AF_03/2023</t>
  </si>
  <si>
    <t xml:space="preserve"> 1.15.0.25. </t>
  </si>
  <si>
    <t>CABO DE COBRE FLEXÍVEL ISOLADO, 10 MM², ANTI-CHAMA 0,6/1,0 KV, PARA DISTRIBUIÇÃO - FORNECIMENTO E INSTALAÇÃO. AF_10/2020</t>
  </si>
  <si>
    <t xml:space="preserve"> 1.15.0.26. </t>
  </si>
  <si>
    <t xml:space="preserve"> 91834 </t>
  </si>
  <si>
    <t>ELETRODUTO FLEXÍVEL CORRUGADO, PVC, DN 25 MM (3/4"), PARA CIRCUITOS TERMINAIS, INSTALADO EM FORRO - FORNECIMENTO E INSTALAÇÃO. AF_03/2023</t>
  </si>
  <si>
    <t xml:space="preserve"> 1.15.0.27. </t>
  </si>
  <si>
    <t xml:space="preserve"> 91854 </t>
  </si>
  <si>
    <t>ELETRODUTO FLEXÍVEL CORRUGADO, PVC, DN 25 MM (3/4"), PARA CIRCUITOS TERMINAIS, INSTALADO EM PAREDE - FORNECIMENTO E INSTALAÇÃO. AF_03/2023</t>
  </si>
  <si>
    <t xml:space="preserve"> 1.15.0.29. </t>
  </si>
  <si>
    <t xml:space="preserve"> 90447 </t>
  </si>
  <si>
    <t>RASGO LINEAR MANUAL EM ALVENARIA, PARA ELETRODUTOS, DIÂMETROS MENORES OU IGUAIS A 40 MM. AF_09/2023</t>
  </si>
  <si>
    <t xml:space="preserve"> 1.16 </t>
  </si>
  <si>
    <t>HIDRÁULICAS / GÁS / INCÊNCIO</t>
  </si>
  <si>
    <t xml:space="preserve"> 1.16.0.1.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</si>
  <si>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</si>
  <si>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</si>
  <si>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1.16.0.2. </t>
  </si>
  <si>
    <t xml:space="preserve"> 89408 </t>
  </si>
  <si>
    <t>JOELHO 90 GRAUS, PVC, SOLDÁVEL, DN 25MM, INSTALADO EM RAMAL DE DISTRIBUIÇÃO DE ÁGUA - FORNECIMENTO E INSTALAÇÃO. AF_06/2022</t>
  </si>
  <si>
    <t xml:space="preserve"> 1.16.0.3. </t>
  </si>
  <si>
    <t xml:space="preserve"> 89395 </t>
  </si>
  <si>
    <t>TE, PVC, SOLDÁVEL, DN 25MM, INSTALADO EM RAMAL OU SUB-RAMAL DE ÁGUA - FORNECIMENTO E INSTALAÇÃO. AF_06/2022</t>
  </si>
  <si>
    <t xml:space="preserve"> 1.16.0.4. </t>
  </si>
  <si>
    <t xml:space="preserve"> 89383 </t>
  </si>
  <si>
    <t>ADAPTADOR CURTO COM BOLSA E ROSCA PARA REGISTRO, PVC, SOLDÁVEL, DN 25MM X 3/4, INSTALADO EM RAMAL OU SUB-RAMAL DE ÁGUA - FORNECIMENTO E INSTALAÇÃO. AF_06/2022</t>
  </si>
  <si>
    <t xml:space="preserve"> 1.16.0.5. </t>
  </si>
  <si>
    <t xml:space="preserve"> CM62 </t>
  </si>
  <si>
    <t>FORNECIMENTO E INSTALAÇÃO DE PRESSURIZADOR ACOPLADO AO CHUVEIRO (TENSÃO: 127V - PRESSÃO MINIMA: 0,7MCA / PRESSÃO MÁXIMA: 2,5MCA - ENTRADA 1/2" / SAÍDA 1/2")</t>
  </si>
  <si>
    <t xml:space="preserve"> 1.16.0.7. </t>
  </si>
  <si>
    <t xml:space="preserve"> 89987 </t>
  </si>
  <si>
    <t>REGISTRO DE GAVETA BRUTO, LATÃO, ROSCÁVEL, 3/4", COM ACABAMENTO E CANOPLA CROMADOS - FORNECIMENTO E INSTALAÇÃO. AF_08/2021</t>
  </si>
  <si>
    <t xml:space="preserve"> 1.16.0.8. </t>
  </si>
  <si>
    <t xml:space="preserve"> 94490 </t>
  </si>
  <si>
    <t>REGISTRO DE ESFERA, PVC, SOLDÁVEL, COM VOLANTE, DN 32 MM - FORNECIMENTO E INSTALAÇÃO. AF_08/2021</t>
  </si>
  <si>
    <t xml:space="preserve"> 1.16.0.9. </t>
  </si>
  <si>
    <t xml:space="preserve"> 86885 </t>
  </si>
  <si>
    <t>ENGATE FLEXÍVEL EM PLÁSTICO BRANCO, 1/2" X 40CM - FORNECIMENTO E INSTALAÇÃO. AF_01/2020</t>
  </si>
  <si>
    <t xml:space="preserve"> 1.16.0.13. </t>
  </si>
  <si>
    <t xml:space="preserve"> 89402 </t>
  </si>
  <si>
    <t>TUBO, PVC, SOLDÁVEL, DE 25MM, INSTALADO EM RAMAL DE DISTRIBUIÇÃO DE ÁGUA - FORNECIMENTO E INSTALAÇÃO. AF_06/2022</t>
  </si>
  <si>
    <t xml:space="preserve"> 1.16.0.14. </t>
  </si>
  <si>
    <t xml:space="preserve"> 89440 </t>
  </si>
  <si>
    <t>TE, PVC, SOLDÁVEL, DN 25MM, INSTALADO EM RAMAL DE DISTRIBUIÇÃO DE ÁGUA - FORNECIMENTO E INSTALAÇÃO. AF_06/2022</t>
  </si>
  <si>
    <t xml:space="preserve"> 1.16.0.23.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</si>
  <si>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</si>
  <si>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</si>
  <si>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1.16.0.24. </t>
  </si>
  <si>
    <t xml:space="preserve"> 89413 </t>
  </si>
  <si>
    <t>JOELHO 90 GRAUS, PVC, SOLDÁVEL, DN 32MM, INSTALADO EM RAMAL DE DISTRIBUIÇÃO DE ÁGUA - FORNECIMENTO E INSTALAÇÃO. AF_06/2022</t>
  </si>
  <si>
    <t xml:space="preserve"> 1.16.0.25. </t>
  </si>
  <si>
    <t xml:space="preserve"> 89414 </t>
  </si>
  <si>
    <t>JOELHO 45 GRAUS, PVC, SOLDÁVEL, DN 32MM, INSTALADO EM RAMAL DE DISTRIBUIÇÃO DE ÁGUA - FORNECIMENTO E INSTALAÇÃO. AF_06/2022</t>
  </si>
  <si>
    <t xml:space="preserve"> 1.16.0.26. </t>
  </si>
  <si>
    <t xml:space="preserve"> 103953 </t>
  </si>
  <si>
    <t>BUCHA DE REDUÇÃO, CURTA, PVC, SOLDÁVEL, DN 32 X 25 MM, INSTALADO EM RAMAL DE DISTRIBUIÇÃO DE ÁGUA - FORNECIMENTO E INSTALAÇÃO. AF_06/2022</t>
  </si>
  <si>
    <t xml:space="preserve"> 1.16.0.27. </t>
  </si>
  <si>
    <t xml:space="preserve"> 89443 </t>
  </si>
  <si>
    <t>TE, PVC, SOLDÁVEL, DN 32MM, INSTALADO EM RAMAL DE DISTRIBUIÇÃO DE ÁGUA - FORNECIMENTO E INSTALAÇÃO. AF_06/2022</t>
  </si>
  <si>
    <t xml:space="preserve"> 1.16.0.28. </t>
  </si>
  <si>
    <t xml:space="preserve"> 104006 </t>
  </si>
  <si>
    <t>TÊ DE REDUÇÃO, PVC, SOLDÁVEL, DN 50MM X 25MM, INSTALADO EM RAMAL DE DISTRIBUIÇÃO DE ÁGUA - FORNECIMENTO E INSTALAÇÃO. AF_06/2022</t>
  </si>
  <si>
    <t xml:space="preserve"> 1.16.0.29. </t>
  </si>
  <si>
    <t xml:space="preserve"> 1.16.0.30. </t>
  </si>
  <si>
    <t xml:space="preserve"> 89403 </t>
  </si>
  <si>
    <t>TUBO, PVC, SOLDÁVEL, DE 32MM, INSTALADO EM RAMAL DE DISTRIBUIÇÃO DE ÁGUA - FORNECIMENTO E INSTALAÇÃO. AF_06/2022</t>
  </si>
  <si>
    <t xml:space="preserve"> 1.16.0.31. </t>
  </si>
  <si>
    <t xml:space="preserve"> 103979 </t>
  </si>
  <si>
    <t>TUBO, PVC, SOLDÁVEL, DE 50MM, INSTALADO EM RAMAL DE DISTRIBUIÇÃO DE ÁGUA - FORNECIMENTO E INSTALAÇÃO. AF_06/2022</t>
  </si>
  <si>
    <t xml:space="preserve"> 1.17 </t>
  </si>
  <si>
    <t>SANITÁRIAS / PLUVIAL</t>
  </si>
  <si>
    <t xml:space="preserve"> 1.17.0.1.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</si>
  <si>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</si>
  <si>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</si>
  <si>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1.17.0.2.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</si>
  <si>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</si>
  <si>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</si>
  <si>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1.17.0.3.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</si>
  <si>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</si>
  <si>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</si>
  <si>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1.17.0.4.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</si>
  <si>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</si>
  <si>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</si>
  <si>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1.17.0.5.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</si>
  <si>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</si>
  <si>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</si>
  <si>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1.17.0.9. </t>
  </si>
  <si>
    <t xml:space="preserve"> 89711 </t>
  </si>
  <si>
    <t>TUBO PVC, SERIE NORMAL, ESGOTO PREDIAL, DN 40 MM, FORNECIDO E INSTALADO EM RAMAL DE DESCARGA OU RAMAL DE ESGOTO SANITÁRIO. AF_08/2022</t>
  </si>
  <si>
    <t xml:space="preserve"> 1.17.0.10. </t>
  </si>
  <si>
    <t xml:space="preserve"> 89712 </t>
  </si>
  <si>
    <t>TUBO PVC, SERIE NORMAL, ESGOTO PREDIAL, DN 50 MM, FORNECIDO E INSTALADO EM RAMAL DE DESCARGA OU RAMAL DE ESGOTO SANITÁRIO. AF_08/2022</t>
  </si>
  <si>
    <t xml:space="preserve"> 1.17.0.11. </t>
  </si>
  <si>
    <t xml:space="preserve"> 89798 </t>
  </si>
  <si>
    <t>TUBO PVC, SERIE NORMAL, ESGOTO PREDIAL, DN 50 MM, FORNECIDO E INSTALADO EM PRUMADA DE ESGOTO SANITÁRIO OU VENTILAÇÃO. AF_08/2022</t>
  </si>
  <si>
    <t xml:space="preserve"> 1.17.0.12. </t>
  </si>
  <si>
    <t xml:space="preserve"> 89714 </t>
  </si>
  <si>
    <t>TUBO PVC, SERIE NORMAL, ESGOTO PREDIAL, DN 100 MM, FORNECIDO E INSTALADO EM RAMAL DE DESCARGA OU RAMAL DE ESGOTO SANITÁRIO. AF_08/2022</t>
  </si>
  <si>
    <t xml:space="preserve"> 1.17.0.13.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</si>
  <si>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</si>
  <si>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</si>
  <si>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1.17.0.15. 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</si>
  <si>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</si>
  <si>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</si>
  <si>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1.18 </t>
  </si>
  <si>
    <t>APARELHOS, METAIS E BANCADAS</t>
  </si>
  <si>
    <t xml:space="preserve"> 1.18.0.3. </t>
  </si>
  <si>
    <t xml:space="preserve"> 86934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</si>
  <si>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</si>
  <si>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1.18.0.4. </t>
  </si>
  <si>
    <t xml:space="preserve"> 86924 </t>
  </si>
  <si>
    <t>TANQUE DE LOUÇA BRANCA SUSPENSO, 18L OU EQUIVALENTE, INCLUSO SIFÃO TIPO GARRAFA EM PVC, VÁLVULA PLÁSTICA E TORNEIRA DE PLÁSTICO - FORNECIMENTO E INSTALAÇÃO. AF_01/2020</t>
  </si>
  <si>
    <t>Total sem BDI</t>
  </si>
  <si>
    <t>Total do BDI</t>
  </si>
  <si>
    <t>Total Geral C/ BDI</t>
  </si>
  <si>
    <t>ENCARGOS SOCIAIS - N DESONERADOS HORISTA: 110,74% MENSALISTA : 68,05%</t>
  </si>
  <si>
    <t>CRONOGRAMA FÍSICO - FINANCEIRO</t>
  </si>
  <si>
    <t>Valor (R$)</t>
  </si>
  <si>
    <t>Parcelas:</t>
  </si>
  <si>
    <t>1.</t>
  </si>
  <si>
    <t>% Período: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</si>
  <si>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</si>
  <si>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</si>
  <si>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</si>
  <si>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</si>
  <si>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</si>
  <si>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</si>
  <si>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</si>
  <si>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</si>
  <si>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</si>
  <si>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</si>
  <si>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</si>
  <si>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</si>
  <si>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</si>
  <si>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</si>
  <si>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</si>
  <si>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</si>
  <si>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</si>
  <si>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</si>
  <si>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Período:</t>
  </si>
  <si>
    <t>%:</t>
  </si>
  <si>
    <t>Repasse:</t>
  </si>
  <si>
    <t>Contrapartida:</t>
  </si>
  <si>
    <t>Outros:</t>
  </si>
  <si>
    <t>-</t>
  </si>
  <si>
    <t>Investimento:</t>
  </si>
  <si>
    <t>Acumulado:</t>
  </si>
  <si>
    <t>qtde</t>
  </si>
  <si>
    <t>valor com bdi</t>
  </si>
  <si>
    <t>MEDIÇÃO PRÉVIA</t>
  </si>
  <si>
    <t>1ª MEDIÇÃO</t>
  </si>
  <si>
    <t>2ª MEDIÇÃO</t>
  </si>
  <si>
    <t>6ª MEDIÇÃO</t>
  </si>
  <si>
    <t>3ª MEDIÇÃO</t>
  </si>
  <si>
    <t>4ª MEDIÇÃO</t>
  </si>
  <si>
    <t>5ª MEDIÇÃO</t>
  </si>
  <si>
    <t xml:space="preserve"> BM - BOLETIM DE MEDIÇÃO</t>
  </si>
  <si>
    <r>
      <t xml:space="preserve">Grau de Sigilo
</t>
    </r>
    <r>
      <rPr>
        <b/>
        <sz val="9"/>
        <color indexed="8"/>
        <rFont val="Arial"/>
        <family val="2"/>
      </rPr>
      <t>#PUBLICO</t>
    </r>
  </si>
  <si>
    <t>PROPONENTE/TOMADOR</t>
  </si>
  <si>
    <t>MUNICIPIO/UF</t>
  </si>
  <si>
    <t>LOCALIDADE / ENDEREÇO</t>
  </si>
  <si>
    <t>OBJETO</t>
  </si>
  <si>
    <t>EMPRESA EXECUTORA</t>
  </si>
  <si>
    <t>CNPJ</t>
  </si>
  <si>
    <t>Nº CTEF</t>
  </si>
  <si>
    <t>OBJETO DO CTEF</t>
  </si>
  <si>
    <t>ÍNICIO DA OBRA</t>
  </si>
  <si>
    <t>% Realizado Acum.:</t>
  </si>
  <si>
    <t>Medição:</t>
  </si>
  <si>
    <t>ORÇAMENTO CONTRATADO</t>
  </si>
  <si>
    <t>Evolução Financeira (R$)</t>
  </si>
  <si>
    <t>Discriminação</t>
  </si>
  <si>
    <t>Unid.</t>
  </si>
  <si>
    <t>Qtde.</t>
  </si>
  <si>
    <t>Preço com BDI
(R$)</t>
  </si>
  <si>
    <t>Preço Total
(R$)</t>
  </si>
  <si>
    <t>Acum. Anterior</t>
  </si>
  <si>
    <t>Período</t>
  </si>
  <si>
    <t>Acum. Incluindo Período</t>
  </si>
  <si>
    <t>TOTAL GERAL DA OBRA</t>
  </si>
  <si>
    <t>Local e Data</t>
  </si>
  <si>
    <t>Resp. Técnico Fiscalização:</t>
  </si>
  <si>
    <t>João da Cruz Neves da Conceição</t>
  </si>
  <si>
    <t>Resp. Técnico pela Execução</t>
  </si>
  <si>
    <t>CREA:</t>
  </si>
  <si>
    <t>329603/D-TO</t>
  </si>
  <si>
    <t>CREA/CAU:</t>
  </si>
  <si>
    <t>ART/RRT:</t>
  </si>
  <si>
    <t>PREFEITURA MUNICIPAL DE SANTA ROSA DO TOCANTINS</t>
  </si>
  <si>
    <t>SANTA ROSA DO TOCANTINS/TO.</t>
  </si>
  <si>
    <t>Os serviços medidos informados neste BM encontram-se concluídos, estão em conformidade com os projetos e especificações aceitos pela Prefeitura de SANTA ROSA DO TOCANTINS e foram executados de acordo com as normas técnicas.</t>
  </si>
  <si>
    <t>SANTA ROSA DO TOCANTINS/TO., 24 de novembro de 2025.</t>
  </si>
  <si>
    <t>SETOR SÃO JERÔNIMO</t>
  </si>
  <si>
    <t>CONSTRUÇÃO DE 25 CASAS POPULARES</t>
  </si>
  <si>
    <t>27.331.448/0001-44</t>
  </si>
  <si>
    <t>TO20250576968</t>
  </si>
  <si>
    <t>até 10/04/2026</t>
  </si>
  <si>
    <r>
      <t xml:space="preserve">Total desta Medição:  </t>
    </r>
    <r>
      <rPr>
        <b/>
        <sz val="10"/>
        <rFont val="Arial"/>
        <family val="2"/>
      </rPr>
      <t>R$ 400.178,04 (quatrocentos mil, cento e setenta e oito reais e quatro centavos)</t>
    </r>
  </si>
  <si>
    <t>K L CONSTRUTORA LTDA</t>
  </si>
  <si>
    <t xml:space="preserve">SINAPI - 04/2026 - Tocantins
</t>
  </si>
  <si>
    <t>PLANILHA ORÇAMENTÁRIA</t>
  </si>
  <si>
    <t>OBRA</t>
  </si>
  <si>
    <t xml:space="preserve">DATA DASE: SINAPI/TO 04/2026 NÃO DESONERADO  </t>
  </si>
  <si>
    <t xml:space="preserve">BDI: 25,00%      </t>
  </si>
  <si>
    <t>ARMAÇÃO DE SAPATA ISOLADA, VIGA BALDRAME E SAPATA CORRIDA UTILIZANDO AÇO CA-50 DE 10 MM -MONTAGEM. AF_01/2024</t>
  </si>
  <si>
    <t>TRAMA DE AÇO COMPOSTA POR TERÇAS PARA TELHADOS DE ATÉ 2 ÁGUAS PARA TELHA ONDULADA DE FIBROCIMENTO, METÁLICA, PLÁSTICA OU TERMOACÚSTICA, INCLUSO TRANSPORTE VERTICAL, EXCLUSIVE PINTURA. AF_10/2025_PS</t>
  </si>
  <si>
    <t>TELHAMENTO COM TELHA ESTRUTURAL DE FIBROCIMENTO E= 8 MM, COM ATÉ 2 ÁGUAS, INCLUSO IÇAMENTO. AF_07/2019_PS</t>
  </si>
  <si>
    <t>AMPLIAÇÃO DA UBS DE ITAPIRATINS</t>
  </si>
  <si>
    <t>OBRA:CONTRATAÇÃO DE EMPRESA PARA AMPLIAÇÃO DA UBS DE ITAPIRATINS - TO</t>
  </si>
  <si>
    <t>PROPONENTE: FUNDO MUNICIPAL DE SAÚDE DE ITAPIRATINS-TO</t>
  </si>
  <si>
    <t>MEMÓRIA DE CÁLCULO</t>
  </si>
  <si>
    <t>2*1</t>
  </si>
  <si>
    <t>8,65+4,54*2*0,3*0,25</t>
  </si>
  <si>
    <t>8,65+4,54*2*0,3</t>
  </si>
  <si>
    <t>8,65+4,54*2*0,15*0,25</t>
  </si>
  <si>
    <t>8,65+4,54*2*0,25*2</t>
  </si>
  <si>
    <t>26,38*4,05*0,617</t>
  </si>
  <si>
    <t>26,38*2,05*0,245</t>
  </si>
  <si>
    <t>26,38/0,15*0,8*0,154</t>
  </si>
  <si>
    <t>26,38*0,15*0,25</t>
  </si>
  <si>
    <t>26,38*0,25*2</t>
  </si>
  <si>
    <t>5*0,3*2*3+3,3*0,3*3+3,2*0,3*2*5+2,7*0,3*2*1</t>
  </si>
  <si>
    <t>(8,65+4,54*2+13,4+5,79)*0,25*2+(13,4+5,79+4,54*2)*0,2*2</t>
  </si>
  <si>
    <t>4,54*0,25*2</t>
  </si>
  <si>
    <t>((8,65+4,54*2+13,4+5,79)/0,15*0,78*0,154)+((13,4+5,79+4,54*2)/0,15*0,7*0,154)+((4,54)/0,15*0,78*0,154)+(43,6/0,15*1*0,154)</t>
  </si>
  <si>
    <t>43,6*4,05*0,617</t>
  </si>
  <si>
    <t>43,6*0,15*0,3</t>
  </si>
  <si>
    <t>(4,54+8,65+4,54*2+13,4+5,79)*0,12*0,25+(13,4+5,79+4,54*2)*0,12*0,2</t>
  </si>
  <si>
    <t>(8,65+3,84)*3,3+(4,54+5)+(4,54*2,47)+(13,4+5,79)*2,2+4,54*1,8</t>
  </si>
  <si>
    <t>2*1,2+1,5*2+1,5</t>
  </si>
  <si>
    <t>1,5+2</t>
  </si>
  <si>
    <t>1,5*1+1*0,8</t>
  </si>
  <si>
    <t>0,8*2,1*2+1*2,1</t>
  </si>
  <si>
    <t>0,8*2+1+1,5</t>
  </si>
  <si>
    <t>4,95*4,57</t>
  </si>
  <si>
    <t>8,65*4,49</t>
  </si>
  <si>
    <t>(8,65*4,49)  ÁREA DE TELHADO = 22,64m²X 2 DEMÃOS</t>
  </si>
  <si>
    <t>CÁLCULO</t>
  </si>
  <si>
    <t>QUANT.</t>
  </si>
  <si>
    <t>1 UNI</t>
  </si>
  <si>
    <t>7 ESTACAS X2m DE PROFUNDIADE</t>
  </si>
  <si>
    <t>5UNI</t>
  </si>
  <si>
    <t>13,4+3,84*4+8,65+4,54+4,45+1,95+1,2*2+2,34</t>
  </si>
  <si>
    <t>14,27*0,07+4,69*0,6*0,07</t>
  </si>
  <si>
    <t>22,64+38,83</t>
  </si>
  <si>
    <t>(4,45+4,54)*2,3</t>
  </si>
  <si>
    <t>4,69*2,7+13,4*3,2+4,45*5*2+3,84*3,3*2+8,65*3,3+3,84*3,2</t>
  </si>
  <si>
    <t>4,69*2,7+13,4*3,2+4,45*5*2+3,84*3,3*2+8,65*3,3+3,84*3,2-((4,45+4,54)*2,3)</t>
  </si>
  <si>
    <t>(4,45+4,54+1,95)*2,3</t>
  </si>
  <si>
    <t>4,69*2,7+13,4*3,2+5,79*3,2+1,65*3,2+4,54*1,8*2</t>
  </si>
  <si>
    <t>4,69*2,7+13,4*3,2+5,79*3,2+1,65*3,2+4,54*1,8*2+4,54*1,8*2</t>
  </si>
  <si>
    <t>0,8*2,1*2+1*2,1*3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</si>
</sst>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&quot;R$&quot;\ #,##0.00"/>
    <numFmt numFmtId="166" formatCode="_(* #,##0_);_(* \(#,##0\);_(* &quot;-&quot;??_);_(@_)"/>
    <numFmt numFmtId="167" formatCode="0.0000%"/>
  </numFmts>
  <fonts count="4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9"/>
      <color indexed="81"/>
      <name val="Segoe U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99FF"/>
      </patternFill>
    </fill>
    <fill>
      <patternFill patternType="solid">
        <fgColor theme="0"/>
        <bgColor indexed="64"/>
      </patternFill>
    </fill>
    <fill>
      <patternFill patternType="solid">
        <fgColor rgb="FFBFBFBF"/>
      </patternFill>
    </fill>
    <fill>
      <patternFill patternType="solid">
        <fgColor indexed="26"/>
        <bgColor indexed="64"/>
      </patternFill>
    </fill>
    <fill>
      <patternFill patternType="lightUp"/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328">
    <xf numFmtId="0" fontId="0" fillId="0" borderId="0" xfId="0"/>
    <xf numFmtId="0" fontId="21" fillId="4" borderId="0" xfId="0" applyFont="1" applyFill="1" applyAlignment="1">
      <alignment horizontal="center" vertical="top" wrapText="1"/>
    </xf>
    <xf numFmtId="43" fontId="21" fillId="4" borderId="0" xfId="1" applyFont="1" applyFill="1" applyAlignment="1">
      <alignment horizontal="center" vertical="top" wrapText="1"/>
    </xf>
    <xf numFmtId="43" fontId="0" fillId="0" borderId="0" xfId="1" applyFont="1"/>
    <xf numFmtId="0" fontId="5" fillId="0" borderId="4" xfId="0" applyFont="1" applyBorder="1" applyAlignment="1">
      <alignment horizontal="left" vertical="top" wrapText="1"/>
    </xf>
    <xf numFmtId="43" fontId="6" fillId="0" borderId="4" xfId="1" applyFont="1" applyFill="1" applyBorder="1" applyAlignment="1">
      <alignment horizontal="right" vertical="top" wrapText="1"/>
    </xf>
    <xf numFmtId="4" fontId="7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right" vertical="top" wrapText="1"/>
    </xf>
    <xf numFmtId="0" fontId="11" fillId="0" borderId="4" xfId="0" applyFont="1" applyBorder="1" applyAlignment="1">
      <alignment horizontal="center" vertical="top" wrapText="1"/>
    </xf>
    <xf numFmtId="43" fontId="12" fillId="0" borderId="4" xfId="1" applyFont="1" applyFill="1" applyBorder="1" applyAlignment="1">
      <alignment horizontal="right" vertical="top" wrapText="1"/>
    </xf>
    <xf numFmtId="4" fontId="13" fillId="0" borderId="4" xfId="0" applyNumberFormat="1" applyFont="1" applyBorder="1" applyAlignment="1">
      <alignment horizontal="righ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right" vertical="top" wrapText="1"/>
    </xf>
    <xf numFmtId="0" fontId="1" fillId="2" borderId="6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4" fillId="0" borderId="5" xfId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1" fontId="29" fillId="9" borderId="1" xfId="0" applyNumberFormat="1" applyFont="1" applyFill="1" applyBorder="1" applyAlignment="1">
      <alignment horizontal="center" shrinkToFit="1"/>
    </xf>
    <xf numFmtId="1" fontId="29" fillId="9" borderId="1" xfId="0" applyNumberFormat="1" applyFont="1" applyFill="1" applyBorder="1" applyAlignment="1">
      <alignment horizontal="center" vertical="top" shrinkToFit="1"/>
    </xf>
    <xf numFmtId="1" fontId="29" fillId="0" borderId="17" xfId="0" applyNumberFormat="1" applyFont="1" applyBorder="1" applyAlignment="1">
      <alignment horizontal="center" vertical="top" shrinkToFit="1"/>
    </xf>
    <xf numFmtId="1" fontId="29" fillId="0" borderId="18" xfId="0" applyNumberFormat="1" applyFont="1" applyBorder="1" applyAlignment="1">
      <alignment horizontal="center" vertical="top" shrinkToFit="1"/>
    </xf>
    <xf numFmtId="0" fontId="30" fillId="10" borderId="1" xfId="0" applyFont="1" applyFill="1" applyBorder="1" applyAlignment="1">
      <alignment horizontal="center" vertical="center" wrapText="1"/>
    </xf>
    <xf numFmtId="0" fontId="30" fillId="10" borderId="3" xfId="0" applyFont="1" applyFill="1" applyBorder="1" applyAlignment="1">
      <alignment horizontal="left" vertical="center" wrapText="1"/>
    </xf>
    <xf numFmtId="43" fontId="30" fillId="0" borderId="1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0" fontId="28" fillId="0" borderId="1" xfId="0" applyNumberFormat="1" applyFont="1" applyBorder="1" applyAlignment="1">
      <alignment horizontal="center" vertical="center" wrapText="1"/>
    </xf>
    <xf numFmtId="10" fontId="28" fillId="0" borderId="2" xfId="0" applyNumberFormat="1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center" vertical="top" wrapText="1"/>
    </xf>
    <xf numFmtId="10" fontId="29" fillId="11" borderId="22" xfId="0" applyNumberFormat="1" applyFont="1" applyFill="1" applyBorder="1" applyAlignment="1">
      <alignment horizontal="center" shrinkToFit="1"/>
    </xf>
    <xf numFmtId="0" fontId="28" fillId="0" borderId="22" xfId="0" applyFont="1" applyBorder="1" applyAlignment="1">
      <alignment horizontal="left" wrapText="1"/>
    </xf>
    <xf numFmtId="0" fontId="28" fillId="0" borderId="23" xfId="0" applyFont="1" applyBorder="1" applyAlignment="1">
      <alignment horizontal="left" wrapText="1"/>
    </xf>
    <xf numFmtId="44" fontId="28" fillId="0" borderId="26" xfId="2" applyFont="1" applyBorder="1" applyAlignment="1">
      <alignment horizontal="left" wrapText="1"/>
    </xf>
    <xf numFmtId="0" fontId="28" fillId="0" borderId="26" xfId="0" applyFont="1" applyBorder="1" applyAlignment="1">
      <alignment horizontal="left" wrapText="1"/>
    </xf>
    <xf numFmtId="0" fontId="28" fillId="0" borderId="28" xfId="0" applyFont="1" applyBorder="1" applyAlignment="1">
      <alignment horizontal="left" wrapText="1"/>
    </xf>
    <xf numFmtId="10" fontId="29" fillId="12" borderId="22" xfId="0" applyNumberFormat="1" applyFont="1" applyFill="1" applyBorder="1" applyAlignment="1">
      <alignment horizontal="center" shrinkToFit="1"/>
    </xf>
    <xf numFmtId="10" fontId="29" fillId="0" borderId="30" xfId="0" applyNumberFormat="1" applyFont="1" applyBorder="1" applyAlignment="1">
      <alignment horizontal="center" shrinkToFit="1"/>
    </xf>
    <xf numFmtId="0" fontId="28" fillId="0" borderId="29" xfId="0" applyFont="1" applyBorder="1" applyAlignment="1">
      <alignment horizontal="left" wrapText="1"/>
    </xf>
    <xf numFmtId="10" fontId="29" fillId="0" borderId="22" xfId="0" applyNumberFormat="1" applyFont="1" applyBorder="1" applyAlignment="1">
      <alignment horizontal="center" shrinkToFit="1"/>
    </xf>
    <xf numFmtId="10" fontId="29" fillId="13" borderId="36" xfId="3" applyNumberFormat="1" applyFont="1" applyFill="1" applyBorder="1" applyAlignment="1">
      <alignment horizontal="right" shrinkToFit="1"/>
    </xf>
    <xf numFmtId="10" fontId="29" fillId="13" borderId="36" xfId="0" applyNumberFormat="1" applyFont="1" applyFill="1" applyBorder="1" applyAlignment="1">
      <alignment horizontal="right" vertical="top" shrinkToFit="1"/>
    </xf>
    <xf numFmtId="44" fontId="29" fillId="0" borderId="41" xfId="2" applyFont="1" applyBorder="1" applyAlignment="1">
      <alignment horizontal="left" shrinkToFit="1"/>
    </xf>
    <xf numFmtId="44" fontId="29" fillId="0" borderId="41" xfId="2" applyFont="1" applyFill="1" applyBorder="1" applyAlignment="1">
      <alignment horizontal="left" shrinkToFit="1"/>
    </xf>
    <xf numFmtId="44" fontId="29" fillId="0" borderId="42" xfId="2" applyFont="1" applyFill="1" applyBorder="1" applyAlignment="1">
      <alignment horizontal="left" shrinkToFit="1"/>
    </xf>
    <xf numFmtId="44" fontId="29" fillId="0" borderId="43" xfId="2" applyFont="1" applyFill="1" applyBorder="1" applyAlignment="1">
      <alignment horizontal="left" shrinkToFit="1"/>
    </xf>
    <xf numFmtId="43" fontId="28" fillId="0" borderId="44" xfId="0" applyNumberFormat="1" applyFont="1" applyBorder="1" applyAlignment="1">
      <alignment horizontal="left" wrapText="1"/>
    </xf>
    <xf numFmtId="43" fontId="28" fillId="0" borderId="4" xfId="0" applyNumberFormat="1" applyFont="1" applyBorder="1" applyAlignment="1">
      <alignment horizontal="left" wrapText="1"/>
    </xf>
    <xf numFmtId="0" fontId="28" fillId="0" borderId="4" xfId="0" applyFont="1" applyBorder="1" applyAlignment="1">
      <alignment horizontal="left" wrapText="1"/>
    </xf>
    <xf numFmtId="0" fontId="28" fillId="0" borderId="45" xfId="0" applyFont="1" applyBorder="1" applyAlignment="1">
      <alignment horizontal="left" wrapText="1"/>
    </xf>
    <xf numFmtId="44" fontId="0" fillId="0" borderId="0" xfId="0" applyNumberFormat="1"/>
    <xf numFmtId="44" fontId="28" fillId="13" borderId="41" xfId="2" applyFont="1" applyFill="1" applyBorder="1" applyAlignment="1">
      <alignment horizontal="left" wrapText="1"/>
    </xf>
    <xf numFmtId="0" fontId="28" fillId="0" borderId="41" xfId="0" applyFont="1" applyBorder="1" applyAlignment="1">
      <alignment horizontal="left" wrapText="1"/>
    </xf>
    <xf numFmtId="0" fontId="28" fillId="0" borderId="41" xfId="0" applyFont="1" applyBorder="1" applyAlignment="1">
      <alignment horizontal="right" vertical="top" wrapText="1" indent="1"/>
    </xf>
    <xf numFmtId="0" fontId="28" fillId="0" borderId="42" xfId="0" applyFont="1" applyBorder="1" applyAlignment="1">
      <alignment horizontal="left" wrapText="1"/>
    </xf>
    <xf numFmtId="0" fontId="28" fillId="0" borderId="43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4" fontId="29" fillId="13" borderId="41" xfId="0" applyNumberFormat="1" applyFont="1" applyFill="1" applyBorder="1" applyAlignment="1">
      <alignment horizontal="right" shrinkToFit="1"/>
    </xf>
    <xf numFmtId="10" fontId="29" fillId="13" borderId="41" xfId="0" applyNumberFormat="1" applyFont="1" applyFill="1" applyBorder="1" applyAlignment="1">
      <alignment horizontal="right" shrinkToFit="1"/>
    </xf>
    <xf numFmtId="10" fontId="29" fillId="13" borderId="41" xfId="0" applyNumberFormat="1" applyFont="1" applyFill="1" applyBorder="1" applyAlignment="1">
      <alignment horizontal="right" vertical="top" shrinkToFit="1"/>
    </xf>
    <xf numFmtId="43" fontId="0" fillId="0" borderId="0" xfId="0" applyNumberFormat="1"/>
    <xf numFmtId="165" fontId="29" fillId="0" borderId="41" xfId="0" quotePrefix="1" applyNumberFormat="1" applyFont="1" applyBorder="1" applyAlignment="1">
      <alignment horizontal="right" shrinkToFit="1"/>
    </xf>
    <xf numFmtId="165" fontId="29" fillId="0" borderId="41" xfId="0" applyNumberFormat="1" applyFont="1" applyBorder="1" applyAlignment="1">
      <alignment horizontal="right" vertical="top" shrinkToFit="1"/>
    </xf>
    <xf numFmtId="44" fontId="29" fillId="0" borderId="41" xfId="1" applyNumberFormat="1" applyFont="1" applyBorder="1" applyAlignment="1">
      <alignment horizontal="right" vertical="top" shrinkToFit="1"/>
    </xf>
    <xf numFmtId="165" fontId="29" fillId="0" borderId="42" xfId="0" applyNumberFormat="1" applyFont="1" applyBorder="1" applyAlignment="1">
      <alignment horizontal="right" vertical="top" shrinkToFit="1"/>
    </xf>
    <xf numFmtId="4" fontId="29" fillId="0" borderId="43" xfId="0" applyNumberFormat="1" applyFont="1" applyBorder="1" applyAlignment="1">
      <alignment horizontal="right" vertical="top" shrinkToFit="1"/>
    </xf>
    <xf numFmtId="44" fontId="28" fillId="13" borderId="41" xfId="0" applyNumberFormat="1" applyFont="1" applyFill="1" applyBorder="1" applyAlignment="1">
      <alignment horizontal="left" wrapText="1"/>
    </xf>
    <xf numFmtId="44" fontId="28" fillId="13" borderId="41" xfId="0" applyNumberFormat="1" applyFont="1" applyFill="1" applyBorder="1" applyAlignment="1">
      <alignment horizontal="right" vertical="top" wrapText="1" indent="1"/>
    </xf>
    <xf numFmtId="44" fontId="28" fillId="13" borderId="41" xfId="1" applyNumberFormat="1" applyFont="1" applyFill="1" applyBorder="1" applyAlignment="1">
      <alignment horizontal="right" vertical="top" wrapText="1" indent="1"/>
    </xf>
    <xf numFmtId="165" fontId="29" fillId="13" borderId="52" xfId="0" applyNumberFormat="1" applyFont="1" applyFill="1" applyBorder="1" applyAlignment="1">
      <alignment horizontal="right" shrinkToFit="1"/>
    </xf>
    <xf numFmtId="165" fontId="29" fillId="13" borderId="52" xfId="0" applyNumberFormat="1" applyFont="1" applyFill="1" applyBorder="1" applyAlignment="1">
      <alignment horizontal="right" vertical="top" shrinkToFit="1"/>
    </xf>
    <xf numFmtId="10" fontId="0" fillId="0" borderId="0" xfId="0" applyNumberFormat="1"/>
    <xf numFmtId="43" fontId="0" fillId="0" borderId="0" xfId="1" applyFont="1" applyFill="1"/>
    <xf numFmtId="4" fontId="0" fillId="0" borderId="0" xfId="0" applyNumberFormat="1"/>
    <xf numFmtId="4" fontId="31" fillId="0" borderId="0" xfId="0" applyNumberFormat="1" applyFont="1"/>
    <xf numFmtId="2" fontId="0" fillId="0" borderId="0" xfId="0" applyNumberFormat="1" applyAlignment="1">
      <alignment vertical="center"/>
    </xf>
    <xf numFmtId="44" fontId="0" fillId="0" borderId="0" xfId="2" applyFont="1" applyAlignment="1">
      <alignment vertical="center"/>
    </xf>
    <xf numFmtId="0" fontId="4" fillId="0" borderId="53" xfId="0" applyFont="1" applyBorder="1" applyAlignment="1">
      <alignment horizontal="center" vertical="center" wrapText="1"/>
    </xf>
    <xf numFmtId="164" fontId="8" fillId="0" borderId="54" xfId="0" applyNumberFormat="1" applyFont="1" applyBorder="1" applyAlignment="1">
      <alignment horizontal="right" vertical="top" wrapText="1"/>
    </xf>
    <xf numFmtId="164" fontId="14" fillId="0" borderId="54" xfId="0" applyNumberFormat="1" applyFont="1" applyBorder="1" applyAlignment="1">
      <alignment horizontal="right" vertical="top" wrapText="1"/>
    </xf>
    <xf numFmtId="44" fontId="1" fillId="0" borderId="14" xfId="2" applyFont="1" applyFill="1" applyBorder="1" applyAlignment="1">
      <alignment horizontal="center" vertical="center" wrapText="1"/>
    </xf>
    <xf numFmtId="44" fontId="0" fillId="0" borderId="45" xfId="2" applyFont="1" applyBorder="1" applyAlignment="1">
      <alignment vertical="center"/>
    </xf>
    <xf numFmtId="44" fontId="0" fillId="0" borderId="57" xfId="2" applyFont="1" applyBorder="1" applyAlignment="1">
      <alignment vertical="center"/>
    </xf>
    <xf numFmtId="44" fontId="31" fillId="0" borderId="14" xfId="2" applyFont="1" applyBorder="1" applyAlignment="1">
      <alignment vertical="center"/>
    </xf>
    <xf numFmtId="0" fontId="2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left" vertical="top" wrapText="1"/>
    </xf>
    <xf numFmtId="0" fontId="10" fillId="0" borderId="56" xfId="0" applyFont="1" applyBorder="1" applyAlignment="1">
      <alignment horizontal="left" vertical="top" wrapText="1"/>
    </xf>
    <xf numFmtId="0" fontId="16" fillId="0" borderId="56" xfId="0" applyFont="1" applyBorder="1" applyAlignment="1">
      <alignment horizontal="left" vertical="top" wrapText="1"/>
    </xf>
    <xf numFmtId="0" fontId="25" fillId="8" borderId="15" xfId="0" applyFont="1" applyFill="1" applyBorder="1" applyAlignment="1">
      <alignment horizontal="center" vertical="top" wrapText="1"/>
    </xf>
    <xf numFmtId="0" fontId="25" fillId="8" borderId="0" xfId="0" applyFont="1" applyFill="1" applyAlignment="1">
      <alignment horizontal="center" vertical="top" wrapText="1"/>
    </xf>
    <xf numFmtId="43" fontId="25" fillId="8" borderId="0" xfId="1" applyFont="1" applyFill="1" applyBorder="1" applyAlignment="1">
      <alignment horizontal="center" vertical="top" wrapText="1"/>
    </xf>
    <xf numFmtId="0" fontId="22" fillId="5" borderId="0" xfId="0" applyFont="1" applyFill="1" applyAlignment="1">
      <alignment horizontal="right" vertical="top" wrapText="1"/>
    </xf>
    <xf numFmtId="0" fontId="24" fillId="7" borderId="0" xfId="0" applyFont="1" applyFill="1" applyAlignment="1">
      <alignment horizontal="left" vertical="top" wrapText="1"/>
    </xf>
    <xf numFmtId="0" fontId="22" fillId="5" borderId="10" xfId="0" applyFont="1" applyFill="1" applyBorder="1" applyAlignment="1">
      <alignment horizontal="right" vertical="top" wrapText="1"/>
    </xf>
    <xf numFmtId="0" fontId="24" fillId="7" borderId="10" xfId="0" applyFont="1" applyFill="1" applyBorder="1" applyAlignment="1">
      <alignment horizontal="left" vertical="top" wrapText="1"/>
    </xf>
    <xf numFmtId="2" fontId="1" fillId="0" borderId="60" xfId="0" applyNumberFormat="1" applyFont="1" applyBorder="1" applyAlignment="1">
      <alignment horizontal="center" vertical="center" wrapText="1"/>
    </xf>
    <xf numFmtId="2" fontId="0" fillId="0" borderId="44" xfId="0" applyNumberFormat="1" applyBorder="1" applyAlignment="1">
      <alignment vertical="center"/>
    </xf>
    <xf numFmtId="2" fontId="0" fillId="0" borderId="61" xfId="0" applyNumberFormat="1" applyBorder="1" applyAlignment="1">
      <alignment vertical="center"/>
    </xf>
    <xf numFmtId="2" fontId="0" fillId="0" borderId="60" xfId="0" applyNumberFormat="1" applyBorder="1" applyAlignment="1">
      <alignment vertical="center"/>
    </xf>
    <xf numFmtId="0" fontId="0" fillId="0" borderId="62" xfId="0" applyBorder="1"/>
    <xf numFmtId="0" fontId="4" fillId="0" borderId="62" xfId="0" applyFont="1" applyBorder="1" applyAlignment="1">
      <alignment horizontal="center" vertical="center" wrapText="1"/>
    </xf>
    <xf numFmtId="164" fontId="8" fillId="0" borderId="62" xfId="0" applyNumberFormat="1" applyFont="1" applyBorder="1" applyAlignment="1">
      <alignment horizontal="right" vertical="top" wrapText="1"/>
    </xf>
    <xf numFmtId="164" fontId="14" fillId="0" borderId="62" xfId="0" applyNumberFormat="1" applyFont="1" applyBorder="1" applyAlignment="1">
      <alignment horizontal="right" vertical="top" wrapText="1"/>
    </xf>
    <xf numFmtId="164" fontId="19" fillId="0" borderId="62" xfId="0" applyNumberFormat="1" applyFont="1" applyBorder="1" applyAlignment="1">
      <alignment horizontal="right" vertical="top" wrapText="1"/>
    </xf>
    <xf numFmtId="0" fontId="25" fillId="8" borderId="62" xfId="0" applyFont="1" applyFill="1" applyBorder="1" applyAlignment="1">
      <alignment horizontal="center" vertical="top" wrapText="1"/>
    </xf>
    <xf numFmtId="0" fontId="22" fillId="5" borderId="62" xfId="0" applyFont="1" applyFill="1" applyBorder="1" applyAlignment="1">
      <alignment horizontal="right" vertical="top" wrapText="1"/>
    </xf>
    <xf numFmtId="0" fontId="22" fillId="5" borderId="24" xfId="0" applyFont="1" applyFill="1" applyBorder="1" applyAlignment="1">
      <alignment horizontal="right" vertical="top" wrapText="1"/>
    </xf>
    <xf numFmtId="0" fontId="20" fillId="3" borderId="15" xfId="0" applyFont="1" applyFill="1" applyBorder="1" applyAlignment="1">
      <alignment horizontal="left" vertical="top" wrapText="1"/>
    </xf>
    <xf numFmtId="164" fontId="14" fillId="12" borderId="62" xfId="0" applyNumberFormat="1" applyFont="1" applyFill="1" applyBorder="1" applyAlignment="1">
      <alignment horizontal="right" vertical="top" wrapText="1"/>
    </xf>
    <xf numFmtId="2" fontId="0" fillId="10" borderId="42" xfId="0" applyNumberFormat="1" applyFill="1" applyBorder="1" applyAlignment="1">
      <alignment vertical="center"/>
    </xf>
    <xf numFmtId="2" fontId="0" fillId="10" borderId="58" xfId="0" applyNumberFormat="1" applyFill="1" applyBorder="1" applyAlignment="1">
      <alignment vertical="center"/>
    </xf>
    <xf numFmtId="0" fontId="10" fillId="12" borderId="56" xfId="0" applyFont="1" applyFill="1" applyBorder="1" applyAlignment="1">
      <alignment horizontal="left" vertical="top" wrapText="1"/>
    </xf>
    <xf numFmtId="0" fontId="12" fillId="12" borderId="4" xfId="0" applyFont="1" applyFill="1" applyBorder="1" applyAlignment="1">
      <alignment horizontal="right" vertical="top" wrapText="1"/>
    </xf>
    <xf numFmtId="0" fontId="10" fillId="12" borderId="4" xfId="0" applyFont="1" applyFill="1" applyBorder="1" applyAlignment="1">
      <alignment horizontal="left" vertical="top" wrapText="1"/>
    </xf>
    <xf numFmtId="0" fontId="11" fillId="12" borderId="4" xfId="0" applyFont="1" applyFill="1" applyBorder="1" applyAlignment="1">
      <alignment horizontal="center" vertical="top" wrapText="1"/>
    </xf>
    <xf numFmtId="4" fontId="13" fillId="12" borderId="4" xfId="0" applyNumberFormat="1" applyFont="1" applyFill="1" applyBorder="1" applyAlignment="1">
      <alignment horizontal="right" vertical="top" wrapText="1"/>
    </xf>
    <xf numFmtId="2" fontId="0" fillId="12" borderId="44" xfId="0" applyNumberFormat="1" applyFill="1" applyBorder="1" applyAlignment="1">
      <alignment vertical="center"/>
    </xf>
    <xf numFmtId="44" fontId="0" fillId="12" borderId="45" xfId="2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43" fontId="26" fillId="0" borderId="0" xfId="1" applyAlignment="1" applyProtection="1">
      <alignment vertical="center"/>
    </xf>
    <xf numFmtId="43" fontId="0" fillId="0" borderId="0" xfId="1" applyFont="1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4" fillId="0" borderId="65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 wrapText="1"/>
    </xf>
    <xf numFmtId="43" fontId="37" fillId="0" borderId="0" xfId="1" applyFont="1" applyFill="1" applyBorder="1" applyAlignment="1" applyProtection="1">
      <alignment horizontal="center" vertical="center" wrapText="1"/>
    </xf>
    <xf numFmtId="43" fontId="38" fillId="0" borderId="0" xfId="1" applyFont="1" applyFill="1" applyBorder="1" applyAlignment="1" applyProtection="1">
      <alignment horizontal="right" vertical="center"/>
    </xf>
    <xf numFmtId="10" fontId="38" fillId="0" borderId="5" xfId="3" applyNumberFormat="1" applyFont="1" applyFill="1" applyBorder="1" applyAlignment="1" applyProtection="1">
      <alignment horizontal="center" vertical="center" wrapText="1"/>
    </xf>
    <xf numFmtId="43" fontId="38" fillId="0" borderId="0" xfId="1" applyFont="1" applyFill="1" applyBorder="1" applyAlignment="1" applyProtection="1">
      <alignment horizontal="right" vertical="center" wrapText="1"/>
    </xf>
    <xf numFmtId="166" fontId="38" fillId="14" borderId="5" xfId="1" applyNumberFormat="1" applyFont="1" applyFill="1" applyBorder="1" applyAlignment="1" applyProtection="1">
      <alignment horizontal="center" vertical="center" wrapText="1"/>
      <protection locked="0"/>
    </xf>
    <xf numFmtId="43" fontId="37" fillId="0" borderId="0" xfId="1" applyFont="1" applyFill="1" applyBorder="1" applyAlignment="1" applyProtection="1">
      <alignment vertical="center"/>
    </xf>
    <xf numFmtId="0" fontId="28" fillId="0" borderId="0" xfId="0" applyFont="1" applyAlignment="1">
      <alignment horizontal="center" vertical="center" wrapText="1"/>
    </xf>
    <xf numFmtId="43" fontId="26" fillId="0" borderId="0" xfId="1" applyFill="1" applyBorder="1" applyAlignment="1" applyProtection="1">
      <alignment horizontal="center" vertical="center" wrapText="1"/>
    </xf>
    <xf numFmtId="43" fontId="26" fillId="0" borderId="0" xfId="1" applyFill="1" applyBorder="1" applyAlignment="1" applyProtection="1">
      <alignment horizontal="center" vertical="center"/>
    </xf>
    <xf numFmtId="43" fontId="39" fillId="0" borderId="0" xfId="1" applyFont="1" applyFill="1" applyBorder="1" applyAlignment="1" applyProtection="1">
      <alignment horizontal="center" vertical="center" wrapText="1"/>
    </xf>
    <xf numFmtId="43" fontId="30" fillId="0" borderId="0" xfId="1" applyFont="1" applyFill="1" applyBorder="1" applyAlignment="1" applyProtection="1">
      <alignment horizontal="right" vertical="center"/>
    </xf>
    <xf numFmtId="43" fontId="26" fillId="0" borderId="0" xfId="1" applyFill="1" applyBorder="1" applyAlignment="1" applyProtection="1">
      <alignment vertical="center"/>
    </xf>
    <xf numFmtId="0" fontId="38" fillId="0" borderId="4" xfId="0" applyFont="1" applyBorder="1" applyAlignment="1">
      <alignment horizontal="center" vertical="center" wrapText="1"/>
    </xf>
    <xf numFmtId="43" fontId="38" fillId="0" borderId="4" xfId="1" applyFont="1" applyBorder="1" applyAlignment="1" applyProtection="1">
      <alignment horizontal="center" vertical="center" wrapText="1"/>
    </xf>
    <xf numFmtId="43" fontId="38" fillId="0" borderId="44" xfId="1" applyFont="1" applyBorder="1" applyAlignment="1" applyProtection="1">
      <alignment horizontal="center" vertical="center" wrapText="1"/>
    </xf>
    <xf numFmtId="0" fontId="30" fillId="0" borderId="70" xfId="0" applyFont="1" applyBorder="1" applyAlignment="1">
      <alignment horizontal="center" vertical="center"/>
    </xf>
    <xf numFmtId="0" fontId="30" fillId="0" borderId="70" xfId="0" applyFont="1" applyBorder="1" applyAlignment="1">
      <alignment horizontal="justify" vertical="center"/>
    </xf>
    <xf numFmtId="4" fontId="26" fillId="0" borderId="70" xfId="1" applyNumberFormat="1" applyBorder="1" applyAlignment="1">
      <alignment vertical="center"/>
    </xf>
    <xf numFmtId="0" fontId="28" fillId="0" borderId="70" xfId="0" applyFont="1" applyBorder="1" applyAlignment="1">
      <alignment horizontal="center" vertical="center"/>
    </xf>
    <xf numFmtId="0" fontId="28" fillId="0" borderId="70" xfId="0" applyFont="1" applyBorder="1" applyAlignment="1">
      <alignment horizontal="justify" vertical="center"/>
    </xf>
    <xf numFmtId="4" fontId="31" fillId="0" borderId="70" xfId="1" applyNumberFormat="1" applyFont="1" applyBorder="1" applyAlignment="1">
      <alignment vertical="center"/>
    </xf>
    <xf numFmtId="43" fontId="41" fillId="14" borderId="4" xfId="1" applyFont="1" applyFill="1" applyBorder="1" applyAlignment="1" applyProtection="1">
      <alignment vertical="center" shrinkToFit="1"/>
      <protection locked="0"/>
    </xf>
    <xf numFmtId="43" fontId="41" fillId="14" borderId="4" xfId="1" applyFont="1" applyFill="1" applyBorder="1" applyAlignment="1" applyProtection="1">
      <alignment vertical="center"/>
      <protection locked="0"/>
    </xf>
    <xf numFmtId="4" fontId="31" fillId="0" borderId="4" xfId="0" applyNumberFormat="1" applyFont="1" applyBorder="1" applyAlignment="1">
      <alignment vertical="center" shrinkToFit="1"/>
    </xf>
    <xf numFmtId="10" fontId="31" fillId="0" borderId="4" xfId="3" applyNumberFormat="1" applyFont="1" applyFill="1" applyBorder="1" applyAlignment="1" applyProtection="1">
      <alignment horizontal="right" vertical="center"/>
    </xf>
    <xf numFmtId="0" fontId="42" fillId="15" borderId="53" xfId="0" applyFont="1" applyFill="1" applyBorder="1" applyAlignment="1">
      <alignment horizontal="left" vertical="top"/>
    </xf>
    <xf numFmtId="0" fontId="42" fillId="15" borderId="68" xfId="0" applyFont="1" applyFill="1" applyBorder="1" applyAlignment="1">
      <alignment horizontal="justify" vertical="top" wrapText="1"/>
    </xf>
    <xf numFmtId="0" fontId="42" fillId="15" borderId="68" xfId="0" applyFont="1" applyFill="1" applyBorder="1"/>
    <xf numFmtId="0" fontId="42" fillId="15" borderId="68" xfId="0" applyFont="1" applyFill="1" applyBorder="1" applyAlignment="1">
      <alignment horizontal="center" wrapText="1"/>
    </xf>
    <xf numFmtId="0" fontId="42" fillId="15" borderId="69" xfId="0" applyFont="1" applyFill="1" applyBorder="1"/>
    <xf numFmtId="0" fontId="42" fillId="15" borderId="68" xfId="0" applyFont="1" applyFill="1" applyBorder="1" applyAlignment="1">
      <alignment horizontal="center"/>
    </xf>
    <xf numFmtId="0" fontId="42" fillId="15" borderId="69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wrapText="1"/>
    </xf>
    <xf numFmtId="0" fontId="0" fillId="0" borderId="68" xfId="0" applyBorder="1" applyAlignment="1">
      <alignment vertical="center"/>
    </xf>
    <xf numFmtId="0" fontId="28" fillId="0" borderId="68" xfId="0" applyFont="1" applyBorder="1" applyAlignment="1">
      <alignment horizontal="right" vertical="center"/>
    </xf>
    <xf numFmtId="0" fontId="0" fillId="0" borderId="68" xfId="0" applyBorder="1" applyAlignment="1">
      <alignment horizontal="center" vertical="center"/>
    </xf>
    <xf numFmtId="0" fontId="0" fillId="0" borderId="6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43" fontId="0" fillId="0" borderId="0" xfId="1" applyFont="1" applyBorder="1" applyAlignment="1">
      <alignment vertical="center"/>
    </xf>
    <xf numFmtId="4" fontId="41" fillId="0" borderId="70" xfId="1" applyNumberFormat="1" applyFont="1" applyBorder="1" applyAlignment="1">
      <alignment vertical="center"/>
    </xf>
    <xf numFmtId="0" fontId="41" fillId="0" borderId="0" xfId="0" applyFont="1"/>
    <xf numFmtId="43" fontId="28" fillId="0" borderId="70" xfId="1" applyFont="1" applyBorder="1" applyAlignment="1">
      <alignment horizontal="center" vertical="center"/>
    </xf>
    <xf numFmtId="43" fontId="28" fillId="0" borderId="70" xfId="1" applyFont="1" applyBorder="1" applyAlignment="1">
      <alignment vertical="center" wrapText="1"/>
    </xf>
    <xf numFmtId="43" fontId="30" fillId="0" borderId="70" xfId="1" applyFont="1" applyBorder="1" applyAlignment="1">
      <alignment horizontal="center" vertical="center"/>
    </xf>
    <xf numFmtId="43" fontId="30" fillId="0" borderId="70" xfId="1" applyFont="1" applyBorder="1" applyAlignment="1">
      <alignment vertical="center" wrapText="1"/>
    </xf>
    <xf numFmtId="0" fontId="31" fillId="0" borderId="0" xfId="0" applyFont="1"/>
    <xf numFmtId="43" fontId="41" fillId="0" borderId="0" xfId="0" applyNumberFormat="1" applyFont="1"/>
    <xf numFmtId="0" fontId="22" fillId="5" borderId="3" xfId="0" applyFont="1" applyFill="1" applyBorder="1" applyAlignment="1">
      <alignment horizontal="right" vertical="top" wrapText="1"/>
    </xf>
    <xf numFmtId="4" fontId="23" fillId="6" borderId="3" xfId="0" applyNumberFormat="1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left" vertical="top" wrapText="1"/>
    </xf>
    <xf numFmtId="0" fontId="15" fillId="0" borderId="4" xfId="0" applyFont="1" applyBorder="1" applyAlignment="1">
      <alignment horizontal="right" vertical="top" wrapText="1"/>
    </xf>
    <xf numFmtId="10" fontId="22" fillId="5" borderId="3" xfId="3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left" vertical="top" wrapText="1"/>
    </xf>
    <xf numFmtId="0" fontId="28" fillId="0" borderId="27" xfId="0" applyFont="1" applyBorder="1" applyAlignment="1">
      <alignment horizontal="left" wrapText="1"/>
    </xf>
    <xf numFmtId="0" fontId="28" fillId="0" borderId="31" xfId="0" applyFont="1" applyBorder="1" applyAlignment="1">
      <alignment horizontal="left" wrapText="1"/>
    </xf>
    <xf numFmtId="167" fontId="0" fillId="0" borderId="0" xfId="3" applyNumberFormat="1" applyFont="1"/>
    <xf numFmtId="43" fontId="10" fillId="0" borderId="4" xfId="1" applyFont="1" applyFill="1" applyBorder="1" applyAlignment="1">
      <alignment horizontal="right" vertical="top" wrapText="1"/>
    </xf>
    <xf numFmtId="0" fontId="0" fillId="0" borderId="1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7" fillId="0" borderId="15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8" fillId="0" borderId="20" xfId="0" applyFont="1" applyBorder="1" applyAlignment="1">
      <alignment horizontal="center" vertical="top" wrapText="1"/>
    </xf>
    <xf numFmtId="0" fontId="28" fillId="0" borderId="24" xfId="0" applyFont="1" applyBorder="1" applyAlignment="1">
      <alignment horizontal="center" vertical="top" wrapText="1"/>
    </xf>
    <xf numFmtId="0" fontId="28" fillId="0" borderId="7" xfId="0" applyFont="1" applyBorder="1" applyAlignment="1">
      <alignment vertical="top" wrapText="1"/>
    </xf>
    <xf numFmtId="0" fontId="28" fillId="0" borderId="10" xfId="0" applyFont="1" applyBorder="1" applyAlignment="1">
      <alignment vertical="top" wrapText="1"/>
    </xf>
    <xf numFmtId="43" fontId="29" fillId="0" borderId="21" xfId="1" applyFont="1" applyFill="1" applyBorder="1" applyAlignment="1">
      <alignment horizontal="left" vertical="top" shrinkToFit="1"/>
    </xf>
    <xf numFmtId="43" fontId="29" fillId="0" borderId="25" xfId="1" applyFont="1" applyFill="1" applyBorder="1" applyAlignment="1">
      <alignment horizontal="left" vertical="top" shrinkToFit="1"/>
    </xf>
    <xf numFmtId="0" fontId="28" fillId="0" borderId="7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8" fillId="0" borderId="39" xfId="0" applyFont="1" applyBorder="1" applyAlignment="1">
      <alignment horizontal="right" vertical="top" wrapText="1"/>
    </xf>
    <xf numFmtId="0" fontId="28" fillId="0" borderId="40" xfId="0" applyFont="1" applyBorder="1" applyAlignment="1">
      <alignment horizontal="right" vertical="top" wrapText="1"/>
    </xf>
    <xf numFmtId="0" fontId="28" fillId="13" borderId="50" xfId="0" applyFont="1" applyFill="1" applyBorder="1" applyAlignment="1">
      <alignment horizontal="left" vertical="top" wrapText="1" indent="4"/>
    </xf>
    <xf numFmtId="0" fontId="28" fillId="13" borderId="51" xfId="0" applyFont="1" applyFill="1" applyBorder="1" applyAlignment="1">
      <alignment horizontal="left" vertical="top" wrapText="1" indent="4"/>
    </xf>
    <xf numFmtId="43" fontId="30" fillId="0" borderId="32" xfId="0" applyNumberFormat="1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28" fillId="13" borderId="33" xfId="0" applyFont="1" applyFill="1" applyBorder="1" applyAlignment="1">
      <alignment horizontal="left" vertical="center" wrapText="1" indent="1"/>
    </xf>
    <xf numFmtId="0" fontId="28" fillId="13" borderId="38" xfId="0" applyFont="1" applyFill="1" applyBorder="1" applyAlignment="1">
      <alignment horizontal="left" vertical="center" wrapText="1" indent="1"/>
    </xf>
    <xf numFmtId="0" fontId="28" fillId="13" borderId="46" xfId="0" applyFont="1" applyFill="1" applyBorder="1" applyAlignment="1">
      <alignment horizontal="left" vertical="center" wrapText="1" indent="1"/>
    </xf>
    <xf numFmtId="0" fontId="28" fillId="13" borderId="34" xfId="0" applyFont="1" applyFill="1" applyBorder="1" applyAlignment="1">
      <alignment horizontal="right" vertical="top" wrapText="1"/>
    </xf>
    <xf numFmtId="0" fontId="28" fillId="13" borderId="35" xfId="0" applyFont="1" applyFill="1" applyBorder="1" applyAlignment="1">
      <alignment horizontal="right" vertical="top" wrapText="1"/>
    </xf>
    <xf numFmtId="0" fontId="28" fillId="0" borderId="39" xfId="0" applyFont="1" applyBorder="1" applyAlignment="1">
      <alignment horizontal="left" vertical="top" wrapText="1" indent="6"/>
    </xf>
    <xf numFmtId="0" fontId="28" fillId="0" borderId="40" xfId="0" applyFont="1" applyBorder="1" applyAlignment="1">
      <alignment horizontal="left" vertical="top" wrapText="1" indent="6"/>
    </xf>
    <xf numFmtId="0" fontId="28" fillId="13" borderId="39" xfId="0" applyFont="1" applyFill="1" applyBorder="1" applyAlignment="1">
      <alignment horizontal="left" vertical="top" wrapText="1" indent="4"/>
    </xf>
    <xf numFmtId="0" fontId="28" fillId="13" borderId="40" xfId="0" applyFont="1" applyFill="1" applyBorder="1" applyAlignment="1">
      <alignment horizontal="left" vertical="top" wrapText="1" indent="4"/>
    </xf>
    <xf numFmtId="0" fontId="28" fillId="13" borderId="47" xfId="0" applyFont="1" applyFill="1" applyBorder="1" applyAlignment="1">
      <alignment horizontal="left" vertical="center" wrapText="1"/>
    </xf>
    <xf numFmtId="0" fontId="28" fillId="13" borderId="38" xfId="0" applyFont="1" applyFill="1" applyBorder="1" applyAlignment="1">
      <alignment horizontal="left" vertical="center" wrapText="1"/>
    </xf>
    <xf numFmtId="0" fontId="28" fillId="13" borderId="49" xfId="0" applyFont="1" applyFill="1" applyBorder="1" applyAlignment="1">
      <alignment horizontal="left" vertical="center" wrapText="1"/>
    </xf>
    <xf numFmtId="0" fontId="28" fillId="13" borderId="39" xfId="0" applyFont="1" applyFill="1" applyBorder="1" applyAlignment="1">
      <alignment horizontal="right" vertical="top" wrapText="1"/>
    </xf>
    <xf numFmtId="0" fontId="28" fillId="13" borderId="40" xfId="0" applyFont="1" applyFill="1" applyBorder="1" applyAlignment="1">
      <alignment horizontal="right" vertical="top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2" fontId="0" fillId="10" borderId="9" xfId="0" applyNumberFormat="1" applyFill="1" applyBorder="1" applyAlignment="1">
      <alignment horizontal="center" vertical="center"/>
    </xf>
    <xf numFmtId="2" fontId="0" fillId="10" borderId="11" xfId="0" applyNumberFormat="1" applyFill="1" applyBorder="1" applyAlignment="1">
      <alignment horizontal="center" vertical="center"/>
    </xf>
    <xf numFmtId="2" fontId="0" fillId="10" borderId="6" xfId="0" applyNumberFormat="1" applyFill="1" applyBorder="1" applyAlignment="1">
      <alignment horizontal="center" vertical="center"/>
    </xf>
    <xf numFmtId="2" fontId="0" fillId="10" borderId="8" xfId="0" applyNumberFormat="1" applyFill="1" applyBorder="1" applyAlignment="1">
      <alignment horizontal="center" vertical="center"/>
    </xf>
    <xf numFmtId="2" fontId="31" fillId="0" borderId="10" xfId="0" applyNumberFormat="1" applyFont="1" applyBorder="1" applyAlignment="1">
      <alignment horizontal="center" vertical="center"/>
    </xf>
    <xf numFmtId="2" fontId="31" fillId="0" borderId="1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top" wrapText="1"/>
    </xf>
    <xf numFmtId="0" fontId="9" fillId="3" borderId="10" xfId="0" applyFont="1" applyFill="1" applyBorder="1" applyAlignment="1">
      <alignment horizontal="left" vertical="top" wrapText="1"/>
    </xf>
    <xf numFmtId="0" fontId="20" fillId="3" borderId="10" xfId="0" applyFont="1" applyFill="1" applyBorder="1" applyAlignment="1">
      <alignment horizontal="left" vertical="top" wrapText="1"/>
    </xf>
    <xf numFmtId="43" fontId="20" fillId="3" borderId="10" xfId="1" applyFont="1" applyFill="1" applyBorder="1" applyAlignment="1">
      <alignment horizontal="left" vertical="top" wrapText="1"/>
    </xf>
    <xf numFmtId="2" fontId="31" fillId="10" borderId="6" xfId="0" applyNumberFormat="1" applyFont="1" applyFill="1" applyBorder="1" applyAlignment="1">
      <alignment horizontal="center" vertical="center"/>
    </xf>
    <xf numFmtId="2" fontId="31" fillId="10" borderId="8" xfId="0" applyNumberFormat="1" applyFont="1" applyFill="1" applyBorder="1" applyAlignment="1">
      <alignment horizontal="center" vertical="center"/>
    </xf>
    <xf numFmtId="2" fontId="31" fillId="10" borderId="63" xfId="0" applyNumberFormat="1" applyFont="1" applyFill="1" applyBorder="1" applyAlignment="1">
      <alignment horizontal="center" vertical="center"/>
    </xf>
    <xf numFmtId="2" fontId="31" fillId="10" borderId="64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top" wrapText="1"/>
    </xf>
    <xf numFmtId="0" fontId="22" fillId="5" borderId="3" xfId="0" applyFont="1" applyFill="1" applyBorder="1" applyAlignment="1">
      <alignment horizontal="right" vertical="top" wrapText="1"/>
    </xf>
    <xf numFmtId="0" fontId="15" fillId="8" borderId="0" xfId="0" applyFont="1" applyFill="1" applyAlignment="1">
      <alignment horizontal="center" vertical="top" wrapText="1"/>
    </xf>
    <xf numFmtId="0" fontId="0" fillId="0" borderId="0" xfId="0"/>
    <xf numFmtId="0" fontId="1" fillId="0" borderId="12" xfId="0" applyFont="1" applyBorder="1" applyAlignment="1">
      <alignment horizontal="center" wrapText="1"/>
    </xf>
    <xf numFmtId="0" fontId="0" fillId="0" borderId="13" xfId="0" applyBorder="1"/>
    <xf numFmtId="0" fontId="0" fillId="0" borderId="59" xfId="0" applyBorder="1"/>
    <xf numFmtId="0" fontId="22" fillId="5" borderId="15" xfId="0" applyFont="1" applyFill="1" applyBorder="1" applyAlignment="1">
      <alignment horizontal="right" vertical="top" wrapText="1"/>
    </xf>
    <xf numFmtId="0" fontId="22" fillId="5" borderId="0" xfId="0" applyFont="1" applyFill="1" applyAlignment="1">
      <alignment horizontal="right" vertical="top" wrapText="1"/>
    </xf>
    <xf numFmtId="0" fontId="20" fillId="3" borderId="0" xfId="0" applyFont="1" applyFill="1" applyAlignment="1">
      <alignment horizontal="left" vertical="top" wrapText="1"/>
    </xf>
    <xf numFmtId="4" fontId="23" fillId="6" borderId="0" xfId="0" applyNumberFormat="1" applyFont="1" applyFill="1" applyAlignment="1">
      <alignment horizontal="right" vertical="top" wrapText="1"/>
    </xf>
    <xf numFmtId="0" fontId="22" fillId="5" borderId="9" xfId="0" applyFont="1" applyFill="1" applyBorder="1" applyAlignment="1">
      <alignment horizontal="right" vertical="top" wrapText="1"/>
    </xf>
    <xf numFmtId="0" fontId="22" fillId="5" borderId="10" xfId="0" applyFont="1" applyFill="1" applyBorder="1" applyAlignment="1">
      <alignment horizontal="right" vertical="top" wrapText="1"/>
    </xf>
    <xf numFmtId="49" fontId="30" fillId="0" borderId="0" xfId="0" applyNumberFormat="1" applyFont="1"/>
    <xf numFmtId="0" fontId="30" fillId="0" borderId="0" xfId="0" applyFont="1"/>
    <xf numFmtId="49" fontId="0" fillId="0" borderId="0" xfId="0" applyNumberFormat="1" applyAlignment="1">
      <alignment horizontal="left" vertical="center" wrapText="1"/>
    </xf>
    <xf numFmtId="0" fontId="32" fillId="0" borderId="53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40" fillId="14" borderId="4" xfId="0" applyFont="1" applyFill="1" applyBorder="1" applyAlignment="1" applyProtection="1">
      <alignment horizontal="center" vertical="center" wrapText="1"/>
      <protection locked="0"/>
    </xf>
    <xf numFmtId="0" fontId="0" fillId="14" borderId="54" xfId="0" applyFill="1" applyBorder="1" applyAlignment="1" applyProtection="1">
      <alignment horizontal="left" vertical="top" wrapText="1"/>
      <protection locked="0"/>
    </xf>
    <xf numFmtId="0" fontId="28" fillId="14" borderId="42" xfId="0" applyFont="1" applyFill="1" applyBorder="1" applyAlignment="1" applyProtection="1">
      <alignment horizontal="left" vertical="top" wrapText="1"/>
      <protection locked="0"/>
    </xf>
    <xf numFmtId="0" fontId="28" fillId="14" borderId="44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justify" wrapText="1"/>
    </xf>
    <xf numFmtId="0" fontId="0" fillId="0" borderId="68" xfId="0" applyBorder="1" applyAlignment="1" applyProtection="1">
      <alignment horizontal="left"/>
      <protection locked="0"/>
    </xf>
    <xf numFmtId="0" fontId="35" fillId="0" borderId="71" xfId="0" applyFont="1" applyBorder="1" applyAlignment="1">
      <alignment horizontal="left"/>
    </xf>
    <xf numFmtId="0" fontId="30" fillId="0" borderId="0" xfId="0" applyFont="1" applyAlignment="1">
      <alignment horizontal="left"/>
    </xf>
    <xf numFmtId="0" fontId="32" fillId="0" borderId="5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14" fontId="32" fillId="0" borderId="5" xfId="0" applyNumberFormat="1" applyFont="1" applyBorder="1" applyAlignment="1">
      <alignment horizontal="center" vertical="center"/>
    </xf>
    <xf numFmtId="0" fontId="38" fillId="0" borderId="53" xfId="0" applyFont="1" applyBorder="1" applyAlignment="1">
      <alignment horizontal="center"/>
    </xf>
    <xf numFmtId="0" fontId="38" fillId="0" borderId="69" xfId="0" applyFont="1" applyBorder="1" applyAlignment="1">
      <alignment horizontal="center"/>
    </xf>
    <xf numFmtId="0" fontId="31" fillId="0" borderId="68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 wrapText="1"/>
    </xf>
    <xf numFmtId="43" fontId="31" fillId="0" borderId="53" xfId="1" applyFont="1" applyBorder="1" applyAlignment="1" applyProtection="1">
      <alignment horizontal="center" vertical="center" wrapText="1"/>
    </xf>
    <xf numFmtId="43" fontId="31" fillId="0" borderId="68" xfId="1" applyFont="1" applyBorder="1" applyAlignment="1" applyProtection="1">
      <alignment horizontal="center" vertical="center" wrapText="1"/>
    </xf>
    <xf numFmtId="43" fontId="31" fillId="0" borderId="69" xfId="1" applyFont="1" applyBorder="1" applyAlignment="1" applyProtection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68" xfId="0" applyFont="1" applyBorder="1" applyAlignment="1">
      <alignment horizontal="center" vertical="center"/>
    </xf>
    <xf numFmtId="0" fontId="35" fillId="0" borderId="69" xfId="0" applyFont="1" applyBorder="1" applyAlignment="1">
      <alignment horizontal="center" vertical="center"/>
    </xf>
    <xf numFmtId="0" fontId="34" fillId="0" borderId="65" xfId="0" applyFont="1" applyBorder="1" applyAlignment="1">
      <alignment horizontal="left" vertical="center"/>
    </xf>
    <xf numFmtId="0" fontId="34" fillId="0" borderId="65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4" fillId="0" borderId="66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67" xfId="0" applyFont="1" applyBorder="1" applyAlignment="1">
      <alignment horizontal="left" vertical="center"/>
    </xf>
    <xf numFmtId="2" fontId="0" fillId="10" borderId="0" xfId="0" applyNumberFormat="1" applyFill="1" applyBorder="1" applyAlignment="1">
      <alignment horizontal="center" vertical="center"/>
    </xf>
    <xf numFmtId="44" fontId="1" fillId="0" borderId="0" xfId="2" applyFont="1" applyFill="1" applyBorder="1" applyAlignment="1">
      <alignment horizontal="center" vertical="center" wrapText="1"/>
    </xf>
    <xf numFmtId="2" fontId="31" fillId="10" borderId="0" xfId="0" applyNumberFormat="1" applyFont="1" applyFill="1" applyBorder="1" applyAlignment="1">
      <alignment horizontal="center" vertical="center"/>
    </xf>
    <xf numFmtId="44" fontId="0" fillId="0" borderId="0" xfId="2" applyFont="1" applyBorder="1" applyAlignment="1">
      <alignment vertical="center"/>
    </xf>
    <xf numFmtId="43" fontId="1" fillId="0" borderId="5" xfId="1" applyFont="1" applyFill="1" applyBorder="1" applyAlignment="1">
      <alignment horizontal="center" vertical="center" wrapText="1"/>
    </xf>
    <xf numFmtId="2" fontId="31" fillId="0" borderId="1" xfId="0" applyNumberFormat="1" applyFont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5"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8"/>
      </font>
      <fill>
        <patternFill>
          <bgColor indexed="55"/>
        </patternFill>
      </fill>
    </dxf>
    <dxf>
      <font>
        <b/>
        <i val="0"/>
        <condense val="0"/>
        <extend val="0"/>
        <color indexed="8"/>
      </font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754380</xdr:colOff>
      <xdr:row>0</xdr:row>
      <xdr:rowOff>22860</xdr:rowOff>
    </xdr:from>
    <xdr:to>
      <xdr:col>2</xdr:col>
      <xdr:colOff>15240</xdr:colOff>
      <xdr:row>1</xdr:row>
      <xdr:rowOff>647700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36AD30F-F062-EEA7-8096-3E3B8BBFA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22860"/>
          <a:ext cx="7848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754380</xdr:colOff>
      <xdr:row>0</xdr:row>
      <xdr:rowOff>22860</xdr:rowOff>
    </xdr:from>
    <xdr:to>
      <xdr:col>2</xdr:col>
      <xdr:colOff>15240</xdr:colOff>
      <xdr:row>1</xdr:row>
      <xdr:rowOff>647700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A4F31B-49BC-40EC-9191-8F25914BA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22860"/>
          <a:ext cx="7848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692726</xdr:colOff>
      <xdr:row>0</xdr:row>
      <xdr:rowOff>145472</xdr:rowOff>
    </xdr:from>
    <xdr:to>
      <xdr:col>5</xdr:col>
      <xdr:colOff>662288</xdr:colOff>
      <xdr:row>6</xdr:row>
      <xdr:rowOff>55418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A2289B3-1EFE-116B-686F-992A49DDD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7562" y="145472"/>
          <a:ext cx="939381" cy="955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feituras%202022\Couto%20Magalh&#227;es\Gin&#225;sio\MEDI&#199;&#195;O%20GIN&#193;SIO%20Couto%20Magalh&#227;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\Desktop\2025\LICITA&#199;&#195;O\21.10%20SANTA%20ROSA\PROPOSTA\CONSTRU&#199;&#195;O%20DE%20UNIDADES%20HABITAC%20-%20Or&#231;amento%20Sint&#233;tico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RESUMO"/>
      <sheetName val="ORÇAMENTO"/>
      <sheetName val="Mem Cálculo"/>
      <sheetName val="Planilha"/>
      <sheetName val="10ª MED"/>
      <sheetName val="9ª MED"/>
      <sheetName val="8ª MED"/>
      <sheetName val="7ª MED"/>
      <sheetName val="6ª MED"/>
      <sheetName val="5ª MED"/>
      <sheetName val="4ª MED"/>
      <sheetName val="3ª MED"/>
      <sheetName val="2ª MED"/>
      <sheetName val="1ª MED"/>
      <sheetName val="COMP"/>
      <sheetName val="Planilha1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">
          <cell r="A3" t="b">
            <v>0</v>
          </cell>
        </row>
      </sheetData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Sintético"/>
      <sheetName val="CRONOGRAMA"/>
    </sheetNames>
    <sheetDataSet>
      <sheetData sheetId="0">
        <row r="5">
          <cell r="D5" t="str">
            <v>CONSTRUÇÃO DE HABITAÇÃO DE INTERESSE SOCIAL - HIS - PADRÃO POPULAR</v>
          </cell>
        </row>
        <row r="6">
          <cell r="D6" t="str">
            <v>ADMINISTRAÇÃO LOCAL DA OBRA</v>
          </cell>
        </row>
        <row r="8">
          <cell r="D8" t="str">
            <v>SERVIÇOS PRELIMINARES</v>
          </cell>
        </row>
        <row r="13">
          <cell r="D13" t="str">
            <v>FUNDAÇÃO</v>
          </cell>
        </row>
        <row r="15">
          <cell r="D15" t="str">
            <v>BALDRAMES</v>
          </cell>
        </row>
        <row r="24">
          <cell r="D24" t="str">
            <v>IMPERMEABILIZAÇÃO</v>
          </cell>
        </row>
        <row r="28">
          <cell r="D28" t="str">
            <v>PILARES, VIGAS E LAJES</v>
          </cell>
        </row>
        <row r="39">
          <cell r="D39" t="str">
            <v>ALVENARIA/FECHAMENTOS</v>
          </cell>
        </row>
        <row r="43">
          <cell r="D43" t="str">
            <v>ESQUADRIAS METÁLICAS</v>
          </cell>
        </row>
        <row r="49">
          <cell r="D49" t="str">
            <v>COBERTURA</v>
          </cell>
        </row>
        <row r="55">
          <cell r="D55" t="str">
            <v>REVESTIMENTOS INTERNOS</v>
          </cell>
        </row>
        <row r="63">
          <cell r="D63" t="str">
            <v>REVESTIMENTOS EXTERNOS</v>
          </cell>
        </row>
        <row r="66">
          <cell r="D66" t="str">
            <v>FORROS</v>
          </cell>
        </row>
        <row r="68">
          <cell r="D68" t="str">
            <v>PINTURA</v>
          </cell>
        </row>
        <row r="80">
          <cell r="D80" t="str">
            <v>PISO</v>
          </cell>
        </row>
        <row r="89">
          <cell r="D89" t="str">
            <v>ELÉTRICAS / TELEFÔNICAS</v>
          </cell>
        </row>
        <row r="119">
          <cell r="D119" t="str">
            <v>HIDRÁULICAS / GÁS / INCÊNCIO</v>
          </cell>
        </row>
        <row r="151">
          <cell r="D151" t="str">
            <v>SANITÁRIAS / PLUVIAL</v>
          </cell>
        </row>
        <row r="171">
          <cell r="D171" t="str">
            <v>APARELHOS, METAIS E BANCADAS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7"/>
  <sheetViews>
    <sheetView showWhiteSpace="0" view="pageBreakPreview" topLeftCell="A121" zoomScaleNormal="100" zoomScaleSheetLayoutView="100" workbookViewId="0">
      <selection activeCell="F7" sqref="F7:F129"/>
    </sheetView>
  </sheetViews>
  <sheetFormatPr defaultRowHeight="13.8" x14ac:dyDescent="0.25"/>
  <cols>
    <col min="1" max="2" width="10" bestFit="1" customWidth="1"/>
    <col min="3" max="3" width="6.3984375" bestFit="1" customWidth="1"/>
    <col min="4" max="4" width="61" customWidth="1"/>
    <col min="5" max="5" width="8" bestFit="1" customWidth="1"/>
    <col min="6" max="6" width="13" style="3" bestFit="1" customWidth="1"/>
    <col min="7" max="8" width="13" bestFit="1" customWidth="1"/>
    <col min="9" max="9" width="14.09765625" bestFit="1" customWidth="1"/>
    <col min="10" max="10" width="13" customWidth="1"/>
    <col min="11" max="11" width="1.19921875" hidden="1" customWidth="1"/>
    <col min="12" max="12" width="8.296875" style="82" hidden="1" customWidth="1"/>
    <col min="13" max="13" width="18.796875" style="83" hidden="1" customWidth="1"/>
    <col min="14" max="14" width="8.296875" style="82" hidden="1" customWidth="1"/>
    <col min="15" max="15" width="20.59765625" style="83" hidden="1" customWidth="1"/>
    <col min="16" max="16" width="7.8984375" style="82" hidden="1" customWidth="1"/>
    <col min="17" max="17" width="18.5" style="83" hidden="1" customWidth="1"/>
    <col min="18" max="18" width="0" style="82" hidden="1" customWidth="1"/>
    <col min="19" max="19" width="16.8984375" style="83" hidden="1" customWidth="1"/>
    <col min="20" max="20" width="0" style="82" hidden="1" customWidth="1"/>
    <col min="21" max="21" width="14.59765625" style="83" hidden="1" customWidth="1"/>
    <col min="22" max="22" width="0" style="82" hidden="1" customWidth="1"/>
    <col min="23" max="23" width="14.59765625" style="83" hidden="1" customWidth="1"/>
    <col min="24" max="24" width="10" style="3" bestFit="1" customWidth="1"/>
    <col min="25" max="25" width="11.09765625" style="3" bestFit="1" customWidth="1"/>
    <col min="26" max="26" width="8.796875" style="3"/>
    <col min="27" max="27" width="11.09765625" style="3" bestFit="1" customWidth="1"/>
  </cols>
  <sheetData>
    <row r="1" spans="1:28" ht="14.4" thickBot="1" x14ac:dyDescent="0.3">
      <c r="A1" s="194"/>
      <c r="B1" s="195"/>
      <c r="C1" s="195"/>
      <c r="D1" s="197" t="s">
        <v>462</v>
      </c>
      <c r="E1" s="265" t="s">
        <v>0</v>
      </c>
      <c r="F1" s="265"/>
      <c r="G1" s="265" t="s">
        <v>1</v>
      </c>
      <c r="H1" s="265"/>
      <c r="I1" s="265" t="s">
        <v>2</v>
      </c>
      <c r="J1" s="265"/>
      <c r="K1" s="15"/>
      <c r="L1" s="261"/>
      <c r="M1" s="262"/>
      <c r="N1" s="261"/>
      <c r="O1" s="262"/>
      <c r="P1" s="261"/>
      <c r="Q1" s="262"/>
      <c r="R1" s="261"/>
      <c r="S1" s="262"/>
      <c r="T1" s="261"/>
      <c r="U1" s="262"/>
      <c r="V1" s="261"/>
      <c r="W1" s="262"/>
    </row>
    <row r="2" spans="1:28" ht="53.4" customHeight="1" thickBot="1" x14ac:dyDescent="0.3">
      <c r="A2" s="196"/>
      <c r="B2" s="257"/>
      <c r="C2" s="258"/>
      <c r="D2" s="200" t="s">
        <v>461</v>
      </c>
      <c r="E2" s="266" t="s">
        <v>452</v>
      </c>
      <c r="F2" s="267"/>
      <c r="G2" s="268">
        <v>25</v>
      </c>
      <c r="H2" s="268"/>
      <c r="I2" s="267" t="s">
        <v>3</v>
      </c>
      <c r="J2" s="267"/>
      <c r="K2" s="114"/>
      <c r="L2" s="259"/>
      <c r="M2" s="260"/>
      <c r="N2" s="259"/>
      <c r="O2" s="260"/>
      <c r="P2" s="259"/>
      <c r="Q2" s="260"/>
      <c r="R2" s="259"/>
      <c r="S2" s="260"/>
      <c r="T2" s="259"/>
      <c r="U2" s="260"/>
      <c r="V2" s="259"/>
      <c r="W2" s="260"/>
    </row>
    <row r="3" spans="1:28" ht="14.4" thickBot="1" x14ac:dyDescent="0.3">
      <c r="A3" s="277" t="s">
        <v>453</v>
      </c>
      <c r="B3" s="278"/>
      <c r="C3" s="278"/>
      <c r="D3" s="278"/>
      <c r="E3" s="278"/>
      <c r="F3" s="278"/>
      <c r="G3" s="278"/>
      <c r="H3" s="278"/>
      <c r="I3" s="278"/>
      <c r="J3" s="279"/>
      <c r="K3" s="106"/>
      <c r="L3" s="263" t="s">
        <v>402</v>
      </c>
      <c r="M3" s="264"/>
      <c r="N3" s="263" t="s">
        <v>402</v>
      </c>
      <c r="O3" s="264"/>
      <c r="P3" s="263" t="s">
        <v>402</v>
      </c>
      <c r="Q3" s="264"/>
      <c r="R3" s="263" t="s">
        <v>402</v>
      </c>
      <c r="S3" s="264"/>
      <c r="T3" s="263" t="s">
        <v>402</v>
      </c>
      <c r="U3" s="264"/>
      <c r="V3" s="263" t="s">
        <v>402</v>
      </c>
      <c r="W3" s="264"/>
    </row>
    <row r="4" spans="1:28" ht="28.2" thickBot="1" x14ac:dyDescent="0.3">
      <c r="A4" s="91" t="s">
        <v>4</v>
      </c>
      <c r="B4" s="17" t="s">
        <v>5</v>
      </c>
      <c r="C4" s="16" t="s">
        <v>6</v>
      </c>
      <c r="D4" s="16" t="s">
        <v>7</v>
      </c>
      <c r="E4" s="18" t="s">
        <v>8</v>
      </c>
      <c r="F4" s="19" t="s">
        <v>9</v>
      </c>
      <c r="G4" s="17" t="s">
        <v>10</v>
      </c>
      <c r="H4" s="17" t="s">
        <v>11</v>
      </c>
      <c r="I4" s="17" t="s">
        <v>12</v>
      </c>
      <c r="J4" s="84" t="s">
        <v>13</v>
      </c>
      <c r="K4" s="107"/>
      <c r="L4" s="102" t="s">
        <v>400</v>
      </c>
      <c r="M4" s="87" t="s">
        <v>401</v>
      </c>
      <c r="N4" s="102" t="s">
        <v>400</v>
      </c>
      <c r="O4" s="87" t="s">
        <v>401</v>
      </c>
      <c r="P4" s="102" t="s">
        <v>400</v>
      </c>
      <c r="Q4" s="87" t="s">
        <v>401</v>
      </c>
      <c r="R4" s="102" t="s">
        <v>400</v>
      </c>
      <c r="S4" s="87" t="s">
        <v>401</v>
      </c>
      <c r="T4" s="102" t="s">
        <v>400</v>
      </c>
      <c r="U4" s="87" t="s">
        <v>401</v>
      </c>
      <c r="V4" s="102" t="s">
        <v>400</v>
      </c>
      <c r="W4" s="87" t="s">
        <v>401</v>
      </c>
    </row>
    <row r="5" spans="1:28" x14ac:dyDescent="0.25">
      <c r="A5" s="92" t="s">
        <v>14</v>
      </c>
      <c r="B5" s="4"/>
      <c r="C5" s="4"/>
      <c r="D5" s="4" t="s">
        <v>460</v>
      </c>
      <c r="E5" s="4"/>
      <c r="F5" s="5"/>
      <c r="G5" s="4"/>
      <c r="H5" s="4"/>
      <c r="I5" s="6">
        <f>SUM(I6+I8+I10+I12+I21+I25+I33+I37+I42+I48+I53+I56+I58+I67+I74+I95+I115+I127)</f>
        <v>119599.470648125</v>
      </c>
      <c r="J5" s="85">
        <v>1</v>
      </c>
      <c r="K5" s="108"/>
      <c r="L5" s="269" t="s">
        <v>403</v>
      </c>
      <c r="M5" s="270"/>
      <c r="N5" s="269" t="s">
        <v>404</v>
      </c>
      <c r="O5" s="270"/>
      <c r="P5" s="269" t="s">
        <v>406</v>
      </c>
      <c r="Q5" s="270"/>
      <c r="R5" s="269" t="s">
        <v>407</v>
      </c>
      <c r="S5" s="270"/>
      <c r="T5" s="269" t="s">
        <v>408</v>
      </c>
      <c r="U5" s="270"/>
      <c r="V5" s="269" t="s">
        <v>405</v>
      </c>
      <c r="W5" s="270"/>
    </row>
    <row r="6" spans="1:28" x14ac:dyDescent="0.25">
      <c r="A6" s="92" t="s">
        <v>15</v>
      </c>
      <c r="B6" s="4"/>
      <c r="C6" s="4"/>
      <c r="D6" s="4" t="s">
        <v>16</v>
      </c>
      <c r="E6" s="4"/>
      <c r="F6" s="5"/>
      <c r="G6" s="4"/>
      <c r="H6" s="4"/>
      <c r="I6" s="6">
        <f>SUM(I7)</f>
        <v>5500</v>
      </c>
      <c r="J6" s="85">
        <f>I6/I5</f>
        <v>4.5986825612143505E-2</v>
      </c>
      <c r="K6" s="108"/>
      <c r="L6" s="271"/>
      <c r="M6" s="272"/>
      <c r="N6" s="271"/>
      <c r="O6" s="272"/>
      <c r="P6" s="271"/>
      <c r="Q6" s="272"/>
      <c r="R6" s="271"/>
      <c r="S6" s="272"/>
      <c r="T6" s="271"/>
      <c r="U6" s="272"/>
      <c r="V6" s="271"/>
      <c r="W6" s="272"/>
    </row>
    <row r="7" spans="1:28" x14ac:dyDescent="0.25">
      <c r="A7" s="93" t="s">
        <v>17</v>
      </c>
      <c r="B7" s="8" t="s">
        <v>18</v>
      </c>
      <c r="C7" s="7" t="s">
        <v>19</v>
      </c>
      <c r="D7" s="7" t="s">
        <v>20</v>
      </c>
      <c r="E7" s="9" t="s">
        <v>21</v>
      </c>
      <c r="F7" s="10">
        <v>1</v>
      </c>
      <c r="G7" s="11">
        <f>110000*0.04</f>
        <v>4400</v>
      </c>
      <c r="H7" s="11">
        <f>G7*1.25</f>
        <v>5500</v>
      </c>
      <c r="I7" s="11">
        <f>F7*H7</f>
        <v>5500</v>
      </c>
      <c r="J7" s="86">
        <f>I7/I5</f>
        <v>4.5986825612143505E-2</v>
      </c>
      <c r="K7" s="109"/>
      <c r="L7" s="103">
        <v>0.14000000000000001</v>
      </c>
      <c r="M7" s="88">
        <f>TRUNC(L7*$H7,2)</f>
        <v>770</v>
      </c>
      <c r="N7" s="103"/>
      <c r="O7" s="88">
        <f>TRUNC(N7*$H7,2)</f>
        <v>0</v>
      </c>
      <c r="P7" s="103"/>
      <c r="Q7" s="88">
        <f>TRUNC(P7*$H7,2)</f>
        <v>0</v>
      </c>
      <c r="R7" s="103"/>
      <c r="S7" s="88">
        <f>TRUNC(R7*$H7,2)</f>
        <v>0</v>
      </c>
      <c r="T7" s="103"/>
      <c r="U7" s="88">
        <f>TRUNC(T7*$H7,2)</f>
        <v>0</v>
      </c>
      <c r="V7" s="103"/>
      <c r="W7" s="88">
        <f>TRUNC(V7*$H7,2)</f>
        <v>0</v>
      </c>
    </row>
    <row r="8" spans="1:28" x14ac:dyDescent="0.25">
      <c r="A8" s="92" t="s">
        <v>22</v>
      </c>
      <c r="B8" s="4"/>
      <c r="C8" s="4"/>
      <c r="D8" s="4" t="s">
        <v>23</v>
      </c>
      <c r="E8" s="4"/>
      <c r="F8" s="5"/>
      <c r="G8" s="4"/>
      <c r="H8" s="4"/>
      <c r="I8" s="6">
        <f>SUM(I9:I9)</f>
        <v>1245.75</v>
      </c>
      <c r="J8" s="85">
        <f>I8/I5</f>
        <v>1.0416016001150503E-2</v>
      </c>
      <c r="K8" s="108"/>
      <c r="L8" s="116"/>
      <c r="M8" s="117"/>
      <c r="N8" s="116"/>
      <c r="O8" s="117"/>
      <c r="P8" s="116"/>
      <c r="Q8" s="117"/>
      <c r="R8" s="116"/>
      <c r="S8" s="117"/>
      <c r="T8" s="116"/>
      <c r="U8" s="117"/>
      <c r="V8" s="116"/>
      <c r="W8" s="117"/>
    </row>
    <row r="9" spans="1:28" ht="26.4" x14ac:dyDescent="0.25">
      <c r="A9" s="93" t="s">
        <v>24</v>
      </c>
      <c r="B9" s="8" t="s">
        <v>25</v>
      </c>
      <c r="C9" s="7" t="s">
        <v>26</v>
      </c>
      <c r="D9" s="7" t="s">
        <v>27</v>
      </c>
      <c r="E9" s="9" t="s">
        <v>28</v>
      </c>
      <c r="F9" s="10">
        <f>2*1</f>
        <v>2</v>
      </c>
      <c r="G9" s="11">
        <v>498.3</v>
      </c>
      <c r="H9" s="11">
        <f>G9*1.25</f>
        <v>622.875</v>
      </c>
      <c r="I9" s="11">
        <f t="shared" ref="I9" si="0">F9*H9</f>
        <v>1245.75</v>
      </c>
      <c r="J9" s="86">
        <f>I9/I5</f>
        <v>1.0416016001150503E-2</v>
      </c>
      <c r="K9" s="109"/>
      <c r="L9" s="103">
        <v>6.48</v>
      </c>
      <c r="M9" s="88">
        <f t="shared" ref="M9:O9" si="1">TRUNC(L9*$H9,2)</f>
        <v>4036.23</v>
      </c>
      <c r="N9" s="103"/>
      <c r="O9" s="88">
        <f t="shared" si="1"/>
        <v>0</v>
      </c>
      <c r="P9" s="103"/>
      <c r="Q9" s="88">
        <f t="shared" ref="Q9:S9" si="2">TRUNC(P9*$H9,2)</f>
        <v>0</v>
      </c>
      <c r="R9" s="103"/>
      <c r="S9" s="88">
        <f t="shared" si="2"/>
        <v>0</v>
      </c>
      <c r="T9" s="103"/>
      <c r="U9" s="88">
        <f t="shared" ref="U9:W9" si="3">TRUNC(T9*$H9,2)</f>
        <v>0</v>
      </c>
      <c r="V9" s="103"/>
      <c r="W9" s="88">
        <f t="shared" si="3"/>
        <v>0</v>
      </c>
    </row>
    <row r="10" spans="1:28" x14ac:dyDescent="0.25">
      <c r="A10" s="92" t="s">
        <v>30</v>
      </c>
      <c r="B10" s="4"/>
      <c r="C10" s="4"/>
      <c r="D10" s="4" t="s">
        <v>31</v>
      </c>
      <c r="E10" s="4"/>
      <c r="F10" s="10">
        <f t="shared" ref="F10:F62" si="4">X10/Y10*Z10</f>
        <v>0</v>
      </c>
      <c r="G10" s="4"/>
      <c r="H10" s="11">
        <f t="shared" ref="H10:H61" si="5">G10*1.25</f>
        <v>0</v>
      </c>
      <c r="I10" s="6">
        <f>SUM(I11)</f>
        <v>2280.7750000000005</v>
      </c>
      <c r="J10" s="85">
        <f t="shared" ref="J10:J62" si="6">I10/AA10</f>
        <v>3.232227565952843E-3</v>
      </c>
      <c r="K10" s="108"/>
      <c r="L10" s="116"/>
      <c r="M10" s="117"/>
      <c r="N10" s="116"/>
      <c r="O10" s="117"/>
      <c r="P10" s="116"/>
      <c r="Q10" s="117"/>
      <c r="R10" s="116"/>
      <c r="S10" s="117"/>
      <c r="T10" s="116"/>
      <c r="U10" s="117"/>
      <c r="V10" s="116"/>
      <c r="W10" s="117"/>
      <c r="Y10" s="3">
        <v>25</v>
      </c>
      <c r="Z10" s="3">
        <v>5</v>
      </c>
      <c r="AA10" s="3">
        <v>705635.65017045464</v>
      </c>
      <c r="AB10">
        <f t="shared" ref="AB10:AB63" si="7">50/55</f>
        <v>0.90909090909090906</v>
      </c>
    </row>
    <row r="11" spans="1:28" ht="39.6" x14ac:dyDescent="0.25">
      <c r="A11" s="93" t="s">
        <v>32</v>
      </c>
      <c r="B11" s="8" t="s">
        <v>33</v>
      </c>
      <c r="C11" s="7" t="s">
        <v>26</v>
      </c>
      <c r="D11" s="7" t="s">
        <v>34</v>
      </c>
      <c r="E11" s="9" t="s">
        <v>29</v>
      </c>
      <c r="F11" s="10">
        <f>7*2</f>
        <v>14</v>
      </c>
      <c r="G11" s="11">
        <v>130.33000000000001</v>
      </c>
      <c r="H11" s="11">
        <f t="shared" si="5"/>
        <v>162.91250000000002</v>
      </c>
      <c r="I11" s="11">
        <f>F11*H11</f>
        <v>2280.7750000000005</v>
      </c>
      <c r="J11" s="86">
        <f t="shared" si="6"/>
        <v>3.232227565952843E-3</v>
      </c>
      <c r="K11" s="109"/>
      <c r="L11" s="103">
        <v>650</v>
      </c>
      <c r="M11" s="88">
        <f>TRUNC(L11*$H11,2)</f>
        <v>105893.12</v>
      </c>
      <c r="N11" s="103"/>
      <c r="O11" s="88">
        <f>TRUNC(N11*$H11,2)</f>
        <v>0</v>
      </c>
      <c r="P11" s="103"/>
      <c r="Q11" s="88">
        <f>TRUNC(P11*$H11,2)</f>
        <v>0</v>
      </c>
      <c r="R11" s="103"/>
      <c r="S11" s="88">
        <f>TRUNC(R11*$H11,2)</f>
        <v>0</v>
      </c>
      <c r="T11" s="103"/>
      <c r="U11" s="88">
        <f>TRUNC(T11*$H11,2)</f>
        <v>0</v>
      </c>
      <c r="V11" s="103"/>
      <c r="W11" s="88">
        <f>TRUNC(V11*$H11,2)</f>
        <v>0</v>
      </c>
      <c r="X11" s="3">
        <v>650</v>
      </c>
      <c r="Y11" s="3">
        <v>25</v>
      </c>
      <c r="Z11" s="3">
        <v>5</v>
      </c>
      <c r="AA11" s="3">
        <v>705635.65017045464</v>
      </c>
      <c r="AB11">
        <f t="shared" si="7"/>
        <v>0.90909090909090906</v>
      </c>
    </row>
    <row r="12" spans="1:28" x14ac:dyDescent="0.25">
      <c r="A12" s="92" t="s">
        <v>35</v>
      </c>
      <c r="B12" s="4"/>
      <c r="C12" s="4"/>
      <c r="D12" s="4" t="s">
        <v>36</v>
      </c>
      <c r="E12" s="4"/>
      <c r="F12" s="10">
        <f t="shared" si="4"/>
        <v>0</v>
      </c>
      <c r="G12" s="4"/>
      <c r="H12" s="11">
        <f t="shared" si="5"/>
        <v>0</v>
      </c>
      <c r="I12" s="6">
        <f>SUM(I13:I20)</f>
        <v>7660.972149575</v>
      </c>
      <c r="J12" s="85">
        <f t="shared" si="6"/>
        <v>1.0856838295690419E-2</v>
      </c>
      <c r="K12" s="108"/>
      <c r="L12" s="116"/>
      <c r="M12" s="117"/>
      <c r="N12" s="116"/>
      <c r="O12" s="117"/>
      <c r="P12" s="116"/>
      <c r="Q12" s="117"/>
      <c r="R12" s="116"/>
      <c r="S12" s="117"/>
      <c r="T12" s="116"/>
      <c r="U12" s="117"/>
      <c r="V12" s="116"/>
      <c r="W12" s="117"/>
      <c r="Y12" s="3">
        <v>25</v>
      </c>
      <c r="Z12" s="3">
        <v>5</v>
      </c>
      <c r="AA12" s="3">
        <v>705635.65017045464</v>
      </c>
      <c r="AB12">
        <f t="shared" si="7"/>
        <v>0.90909090909090906</v>
      </c>
    </row>
    <row r="13" spans="1:28" ht="26.4" x14ac:dyDescent="0.25">
      <c r="A13" s="93" t="s">
        <v>37</v>
      </c>
      <c r="B13" s="8" t="s">
        <v>38</v>
      </c>
      <c r="C13" s="7" t="s">
        <v>26</v>
      </c>
      <c r="D13" s="7" t="s">
        <v>39</v>
      </c>
      <c r="E13" s="9" t="s">
        <v>40</v>
      </c>
      <c r="F13" s="10">
        <f>8.65+4.54*2*0.3*0.25</f>
        <v>9.3309999999999995</v>
      </c>
      <c r="G13" s="11">
        <v>111.12</v>
      </c>
      <c r="H13" s="11">
        <f t="shared" si="5"/>
        <v>138.9</v>
      </c>
      <c r="I13" s="11">
        <f t="shared" ref="I13:I20" si="8">F13*H13</f>
        <v>1296.0759</v>
      </c>
      <c r="J13" s="86">
        <f t="shared" si="6"/>
        <v>1.8367494608399074E-3</v>
      </c>
      <c r="K13" s="109"/>
      <c r="L13" s="103">
        <v>42.25</v>
      </c>
      <c r="M13" s="88">
        <f t="shared" ref="M13:O20" si="9">TRUNC(L13*$H13,2)</f>
        <v>5868.52</v>
      </c>
      <c r="N13" s="103"/>
      <c r="O13" s="88">
        <f t="shared" si="9"/>
        <v>0</v>
      </c>
      <c r="P13" s="103"/>
      <c r="Q13" s="88">
        <f t="shared" ref="Q13:S13" si="10">TRUNC(P13*$H13,2)</f>
        <v>0</v>
      </c>
      <c r="R13" s="103"/>
      <c r="S13" s="88">
        <f t="shared" si="10"/>
        <v>0</v>
      </c>
      <c r="T13" s="103"/>
      <c r="U13" s="88">
        <f t="shared" ref="U13:W13" si="11">TRUNC(T13*$H13,2)</f>
        <v>0</v>
      </c>
      <c r="V13" s="103"/>
      <c r="W13" s="88">
        <f t="shared" si="11"/>
        <v>0</v>
      </c>
      <c r="X13" s="3">
        <v>42.25</v>
      </c>
      <c r="Y13" s="3">
        <v>25</v>
      </c>
      <c r="Z13" s="3">
        <v>5</v>
      </c>
      <c r="AA13" s="3">
        <v>705635.65017045464</v>
      </c>
      <c r="AB13">
        <f t="shared" si="7"/>
        <v>0.90909090909090906</v>
      </c>
    </row>
    <row r="14" spans="1:28" ht="26.4" x14ac:dyDescent="0.25">
      <c r="A14" s="93" t="s">
        <v>41</v>
      </c>
      <c r="B14" s="8" t="s">
        <v>42</v>
      </c>
      <c r="C14" s="7" t="s">
        <v>26</v>
      </c>
      <c r="D14" s="7" t="s">
        <v>43</v>
      </c>
      <c r="E14" s="9" t="s">
        <v>28</v>
      </c>
      <c r="F14" s="10">
        <f>8.65+4.54*2*0.3</f>
        <v>11.374000000000001</v>
      </c>
      <c r="G14" s="11">
        <v>48.02</v>
      </c>
      <c r="H14" s="11">
        <f t="shared" si="5"/>
        <v>60.025000000000006</v>
      </c>
      <c r="I14" s="11">
        <f t="shared" si="8"/>
        <v>682.72435000000007</v>
      </c>
      <c r="J14" s="86">
        <f t="shared" si="6"/>
        <v>9.6753097697810473E-4</v>
      </c>
      <c r="K14" s="109"/>
      <c r="L14" s="103">
        <v>422.25</v>
      </c>
      <c r="M14" s="88">
        <f t="shared" si="9"/>
        <v>25345.55</v>
      </c>
      <c r="N14" s="103"/>
      <c r="O14" s="88">
        <f t="shared" si="9"/>
        <v>0</v>
      </c>
      <c r="P14" s="103"/>
      <c r="Q14" s="88">
        <f t="shared" ref="Q14:S14" si="12">TRUNC(P14*$H14,2)</f>
        <v>0</v>
      </c>
      <c r="R14" s="103"/>
      <c r="S14" s="88">
        <f t="shared" si="12"/>
        <v>0</v>
      </c>
      <c r="T14" s="103"/>
      <c r="U14" s="88">
        <f t="shared" ref="U14:W14" si="13">TRUNC(T14*$H14,2)</f>
        <v>0</v>
      </c>
      <c r="V14" s="103"/>
      <c r="W14" s="88">
        <f t="shared" si="13"/>
        <v>0</v>
      </c>
      <c r="X14" s="3">
        <v>422.25</v>
      </c>
      <c r="Y14" s="3">
        <v>25</v>
      </c>
      <c r="Z14" s="3">
        <v>5</v>
      </c>
      <c r="AA14" s="3">
        <v>705635.65017045464</v>
      </c>
      <c r="AB14">
        <f t="shared" si="7"/>
        <v>0.90909090909090906</v>
      </c>
    </row>
    <row r="15" spans="1:28" ht="52.8" x14ac:dyDescent="0.25">
      <c r="A15" s="93" t="s">
        <v>44</v>
      </c>
      <c r="B15" s="8" t="s">
        <v>45</v>
      </c>
      <c r="C15" s="7" t="s">
        <v>26</v>
      </c>
      <c r="D15" s="7" t="s">
        <v>46</v>
      </c>
      <c r="E15" s="9" t="s">
        <v>28</v>
      </c>
      <c r="F15" s="10">
        <f>8.65+4.54*2*0.15*0.25</f>
        <v>8.9905000000000008</v>
      </c>
      <c r="G15" s="11">
        <v>162.57</v>
      </c>
      <c r="H15" s="11">
        <f t="shared" si="5"/>
        <v>203.21249999999998</v>
      </c>
      <c r="I15" s="11">
        <f t="shared" si="8"/>
        <v>1826.98198125</v>
      </c>
      <c r="J15" s="86">
        <f t="shared" si="6"/>
        <v>2.5891293627365213E-3</v>
      </c>
      <c r="K15" s="109"/>
      <c r="L15" s="103">
        <v>508.75</v>
      </c>
      <c r="M15" s="88">
        <f t="shared" si="9"/>
        <v>103384.35</v>
      </c>
      <c r="N15" s="103"/>
      <c r="O15" s="88">
        <f t="shared" si="9"/>
        <v>0</v>
      </c>
      <c r="P15" s="103"/>
      <c r="Q15" s="88">
        <f t="shared" ref="Q15:S15" si="14">TRUNC(P15*$H15,2)</f>
        <v>0</v>
      </c>
      <c r="R15" s="103"/>
      <c r="S15" s="88">
        <f t="shared" si="14"/>
        <v>0</v>
      </c>
      <c r="T15" s="103"/>
      <c r="U15" s="88">
        <f t="shared" ref="U15:W15" si="15">TRUNC(T15*$H15,2)</f>
        <v>0</v>
      </c>
      <c r="V15" s="103"/>
      <c r="W15" s="88">
        <f t="shared" si="15"/>
        <v>0</v>
      </c>
      <c r="X15" s="3">
        <v>508.75</v>
      </c>
      <c r="Y15" s="3">
        <v>25</v>
      </c>
      <c r="Z15" s="3">
        <v>5</v>
      </c>
      <c r="AA15" s="3">
        <v>705635.65017045464</v>
      </c>
      <c r="AB15">
        <f t="shared" si="7"/>
        <v>0.90909090909090906</v>
      </c>
    </row>
    <row r="16" spans="1:28" ht="39.6" x14ac:dyDescent="0.25">
      <c r="A16" s="93" t="s">
        <v>47</v>
      </c>
      <c r="B16" s="8" t="s">
        <v>48</v>
      </c>
      <c r="C16" s="7" t="s">
        <v>26</v>
      </c>
      <c r="D16" s="7" t="s">
        <v>49</v>
      </c>
      <c r="E16" s="9" t="s">
        <v>28</v>
      </c>
      <c r="F16" s="10">
        <f>8.65+4.54*2*0.25*2</f>
        <v>13.190000000000001</v>
      </c>
      <c r="G16" s="11">
        <v>75.599999999999994</v>
      </c>
      <c r="H16" s="11">
        <f t="shared" si="5"/>
        <v>94.5</v>
      </c>
      <c r="I16" s="11">
        <f t="shared" si="8"/>
        <v>1246.4550000000002</v>
      </c>
      <c r="J16" s="86">
        <f t="shared" si="6"/>
        <v>1.7664286090121782E-3</v>
      </c>
      <c r="K16" s="109"/>
      <c r="L16" s="103">
        <v>609.75</v>
      </c>
      <c r="M16" s="88">
        <f t="shared" si="9"/>
        <v>57621.37</v>
      </c>
      <c r="N16" s="103"/>
      <c r="O16" s="88">
        <f t="shared" si="9"/>
        <v>0</v>
      </c>
      <c r="P16" s="103"/>
      <c r="Q16" s="88">
        <f t="shared" ref="Q16:S16" si="16">TRUNC(P16*$H16,2)</f>
        <v>0</v>
      </c>
      <c r="R16" s="103"/>
      <c r="S16" s="88">
        <f t="shared" si="16"/>
        <v>0</v>
      </c>
      <c r="T16" s="103"/>
      <c r="U16" s="88">
        <f t="shared" ref="U16:W16" si="17">TRUNC(T16*$H16,2)</f>
        <v>0</v>
      </c>
      <c r="V16" s="103"/>
      <c r="W16" s="88">
        <f t="shared" si="17"/>
        <v>0</v>
      </c>
      <c r="X16" s="3">
        <v>609.75</v>
      </c>
      <c r="Y16" s="3">
        <v>25</v>
      </c>
      <c r="Z16" s="3">
        <v>5</v>
      </c>
      <c r="AA16" s="3">
        <v>705635.65017045464</v>
      </c>
      <c r="AB16">
        <f t="shared" si="7"/>
        <v>0.90909090909090906</v>
      </c>
    </row>
    <row r="17" spans="1:28" ht="26.4" x14ac:dyDescent="0.25">
      <c r="A17" s="93" t="s">
        <v>50</v>
      </c>
      <c r="B17" s="8">
        <v>104919</v>
      </c>
      <c r="C17" s="7" t="s">
        <v>26</v>
      </c>
      <c r="D17" s="7" t="s">
        <v>457</v>
      </c>
      <c r="E17" s="9" t="s">
        <v>51</v>
      </c>
      <c r="F17" s="10">
        <f>26.38*4.05*0.617</f>
        <v>65.919662999999986</v>
      </c>
      <c r="G17" s="11">
        <v>11.92</v>
      </c>
      <c r="H17" s="11">
        <f t="shared" si="5"/>
        <v>14.9</v>
      </c>
      <c r="I17" s="11">
        <f t="shared" si="8"/>
        <v>982.20297869999979</v>
      </c>
      <c r="J17" s="86">
        <f t="shared" si="6"/>
        <v>1.391940696962713E-3</v>
      </c>
      <c r="K17" s="109"/>
      <c r="L17" s="103">
        <v>1887</v>
      </c>
      <c r="M17" s="88">
        <f t="shared" si="9"/>
        <v>28116.3</v>
      </c>
      <c r="N17" s="103"/>
      <c r="O17" s="88">
        <f t="shared" si="9"/>
        <v>0</v>
      </c>
      <c r="P17" s="103"/>
      <c r="Q17" s="88">
        <f t="shared" ref="Q17:S17" si="18">TRUNC(P17*$H17,2)</f>
        <v>0</v>
      </c>
      <c r="R17" s="103"/>
      <c r="S17" s="88">
        <f t="shared" si="18"/>
        <v>0</v>
      </c>
      <c r="T17" s="103"/>
      <c r="U17" s="88">
        <f t="shared" ref="U17:W17" si="19">TRUNC(T17*$H17,2)</f>
        <v>0</v>
      </c>
      <c r="V17" s="103"/>
      <c r="W17" s="88">
        <f t="shared" si="19"/>
        <v>0</v>
      </c>
      <c r="X17" s="3">
        <v>1887</v>
      </c>
      <c r="Y17" s="3">
        <v>25</v>
      </c>
      <c r="Z17" s="3">
        <v>5</v>
      </c>
      <c r="AA17" s="3">
        <v>705635.65017045464</v>
      </c>
      <c r="AB17">
        <f t="shared" si="7"/>
        <v>0.90909090909090906</v>
      </c>
    </row>
    <row r="18" spans="1:28" ht="26.4" x14ac:dyDescent="0.25">
      <c r="A18" s="93" t="s">
        <v>52</v>
      </c>
      <c r="B18" s="8" t="s">
        <v>53</v>
      </c>
      <c r="C18" s="7" t="s">
        <v>26</v>
      </c>
      <c r="D18" s="7" t="s">
        <v>54</v>
      </c>
      <c r="E18" s="9" t="s">
        <v>51</v>
      </c>
      <c r="F18" s="10">
        <f>26.38*2.05*0.245</f>
        <v>13.249354999999998</v>
      </c>
      <c r="G18" s="11">
        <v>14.76</v>
      </c>
      <c r="H18" s="11">
        <f t="shared" si="5"/>
        <v>18.45</v>
      </c>
      <c r="I18" s="11">
        <f t="shared" si="8"/>
        <v>244.45059974999995</v>
      </c>
      <c r="J18" s="86">
        <f t="shared" si="6"/>
        <v>3.4642609070410492E-4</v>
      </c>
      <c r="K18" s="109"/>
      <c r="L18" s="103">
        <v>298.25</v>
      </c>
      <c r="M18" s="88">
        <f t="shared" si="9"/>
        <v>5502.71</v>
      </c>
      <c r="N18" s="103"/>
      <c r="O18" s="88">
        <f t="shared" si="9"/>
        <v>0</v>
      </c>
      <c r="P18" s="103"/>
      <c r="Q18" s="88">
        <f t="shared" ref="Q18:S18" si="20">TRUNC(P18*$H18,2)</f>
        <v>0</v>
      </c>
      <c r="R18" s="103"/>
      <c r="S18" s="88">
        <f t="shared" si="20"/>
        <v>0</v>
      </c>
      <c r="T18" s="103"/>
      <c r="U18" s="88">
        <f t="shared" ref="U18:W18" si="21">TRUNC(T18*$H18,2)</f>
        <v>0</v>
      </c>
      <c r="V18" s="103"/>
      <c r="W18" s="88">
        <f t="shared" si="21"/>
        <v>0</v>
      </c>
      <c r="X18" s="3">
        <v>298.25</v>
      </c>
      <c r="Y18" s="3">
        <v>25</v>
      </c>
      <c r="Z18" s="3">
        <v>5</v>
      </c>
      <c r="AA18" s="3">
        <v>705635.65017045464</v>
      </c>
      <c r="AB18">
        <f t="shared" si="7"/>
        <v>0.90909090909090906</v>
      </c>
    </row>
    <row r="19" spans="1:28" ht="26.4" x14ac:dyDescent="0.25">
      <c r="A19" s="93" t="s">
        <v>55</v>
      </c>
      <c r="B19" s="8" t="s">
        <v>56</v>
      </c>
      <c r="C19" s="7" t="s">
        <v>26</v>
      </c>
      <c r="D19" s="7" t="s">
        <v>57</v>
      </c>
      <c r="E19" s="9" t="s">
        <v>51</v>
      </c>
      <c r="F19" s="10">
        <f>26.38/0.15*0.8*0.154</f>
        <v>21.666773333333335</v>
      </c>
      <c r="G19" s="11">
        <v>16.260000000000002</v>
      </c>
      <c r="H19" s="11">
        <f t="shared" si="5"/>
        <v>20.325000000000003</v>
      </c>
      <c r="I19" s="11">
        <f t="shared" si="8"/>
        <v>440.3771680000001</v>
      </c>
      <c r="J19" s="86">
        <f t="shared" si="6"/>
        <v>6.240857698921841E-4</v>
      </c>
      <c r="K19" s="109"/>
      <c r="L19" s="103">
        <v>831.5</v>
      </c>
      <c r="M19" s="88">
        <f t="shared" si="9"/>
        <v>16900.23</v>
      </c>
      <c r="N19" s="103"/>
      <c r="O19" s="88">
        <f t="shared" si="9"/>
        <v>0</v>
      </c>
      <c r="P19" s="103"/>
      <c r="Q19" s="88">
        <f t="shared" ref="Q19:S19" si="22">TRUNC(P19*$H19,2)</f>
        <v>0</v>
      </c>
      <c r="R19" s="103"/>
      <c r="S19" s="88">
        <f t="shared" si="22"/>
        <v>0</v>
      </c>
      <c r="T19" s="103"/>
      <c r="U19" s="88">
        <f t="shared" ref="U19:W19" si="23">TRUNC(T19*$H19,2)</f>
        <v>0</v>
      </c>
      <c r="V19" s="103"/>
      <c r="W19" s="88">
        <f t="shared" si="23"/>
        <v>0</v>
      </c>
      <c r="X19" s="3">
        <v>831.5</v>
      </c>
      <c r="Y19" s="3">
        <v>25</v>
      </c>
      <c r="Z19" s="3">
        <v>5</v>
      </c>
      <c r="AA19" s="3">
        <v>705635.65017045464</v>
      </c>
      <c r="AB19">
        <f t="shared" si="7"/>
        <v>0.90909090909090906</v>
      </c>
    </row>
    <row r="20" spans="1:28" ht="26.4" x14ac:dyDescent="0.25">
      <c r="A20" s="93" t="s">
        <v>58</v>
      </c>
      <c r="B20" s="8" t="s">
        <v>59</v>
      </c>
      <c r="C20" s="7" t="s">
        <v>19</v>
      </c>
      <c r="D20" s="7" t="s">
        <v>60</v>
      </c>
      <c r="E20" s="9" t="s">
        <v>61</v>
      </c>
      <c r="F20" s="10">
        <f>26.38*0.15*0.25</f>
        <v>0.98924999999999996</v>
      </c>
      <c r="G20" s="11">
        <v>761.55</v>
      </c>
      <c r="H20" s="11">
        <f t="shared" si="5"/>
        <v>951.9375</v>
      </c>
      <c r="I20" s="11">
        <f t="shared" si="8"/>
        <v>941.70417187499993</v>
      </c>
      <c r="J20" s="86">
        <f t="shared" si="6"/>
        <v>1.3345473285647064E-3</v>
      </c>
      <c r="K20" s="109"/>
      <c r="L20" s="103">
        <v>42.75</v>
      </c>
      <c r="M20" s="88">
        <f t="shared" si="9"/>
        <v>40695.32</v>
      </c>
      <c r="N20" s="103"/>
      <c r="O20" s="88">
        <f t="shared" si="9"/>
        <v>0</v>
      </c>
      <c r="P20" s="103"/>
      <c r="Q20" s="88">
        <f t="shared" ref="Q20:S20" si="24">TRUNC(P20*$H20,2)</f>
        <v>0</v>
      </c>
      <c r="R20" s="103"/>
      <c r="S20" s="88">
        <f t="shared" si="24"/>
        <v>0</v>
      </c>
      <c r="T20" s="103"/>
      <c r="U20" s="88">
        <f t="shared" ref="U20:W20" si="25">TRUNC(T20*$H20,2)</f>
        <v>0</v>
      </c>
      <c r="V20" s="103"/>
      <c r="W20" s="88">
        <f t="shared" si="25"/>
        <v>0</v>
      </c>
      <c r="X20" s="3">
        <v>42.75</v>
      </c>
      <c r="Y20" s="3">
        <v>25</v>
      </c>
      <c r="Z20" s="3">
        <v>5</v>
      </c>
      <c r="AA20" s="3">
        <v>705635.65017045464</v>
      </c>
      <c r="AB20">
        <f t="shared" si="7"/>
        <v>0.90909090909090906</v>
      </c>
    </row>
    <row r="21" spans="1:28" x14ac:dyDescent="0.25">
      <c r="A21" s="92" t="s">
        <v>62</v>
      </c>
      <c r="B21" s="4"/>
      <c r="C21" s="4"/>
      <c r="D21" s="4" t="s">
        <v>63</v>
      </c>
      <c r="E21" s="4"/>
      <c r="F21" s="10">
        <f t="shared" ref="F21" si="26">X21/Y21*Z21*AB21</f>
        <v>0</v>
      </c>
      <c r="G21" s="4"/>
      <c r="H21" s="11">
        <f t="shared" si="5"/>
        <v>0</v>
      </c>
      <c r="I21" s="6">
        <f>SUM(I22:I24)</f>
        <v>1656.1693749999999</v>
      </c>
      <c r="J21" s="85">
        <f t="shared" si="6"/>
        <v>2.3470602351226624E-3</v>
      </c>
      <c r="K21" s="108"/>
      <c r="L21" s="116"/>
      <c r="M21" s="117"/>
      <c r="N21" s="116"/>
      <c r="O21" s="117"/>
      <c r="P21" s="116"/>
      <c r="Q21" s="117"/>
      <c r="R21" s="116"/>
      <c r="S21" s="117"/>
      <c r="T21" s="116"/>
      <c r="U21" s="117"/>
      <c r="V21" s="116"/>
      <c r="W21" s="117"/>
      <c r="Y21" s="3">
        <v>25</v>
      </c>
      <c r="Z21" s="3">
        <v>5</v>
      </c>
      <c r="AA21" s="3">
        <v>705635.65017045464</v>
      </c>
      <c r="AB21">
        <f t="shared" si="7"/>
        <v>0.90909090909090906</v>
      </c>
    </row>
    <row r="22" spans="1:28" ht="39.6" x14ac:dyDescent="0.25">
      <c r="A22" s="93" t="s">
        <v>64</v>
      </c>
      <c r="B22" s="8" t="s">
        <v>65</v>
      </c>
      <c r="C22" s="7" t="s">
        <v>26</v>
      </c>
      <c r="D22" s="7" t="s">
        <v>66</v>
      </c>
      <c r="E22" s="9" t="s">
        <v>28</v>
      </c>
      <c r="F22" s="10">
        <f>26.38*0.25*2</f>
        <v>13.19</v>
      </c>
      <c r="G22" s="11">
        <v>5.58</v>
      </c>
      <c r="H22" s="11">
        <f t="shared" si="5"/>
        <v>6.9749999999999996</v>
      </c>
      <c r="I22" s="11">
        <f t="shared" ref="I22:I24" si="27">F22*H22</f>
        <v>92.000249999999994</v>
      </c>
      <c r="J22" s="86">
        <f t="shared" si="6"/>
        <v>1.3037925447470836E-4</v>
      </c>
      <c r="K22" s="109"/>
      <c r="L22" s="103"/>
      <c r="M22" s="88">
        <f t="shared" ref="M22:O24" si="28">TRUNC(L22*$H22,2)</f>
        <v>0</v>
      </c>
      <c r="N22" s="103">
        <v>785.75</v>
      </c>
      <c r="O22" s="88">
        <f t="shared" si="28"/>
        <v>5480.6</v>
      </c>
      <c r="P22" s="103"/>
      <c r="Q22" s="88">
        <f t="shared" ref="Q22:S22" si="29">TRUNC(P22*$H22,2)</f>
        <v>0</v>
      </c>
      <c r="R22" s="103"/>
      <c r="S22" s="88">
        <f t="shared" si="29"/>
        <v>0</v>
      </c>
      <c r="T22" s="103"/>
      <c r="U22" s="88">
        <f t="shared" ref="U22:W22" si="30">TRUNC(T22*$H22,2)</f>
        <v>0</v>
      </c>
      <c r="V22" s="103"/>
      <c r="W22" s="88">
        <f t="shared" si="30"/>
        <v>0</v>
      </c>
      <c r="X22" s="3">
        <v>785.75</v>
      </c>
      <c r="Y22" s="3">
        <v>25</v>
      </c>
      <c r="Z22" s="3">
        <v>5</v>
      </c>
      <c r="AA22" s="3">
        <v>705635.65017045464</v>
      </c>
      <c r="AB22">
        <f t="shared" si="7"/>
        <v>0.90909090909090906</v>
      </c>
    </row>
    <row r="23" spans="1:28" ht="26.4" x14ac:dyDescent="0.25">
      <c r="A23" s="93" t="s">
        <v>67</v>
      </c>
      <c r="B23" s="8" t="s">
        <v>68</v>
      </c>
      <c r="C23" s="7" t="s">
        <v>26</v>
      </c>
      <c r="D23" s="7" t="s">
        <v>69</v>
      </c>
      <c r="E23" s="9" t="s">
        <v>28</v>
      </c>
      <c r="F23" s="10">
        <f>F22</f>
        <v>13.19</v>
      </c>
      <c r="G23" s="11">
        <v>55.47</v>
      </c>
      <c r="H23" s="11">
        <f t="shared" si="5"/>
        <v>69.337500000000006</v>
      </c>
      <c r="I23" s="11">
        <f t="shared" si="27"/>
        <v>914.56162500000005</v>
      </c>
      <c r="J23" s="86">
        <f t="shared" si="6"/>
        <v>1.2960819436759988E-3</v>
      </c>
      <c r="K23" s="109"/>
      <c r="L23" s="103"/>
      <c r="M23" s="88">
        <f t="shared" si="28"/>
        <v>0</v>
      </c>
      <c r="N23" s="103">
        <v>785.75</v>
      </c>
      <c r="O23" s="88">
        <f t="shared" si="28"/>
        <v>54481.94</v>
      </c>
      <c r="P23" s="103"/>
      <c r="Q23" s="88">
        <f t="shared" ref="Q23:S23" si="31">TRUNC(P23*$H23,2)</f>
        <v>0</v>
      </c>
      <c r="R23" s="103"/>
      <c r="S23" s="88">
        <f t="shared" si="31"/>
        <v>0</v>
      </c>
      <c r="T23" s="103"/>
      <c r="U23" s="88">
        <f t="shared" ref="U23:W23" si="32">TRUNC(T23*$H23,2)</f>
        <v>0</v>
      </c>
      <c r="V23" s="103"/>
      <c r="W23" s="88">
        <f t="shared" si="32"/>
        <v>0</v>
      </c>
      <c r="X23" s="3">
        <v>785.75</v>
      </c>
      <c r="Y23" s="3">
        <v>25</v>
      </c>
      <c r="Z23" s="3">
        <v>5</v>
      </c>
      <c r="AA23" s="3">
        <v>705635.65017045464</v>
      </c>
      <c r="AB23">
        <f t="shared" si="7"/>
        <v>0.90909090909090906</v>
      </c>
    </row>
    <row r="24" spans="1:28" ht="26.4" x14ac:dyDescent="0.25">
      <c r="A24" s="93" t="s">
        <v>70</v>
      </c>
      <c r="B24" s="8" t="s">
        <v>71</v>
      </c>
      <c r="C24" s="7" t="s">
        <v>26</v>
      </c>
      <c r="D24" s="7" t="s">
        <v>72</v>
      </c>
      <c r="E24" s="9" t="s">
        <v>28</v>
      </c>
      <c r="F24" s="10">
        <f>F22</f>
        <v>13.19</v>
      </c>
      <c r="G24" s="11">
        <v>39.4</v>
      </c>
      <c r="H24" s="11">
        <f t="shared" si="5"/>
        <v>49.25</v>
      </c>
      <c r="I24" s="11">
        <f t="shared" si="27"/>
        <v>649.60749999999996</v>
      </c>
      <c r="J24" s="86">
        <f t="shared" si="6"/>
        <v>9.2059903697195515E-4</v>
      </c>
      <c r="K24" s="109"/>
      <c r="L24" s="103">
        <v>785.75</v>
      </c>
      <c r="M24" s="88">
        <f t="shared" si="28"/>
        <v>38698.18</v>
      </c>
      <c r="N24" s="103"/>
      <c r="O24" s="88">
        <f t="shared" si="28"/>
        <v>0</v>
      </c>
      <c r="P24" s="103"/>
      <c r="Q24" s="88">
        <f t="shared" ref="Q24:S24" si="33">TRUNC(P24*$H24,2)</f>
        <v>0</v>
      </c>
      <c r="R24" s="103"/>
      <c r="S24" s="88">
        <f t="shared" si="33"/>
        <v>0</v>
      </c>
      <c r="T24" s="103"/>
      <c r="U24" s="88">
        <f t="shared" ref="U24:W24" si="34">TRUNC(T24*$H24,2)</f>
        <v>0</v>
      </c>
      <c r="V24" s="103"/>
      <c r="W24" s="88">
        <f t="shared" si="34"/>
        <v>0</v>
      </c>
      <c r="X24" s="3">
        <v>785.75</v>
      </c>
      <c r="Y24" s="3">
        <v>25</v>
      </c>
      <c r="Z24" s="3">
        <v>5</v>
      </c>
      <c r="AA24" s="3">
        <v>705635.65017045464</v>
      </c>
      <c r="AB24">
        <f t="shared" si="7"/>
        <v>0.90909090909090906</v>
      </c>
    </row>
    <row r="25" spans="1:28" x14ac:dyDescent="0.25">
      <c r="A25" s="92" t="s">
        <v>73</v>
      </c>
      <c r="B25" s="4"/>
      <c r="C25" s="4"/>
      <c r="D25" s="4" t="s">
        <v>74</v>
      </c>
      <c r="E25" s="4"/>
      <c r="F25" s="10">
        <f t="shared" si="4"/>
        <v>0</v>
      </c>
      <c r="G25" s="4"/>
      <c r="H25" s="11">
        <f t="shared" si="5"/>
        <v>0</v>
      </c>
      <c r="I25" s="6">
        <f>SUM(I26:I32)</f>
        <v>12739.80690105</v>
      </c>
      <c r="J25" s="85">
        <f t="shared" si="6"/>
        <v>1.8054369699111079E-2</v>
      </c>
      <c r="K25" s="108"/>
      <c r="L25" s="116"/>
      <c r="M25" s="117"/>
      <c r="N25" s="116"/>
      <c r="O25" s="117"/>
      <c r="P25" s="116"/>
      <c r="Q25" s="117"/>
      <c r="R25" s="116"/>
      <c r="S25" s="117"/>
      <c r="T25" s="116"/>
      <c r="U25" s="117"/>
      <c r="V25" s="116"/>
      <c r="W25" s="117"/>
      <c r="Y25" s="3">
        <v>25</v>
      </c>
      <c r="Z25" s="3">
        <v>5</v>
      </c>
      <c r="AA25" s="3">
        <v>705635.65017045464</v>
      </c>
      <c r="AB25">
        <f t="shared" si="7"/>
        <v>0.90909090909090906</v>
      </c>
    </row>
    <row r="26" spans="1:28" ht="39.6" x14ac:dyDescent="0.25">
      <c r="A26" s="93" t="s">
        <v>75</v>
      </c>
      <c r="B26" s="8" t="s">
        <v>76</v>
      </c>
      <c r="C26" s="7" t="s">
        <v>26</v>
      </c>
      <c r="D26" s="7" t="s">
        <v>77</v>
      </c>
      <c r="E26" s="9" t="s">
        <v>28</v>
      </c>
      <c r="F26" s="10">
        <f>5*0.3*2*3+3.3*0.3*3+3.2*0.3*2*5+2.7*0.3*2*1</f>
        <v>23.19</v>
      </c>
      <c r="G26" s="11">
        <v>71.95</v>
      </c>
      <c r="H26" s="11">
        <f t="shared" si="5"/>
        <v>89.9375</v>
      </c>
      <c r="I26" s="11">
        <f t="shared" ref="I26:I32" si="35">F26*H26</f>
        <v>2085.6506250000002</v>
      </c>
      <c r="J26" s="86">
        <f t="shared" si="6"/>
        <v>2.9557047245220487E-3</v>
      </c>
      <c r="K26" s="109"/>
      <c r="L26" s="103"/>
      <c r="M26" s="88">
        <f t="shared" ref="M26:O32" si="36">TRUNC(L26*$H26,2)</f>
        <v>0</v>
      </c>
      <c r="N26" s="103">
        <v>507.75</v>
      </c>
      <c r="O26" s="88">
        <f t="shared" si="36"/>
        <v>45665.760000000002</v>
      </c>
      <c r="P26" s="103"/>
      <c r="Q26" s="88">
        <f t="shared" ref="Q26:S26" si="37">TRUNC(P26*$H26,2)</f>
        <v>0</v>
      </c>
      <c r="R26" s="103"/>
      <c r="S26" s="88">
        <f t="shared" si="37"/>
        <v>0</v>
      </c>
      <c r="T26" s="103"/>
      <c r="U26" s="88">
        <f t="shared" ref="U26:W26" si="38">TRUNC(T26*$H26,2)</f>
        <v>0</v>
      </c>
      <c r="V26" s="103"/>
      <c r="W26" s="88">
        <f t="shared" si="38"/>
        <v>0</v>
      </c>
      <c r="X26" s="3">
        <v>507.75</v>
      </c>
      <c r="Y26" s="3">
        <v>25</v>
      </c>
      <c r="Z26" s="3">
        <v>5</v>
      </c>
      <c r="AA26" s="3">
        <v>705635.65017045464</v>
      </c>
      <c r="AB26">
        <f t="shared" si="7"/>
        <v>0.90909090909090906</v>
      </c>
    </row>
    <row r="27" spans="1:28" ht="26.4" x14ac:dyDescent="0.25">
      <c r="A27" s="118" t="s">
        <v>78</v>
      </c>
      <c r="B27" s="119" t="s">
        <v>79</v>
      </c>
      <c r="C27" s="120" t="s">
        <v>19</v>
      </c>
      <c r="D27" s="120" t="s">
        <v>80</v>
      </c>
      <c r="E27" s="121" t="s">
        <v>81</v>
      </c>
      <c r="F27" s="10">
        <f>(8.65+4.54*2+13.4+5.79)*0.25*2+(13.4+5.79+4.54*2)*0.2*2</f>
        <v>29.768000000000001</v>
      </c>
      <c r="G27" s="122">
        <v>65.569999999999993</v>
      </c>
      <c r="H27" s="11">
        <f t="shared" si="5"/>
        <v>81.962499999999991</v>
      </c>
      <c r="I27" s="11">
        <f t="shared" si="35"/>
        <v>2439.8597</v>
      </c>
      <c r="J27" s="86">
        <f t="shared" si="6"/>
        <v>3.457676350976064E-3</v>
      </c>
      <c r="K27" s="115"/>
      <c r="L27" s="123"/>
      <c r="M27" s="124">
        <f t="shared" si="36"/>
        <v>0</v>
      </c>
      <c r="N27" s="123">
        <v>581.75</v>
      </c>
      <c r="O27" s="124">
        <f t="shared" si="36"/>
        <v>47681.68</v>
      </c>
      <c r="P27" s="123"/>
      <c r="Q27" s="124">
        <f t="shared" ref="Q27:S27" si="39">TRUNC(P27*$H27,2)</f>
        <v>0</v>
      </c>
      <c r="R27" s="123"/>
      <c r="S27" s="124">
        <f t="shared" si="39"/>
        <v>0</v>
      </c>
      <c r="T27" s="123"/>
      <c r="U27" s="124">
        <f t="shared" ref="U27:W27" si="40">TRUNC(T27*$H27,2)</f>
        <v>0</v>
      </c>
      <c r="V27" s="123"/>
      <c r="W27" s="124">
        <f t="shared" si="40"/>
        <v>0</v>
      </c>
      <c r="X27" s="3">
        <v>581.75</v>
      </c>
      <c r="Y27" s="3">
        <v>25</v>
      </c>
      <c r="Z27" s="3">
        <v>5</v>
      </c>
      <c r="AA27" s="3">
        <v>705635.65017045464</v>
      </c>
      <c r="AB27">
        <f t="shared" si="7"/>
        <v>0.90909090909090906</v>
      </c>
    </row>
    <row r="28" spans="1:28" ht="39.6" x14ac:dyDescent="0.25">
      <c r="A28" s="118" t="s">
        <v>82</v>
      </c>
      <c r="B28" s="119" t="s">
        <v>83</v>
      </c>
      <c r="C28" s="120" t="s">
        <v>26</v>
      </c>
      <c r="D28" s="120" t="s">
        <v>84</v>
      </c>
      <c r="E28" s="121" t="s">
        <v>28</v>
      </c>
      <c r="F28" s="10">
        <f>4.54*0.25*2</f>
        <v>2.27</v>
      </c>
      <c r="G28" s="122">
        <v>132.93</v>
      </c>
      <c r="H28" s="11">
        <f t="shared" si="5"/>
        <v>166.16250000000002</v>
      </c>
      <c r="I28" s="11">
        <f t="shared" si="35"/>
        <v>377.18887500000005</v>
      </c>
      <c r="J28" s="86">
        <f t="shared" si="6"/>
        <v>5.3453772482850838E-4</v>
      </c>
      <c r="K28" s="115"/>
      <c r="L28" s="123"/>
      <c r="M28" s="124">
        <f t="shared" si="36"/>
        <v>0</v>
      </c>
      <c r="N28" s="123">
        <v>128.25</v>
      </c>
      <c r="O28" s="124">
        <f t="shared" si="36"/>
        <v>21310.34</v>
      </c>
      <c r="P28" s="123"/>
      <c r="Q28" s="124">
        <f t="shared" ref="Q28:S28" si="41">TRUNC(P28*$H28,2)</f>
        <v>0</v>
      </c>
      <c r="R28" s="123"/>
      <c r="S28" s="124">
        <f t="shared" si="41"/>
        <v>0</v>
      </c>
      <c r="T28" s="123"/>
      <c r="U28" s="124">
        <f t="shared" ref="U28:W28" si="42">TRUNC(T28*$H28,2)</f>
        <v>0</v>
      </c>
      <c r="V28" s="123"/>
      <c r="W28" s="124">
        <f t="shared" si="42"/>
        <v>0</v>
      </c>
      <c r="X28" s="3">
        <v>128.25</v>
      </c>
      <c r="Y28" s="3">
        <v>25</v>
      </c>
      <c r="Z28" s="3">
        <v>5</v>
      </c>
      <c r="AA28" s="3">
        <v>705635.65017045464</v>
      </c>
      <c r="AB28">
        <f t="shared" si="7"/>
        <v>0.90909090909090906</v>
      </c>
    </row>
    <row r="29" spans="1:28" ht="39.6" x14ac:dyDescent="0.25">
      <c r="A29" s="93" t="s">
        <v>85</v>
      </c>
      <c r="B29" s="8" t="s">
        <v>86</v>
      </c>
      <c r="C29" s="7" t="s">
        <v>26</v>
      </c>
      <c r="D29" s="7" t="s">
        <v>87</v>
      </c>
      <c r="E29" s="9" t="s">
        <v>51</v>
      </c>
      <c r="F29" s="10">
        <f>((8.65+4.54*2+13.4+5.79)/0.15*0.78*0.154)+((13.4+5.79+4.54*2)/0.15*0.7*0.154)+((4.54)/0.15*0.78*0.154)+(43.6/0.15*1*0.154)</f>
        <v>98.280541333333332</v>
      </c>
      <c r="G29" s="11">
        <v>13.38</v>
      </c>
      <c r="H29" s="11">
        <f t="shared" si="5"/>
        <v>16.725000000000001</v>
      </c>
      <c r="I29" s="11">
        <f t="shared" si="35"/>
        <v>1643.7420538000001</v>
      </c>
      <c r="J29" s="86">
        <f t="shared" si="6"/>
        <v>2.3294487082716623E-3</v>
      </c>
      <c r="K29" s="109"/>
      <c r="L29" s="103"/>
      <c r="M29" s="88">
        <f t="shared" si="36"/>
        <v>0</v>
      </c>
      <c r="N29" s="103">
        <v>1688.75</v>
      </c>
      <c r="O29" s="88">
        <f t="shared" si="36"/>
        <v>28244.34</v>
      </c>
      <c r="P29" s="103"/>
      <c r="Q29" s="88">
        <f t="shared" ref="Q29:S29" si="43">TRUNC(P29*$H29,2)</f>
        <v>0</v>
      </c>
      <c r="R29" s="103"/>
      <c r="S29" s="88">
        <f t="shared" si="43"/>
        <v>0</v>
      </c>
      <c r="T29" s="103"/>
      <c r="U29" s="88">
        <f t="shared" ref="U29:W29" si="44">TRUNC(T29*$H29,2)</f>
        <v>0</v>
      </c>
      <c r="V29" s="103"/>
      <c r="W29" s="88">
        <f t="shared" si="44"/>
        <v>0</v>
      </c>
      <c r="X29" s="3">
        <v>1688.75</v>
      </c>
      <c r="Y29" s="3">
        <v>25</v>
      </c>
      <c r="Z29" s="3">
        <v>5</v>
      </c>
      <c r="AA29" s="3">
        <v>705635.65017045464</v>
      </c>
      <c r="AB29">
        <f t="shared" si="7"/>
        <v>0.90909090909090906</v>
      </c>
    </row>
    <row r="30" spans="1:28" ht="39.6" x14ac:dyDescent="0.25">
      <c r="A30" s="93" t="s">
        <v>88</v>
      </c>
      <c r="B30" s="8" t="s">
        <v>89</v>
      </c>
      <c r="C30" s="7" t="s">
        <v>26</v>
      </c>
      <c r="D30" s="7" t="s">
        <v>90</v>
      </c>
      <c r="E30" s="9" t="s">
        <v>51</v>
      </c>
      <c r="F30" s="10">
        <f>43.6*4.05*0.617</f>
        <v>108.94985999999999</v>
      </c>
      <c r="G30" s="11">
        <v>10.029999999999999</v>
      </c>
      <c r="H30" s="11">
        <f t="shared" si="5"/>
        <v>12.5375</v>
      </c>
      <c r="I30" s="11">
        <f t="shared" si="35"/>
        <v>1365.9588697499998</v>
      </c>
      <c r="J30" s="86">
        <f t="shared" si="6"/>
        <v>1.9357849471182988E-3</v>
      </c>
      <c r="K30" s="109"/>
      <c r="L30" s="103"/>
      <c r="M30" s="88">
        <f t="shared" si="36"/>
        <v>0</v>
      </c>
      <c r="N30" s="103">
        <v>2432.25</v>
      </c>
      <c r="O30" s="88">
        <f t="shared" si="36"/>
        <v>30494.33</v>
      </c>
      <c r="P30" s="103"/>
      <c r="Q30" s="88">
        <f t="shared" ref="Q30:S30" si="45">TRUNC(P30*$H30,2)</f>
        <v>0</v>
      </c>
      <c r="R30" s="103"/>
      <c r="S30" s="88">
        <f t="shared" si="45"/>
        <v>0</v>
      </c>
      <c r="T30" s="103"/>
      <c r="U30" s="88">
        <f t="shared" ref="U30:W30" si="46">TRUNC(T30*$H30,2)</f>
        <v>0</v>
      </c>
      <c r="V30" s="103"/>
      <c r="W30" s="88">
        <f t="shared" si="46"/>
        <v>0</v>
      </c>
      <c r="X30" s="3">
        <v>2432.25</v>
      </c>
      <c r="Y30" s="3">
        <v>25</v>
      </c>
      <c r="Z30" s="3">
        <v>5</v>
      </c>
      <c r="AA30" s="3">
        <v>705635.65017045464</v>
      </c>
      <c r="AB30">
        <f t="shared" si="7"/>
        <v>0.90909090909090906</v>
      </c>
    </row>
    <row r="31" spans="1:28" ht="26.4" x14ac:dyDescent="0.25">
      <c r="A31" s="93" t="s">
        <v>91</v>
      </c>
      <c r="B31" s="8" t="s">
        <v>92</v>
      </c>
      <c r="C31" s="7" t="s">
        <v>19</v>
      </c>
      <c r="D31" s="7" t="s">
        <v>93</v>
      </c>
      <c r="E31" s="9" t="s">
        <v>61</v>
      </c>
      <c r="F31" s="204">
        <f>43.6*0.15*0.3</f>
        <v>1.962</v>
      </c>
      <c r="G31" s="11">
        <v>985.52</v>
      </c>
      <c r="H31" s="11">
        <f t="shared" si="5"/>
        <v>1231.9000000000001</v>
      </c>
      <c r="I31" s="11">
        <f t="shared" si="35"/>
        <v>2416.9878000000003</v>
      </c>
      <c r="J31" s="86">
        <f t="shared" si="6"/>
        <v>3.4252631643768966E-3</v>
      </c>
      <c r="K31" s="109"/>
      <c r="L31" s="103"/>
      <c r="M31" s="88">
        <f t="shared" si="36"/>
        <v>0</v>
      </c>
      <c r="N31" s="103">
        <v>35.5</v>
      </c>
      <c r="O31" s="88">
        <f t="shared" si="36"/>
        <v>43732.45</v>
      </c>
      <c r="P31" s="103"/>
      <c r="Q31" s="88">
        <f t="shared" ref="Q31:S31" si="47">TRUNC(P31*$H31,2)</f>
        <v>0</v>
      </c>
      <c r="R31" s="103"/>
      <c r="S31" s="88">
        <f t="shared" si="47"/>
        <v>0</v>
      </c>
      <c r="T31" s="103"/>
      <c r="U31" s="88">
        <f t="shared" ref="U31:W31" si="48">TRUNC(T31*$H31,2)</f>
        <v>0</v>
      </c>
      <c r="V31" s="103"/>
      <c r="W31" s="88">
        <f t="shared" si="48"/>
        <v>0</v>
      </c>
      <c r="X31" s="3">
        <v>35.5</v>
      </c>
      <c r="Y31" s="3">
        <v>25</v>
      </c>
      <c r="Z31" s="3">
        <v>5</v>
      </c>
      <c r="AA31" s="3">
        <v>705635.65017045464</v>
      </c>
      <c r="AB31">
        <f t="shared" si="7"/>
        <v>0.90909090909090906</v>
      </c>
    </row>
    <row r="32" spans="1:28" ht="39.6" x14ac:dyDescent="0.25">
      <c r="A32" s="93" t="s">
        <v>94</v>
      </c>
      <c r="B32" s="8" t="s">
        <v>95</v>
      </c>
      <c r="C32" s="7" t="s">
        <v>19</v>
      </c>
      <c r="D32" s="7" t="s">
        <v>96</v>
      </c>
      <c r="E32" s="9" t="s">
        <v>61</v>
      </c>
      <c r="F32" s="10">
        <f>(4.54+8.65+4.54*2+13.4+5.79)*0.12*0.25+(13.4+5.79+4.54*2)*0.12*0.2</f>
        <v>1.9222800000000002</v>
      </c>
      <c r="G32" s="11">
        <v>1003.15</v>
      </c>
      <c r="H32" s="11">
        <f t="shared" si="5"/>
        <v>1253.9375</v>
      </c>
      <c r="I32" s="11">
        <f t="shared" si="35"/>
        <v>2410.4189775000004</v>
      </c>
      <c r="J32" s="86">
        <f t="shared" si="6"/>
        <v>3.4159540790175994E-3</v>
      </c>
      <c r="K32" s="109"/>
      <c r="L32" s="103"/>
      <c r="M32" s="88">
        <f t="shared" si="36"/>
        <v>0</v>
      </c>
      <c r="N32" s="103">
        <v>35</v>
      </c>
      <c r="O32" s="88">
        <f t="shared" si="36"/>
        <v>43887.81</v>
      </c>
      <c r="P32" s="103"/>
      <c r="Q32" s="88">
        <f t="shared" ref="Q32:S32" si="49">TRUNC(P32*$H32,2)</f>
        <v>0</v>
      </c>
      <c r="R32" s="103"/>
      <c r="S32" s="88">
        <f t="shared" si="49"/>
        <v>0</v>
      </c>
      <c r="T32" s="103"/>
      <c r="U32" s="88">
        <f t="shared" ref="U32:W32" si="50">TRUNC(T32*$H32,2)</f>
        <v>0</v>
      </c>
      <c r="V32" s="103"/>
      <c r="W32" s="88">
        <f t="shared" si="50"/>
        <v>0</v>
      </c>
      <c r="X32" s="3">
        <v>35</v>
      </c>
      <c r="Y32" s="3">
        <v>25</v>
      </c>
      <c r="Z32" s="3">
        <v>5</v>
      </c>
      <c r="AA32" s="3">
        <v>705635.65017045464</v>
      </c>
      <c r="AB32">
        <f t="shared" si="7"/>
        <v>0.90909090909090906</v>
      </c>
    </row>
    <row r="33" spans="1:28" x14ac:dyDescent="0.25">
      <c r="A33" s="92" t="s">
        <v>97</v>
      </c>
      <c r="B33" s="4"/>
      <c r="C33" s="4"/>
      <c r="D33" s="4" t="s">
        <v>98</v>
      </c>
      <c r="E33" s="4"/>
      <c r="F33" s="10">
        <f t="shared" si="4"/>
        <v>0</v>
      </c>
      <c r="G33" s="4"/>
      <c r="H33" s="11">
        <f t="shared" si="5"/>
        <v>0</v>
      </c>
      <c r="I33" s="6">
        <f>SUM(I34:I36)</f>
        <v>15515.89467</v>
      </c>
      <c r="J33" s="85">
        <f t="shared" si="6"/>
        <v>2.1988535678791103E-2</v>
      </c>
      <c r="K33" s="108"/>
      <c r="L33" s="116"/>
      <c r="M33" s="117"/>
      <c r="N33" s="116"/>
      <c r="O33" s="117"/>
      <c r="P33" s="116"/>
      <c r="Q33" s="117"/>
      <c r="R33" s="116"/>
      <c r="S33" s="117"/>
      <c r="T33" s="116"/>
      <c r="U33" s="117"/>
      <c r="V33" s="116"/>
      <c r="W33" s="117"/>
      <c r="Y33" s="3">
        <v>25</v>
      </c>
      <c r="Z33" s="3">
        <v>5</v>
      </c>
      <c r="AA33" s="3">
        <v>705635.65017045464</v>
      </c>
      <c r="AB33">
        <f t="shared" si="7"/>
        <v>0.90909090909090906</v>
      </c>
    </row>
    <row r="34" spans="1:28" ht="39.6" x14ac:dyDescent="0.25">
      <c r="A34" s="93" t="s">
        <v>99</v>
      </c>
      <c r="B34" s="8" t="s">
        <v>100</v>
      </c>
      <c r="C34" s="7" t="s">
        <v>26</v>
      </c>
      <c r="D34" s="7" t="s">
        <v>101</v>
      </c>
      <c r="E34" s="9" t="s">
        <v>28</v>
      </c>
      <c r="F34" s="10">
        <f>(8.65+3.84)*3.3+(4.54+5)+(4.54*2.47)+(13.4+5.79)*2.2+4.54*1.8</f>
        <v>112.3608</v>
      </c>
      <c r="G34" s="11">
        <v>105.67</v>
      </c>
      <c r="H34" s="11">
        <f t="shared" si="5"/>
        <v>132.08750000000001</v>
      </c>
      <c r="I34" s="11">
        <f t="shared" ref="I34:I36" si="51">F34*H34</f>
        <v>14841.45717</v>
      </c>
      <c r="J34" s="86">
        <f t="shared" si="6"/>
        <v>2.1032748510388995E-2</v>
      </c>
      <c r="K34" s="109"/>
      <c r="L34" s="103"/>
      <c r="M34" s="88">
        <f t="shared" ref="M34:O36" si="52">TRUNC(L34*$H34,2)</f>
        <v>0</v>
      </c>
      <c r="N34" s="103">
        <v>3060.25</v>
      </c>
      <c r="O34" s="88">
        <f t="shared" si="52"/>
        <v>404220.77</v>
      </c>
      <c r="P34" s="103"/>
      <c r="Q34" s="88">
        <f t="shared" ref="Q34:S34" si="53">TRUNC(P34*$H34,2)</f>
        <v>0</v>
      </c>
      <c r="R34" s="103"/>
      <c r="S34" s="88">
        <f t="shared" si="53"/>
        <v>0</v>
      </c>
      <c r="T34" s="103"/>
      <c r="U34" s="88">
        <f t="shared" ref="U34:W34" si="54">TRUNC(T34*$H34,2)</f>
        <v>0</v>
      </c>
      <c r="V34" s="103"/>
      <c r="W34" s="88">
        <f t="shared" si="54"/>
        <v>0</v>
      </c>
      <c r="X34" s="3">
        <v>3060.25</v>
      </c>
      <c r="Y34" s="3">
        <v>25</v>
      </c>
      <c r="Z34" s="3">
        <v>5</v>
      </c>
      <c r="AA34" s="3">
        <v>705635.65017045464</v>
      </c>
      <c r="AB34">
        <f t="shared" si="7"/>
        <v>0.90909090909090906</v>
      </c>
    </row>
    <row r="35" spans="1:28" ht="26.4" x14ac:dyDescent="0.25">
      <c r="A35" s="93" t="s">
        <v>102</v>
      </c>
      <c r="B35" s="8" t="s">
        <v>103</v>
      </c>
      <c r="C35" s="7" t="s">
        <v>26</v>
      </c>
      <c r="D35" s="7" t="s">
        <v>104</v>
      </c>
      <c r="E35" s="9" t="s">
        <v>29</v>
      </c>
      <c r="F35" s="10">
        <f>2*1.2+1.5*2+1.5</f>
        <v>6.9</v>
      </c>
      <c r="G35" s="11">
        <v>56.1</v>
      </c>
      <c r="H35" s="11">
        <f t="shared" si="5"/>
        <v>70.125</v>
      </c>
      <c r="I35" s="11">
        <f t="shared" si="51"/>
        <v>483.86250000000001</v>
      </c>
      <c r="J35" s="86">
        <f t="shared" si="6"/>
        <v>6.8571152815637549E-4</v>
      </c>
      <c r="K35" s="109"/>
      <c r="L35" s="103"/>
      <c r="M35" s="88">
        <f t="shared" si="52"/>
        <v>0</v>
      </c>
      <c r="N35" s="103">
        <v>357.5</v>
      </c>
      <c r="O35" s="88">
        <f t="shared" si="52"/>
        <v>25069.68</v>
      </c>
      <c r="P35" s="103"/>
      <c r="Q35" s="88">
        <f t="shared" ref="Q35:S35" si="55">TRUNC(P35*$H35,2)</f>
        <v>0</v>
      </c>
      <c r="R35" s="103"/>
      <c r="S35" s="88">
        <f t="shared" si="55"/>
        <v>0</v>
      </c>
      <c r="T35" s="103"/>
      <c r="U35" s="88">
        <f t="shared" ref="U35:W35" si="56">TRUNC(T35*$H35,2)</f>
        <v>0</v>
      </c>
      <c r="V35" s="103"/>
      <c r="W35" s="88">
        <f t="shared" si="56"/>
        <v>0</v>
      </c>
      <c r="X35" s="3">
        <v>357.5</v>
      </c>
      <c r="Y35" s="3">
        <v>25</v>
      </c>
      <c r="Z35" s="3">
        <v>5</v>
      </c>
      <c r="AA35" s="3">
        <v>705635.65017045464</v>
      </c>
      <c r="AB35">
        <f t="shared" si="7"/>
        <v>0.90909090909090906</v>
      </c>
    </row>
    <row r="36" spans="1:28" ht="26.4" x14ac:dyDescent="0.25">
      <c r="A36" s="93" t="s">
        <v>105</v>
      </c>
      <c r="B36" s="8" t="s">
        <v>106</v>
      </c>
      <c r="C36" s="7" t="s">
        <v>26</v>
      </c>
      <c r="D36" s="7" t="s">
        <v>107</v>
      </c>
      <c r="E36" s="9" t="s">
        <v>29</v>
      </c>
      <c r="F36" s="10">
        <f>1.5+2</f>
        <v>3.5</v>
      </c>
      <c r="G36" s="11">
        <v>43.56</v>
      </c>
      <c r="H36" s="11">
        <f t="shared" si="5"/>
        <v>54.45</v>
      </c>
      <c r="I36" s="11">
        <f t="shared" si="51"/>
        <v>190.57500000000002</v>
      </c>
      <c r="J36" s="86">
        <f t="shared" si="6"/>
        <v>2.7007564024573359E-4</v>
      </c>
      <c r="K36" s="109"/>
      <c r="L36" s="103"/>
      <c r="M36" s="88">
        <f t="shared" si="52"/>
        <v>0</v>
      </c>
      <c r="N36" s="103">
        <v>207.5</v>
      </c>
      <c r="O36" s="88">
        <f t="shared" si="52"/>
        <v>11298.37</v>
      </c>
      <c r="P36" s="103"/>
      <c r="Q36" s="88">
        <f t="shared" ref="Q36:S36" si="57">TRUNC(P36*$H36,2)</f>
        <v>0</v>
      </c>
      <c r="R36" s="103"/>
      <c r="S36" s="88">
        <f t="shared" si="57"/>
        <v>0</v>
      </c>
      <c r="T36" s="103"/>
      <c r="U36" s="88">
        <f t="shared" ref="U36:W36" si="58">TRUNC(T36*$H36,2)</f>
        <v>0</v>
      </c>
      <c r="V36" s="103"/>
      <c r="W36" s="88">
        <f t="shared" si="58"/>
        <v>0</v>
      </c>
      <c r="X36" s="3">
        <v>207.5</v>
      </c>
      <c r="Y36" s="3">
        <v>25</v>
      </c>
      <c r="Z36" s="3">
        <v>5</v>
      </c>
      <c r="AA36" s="3">
        <v>705635.65017045464</v>
      </c>
      <c r="AB36">
        <f t="shared" si="7"/>
        <v>0.90909090909090906</v>
      </c>
    </row>
    <row r="37" spans="1:28" x14ac:dyDescent="0.25">
      <c r="A37" s="92" t="s">
        <v>108</v>
      </c>
      <c r="B37" s="4"/>
      <c r="C37" s="4"/>
      <c r="D37" s="4" t="s">
        <v>109</v>
      </c>
      <c r="E37" s="4"/>
      <c r="F37" s="10">
        <f t="shared" si="4"/>
        <v>0</v>
      </c>
      <c r="G37" s="4"/>
      <c r="H37" s="11">
        <f t="shared" si="5"/>
        <v>0</v>
      </c>
      <c r="I37" s="6">
        <f>SUM(I38:I41)</f>
        <v>7958.2910000000011</v>
      </c>
      <c r="J37" s="85">
        <f t="shared" si="6"/>
        <v>1.1278187260064854E-2</v>
      </c>
      <c r="K37" s="108"/>
      <c r="L37" s="116"/>
      <c r="M37" s="117"/>
      <c r="N37" s="116"/>
      <c r="O37" s="117"/>
      <c r="P37" s="116"/>
      <c r="Q37" s="117"/>
      <c r="R37" s="116"/>
      <c r="S37" s="117"/>
      <c r="T37" s="116"/>
      <c r="U37" s="117"/>
      <c r="V37" s="116"/>
      <c r="W37" s="117"/>
      <c r="Y37" s="3">
        <v>25</v>
      </c>
      <c r="Z37" s="3">
        <v>5</v>
      </c>
      <c r="AA37" s="3">
        <v>705635.65017045464</v>
      </c>
      <c r="AB37">
        <f t="shared" si="7"/>
        <v>0.90909090909090906</v>
      </c>
    </row>
    <row r="38" spans="1:28" ht="26.4" x14ac:dyDescent="0.25">
      <c r="A38" s="93" t="s">
        <v>110</v>
      </c>
      <c r="B38" s="8" t="s">
        <v>111</v>
      </c>
      <c r="C38" s="7" t="s">
        <v>19</v>
      </c>
      <c r="D38" s="7" t="s">
        <v>112</v>
      </c>
      <c r="E38" s="9" t="s">
        <v>81</v>
      </c>
      <c r="F38" s="10">
        <f>1.5*1+1*0.8</f>
        <v>2.2999999999999998</v>
      </c>
      <c r="G38" s="11">
        <v>792.31</v>
      </c>
      <c r="H38" s="11">
        <f t="shared" si="5"/>
        <v>990.38749999999993</v>
      </c>
      <c r="I38" s="11">
        <f t="shared" ref="I38:I41" si="59">F38*H38</f>
        <v>2277.8912499999997</v>
      </c>
      <c r="J38" s="86">
        <f t="shared" si="6"/>
        <v>3.2281408251549478E-3</v>
      </c>
      <c r="K38" s="109"/>
      <c r="L38" s="103"/>
      <c r="M38" s="88">
        <f t="shared" ref="M38:O41" si="60">TRUNC(L38*$H38,2)</f>
        <v>0</v>
      </c>
      <c r="N38" s="103"/>
      <c r="O38" s="88">
        <f t="shared" si="60"/>
        <v>0</v>
      </c>
      <c r="P38" s="103"/>
      <c r="Q38" s="88">
        <f t="shared" ref="Q38:S38" si="61">TRUNC(P38*$H38,2)</f>
        <v>0</v>
      </c>
      <c r="R38" s="103"/>
      <c r="S38" s="88">
        <f t="shared" si="61"/>
        <v>0</v>
      </c>
      <c r="T38" s="103"/>
      <c r="U38" s="88">
        <f t="shared" ref="U38:W38" si="62">TRUNC(T38*$H38,2)</f>
        <v>0</v>
      </c>
      <c r="V38" s="103"/>
      <c r="W38" s="88">
        <f t="shared" si="62"/>
        <v>0</v>
      </c>
      <c r="X38" s="3">
        <v>148.5</v>
      </c>
      <c r="Y38" s="3">
        <v>25</v>
      </c>
      <c r="Z38" s="3">
        <v>5</v>
      </c>
      <c r="AA38" s="3">
        <v>705635.65017045464</v>
      </c>
      <c r="AB38">
        <f t="shared" si="7"/>
        <v>0.90909090909090906</v>
      </c>
    </row>
    <row r="39" spans="1:28" ht="26.4" x14ac:dyDescent="0.25">
      <c r="A39" s="93" t="s">
        <v>113</v>
      </c>
      <c r="B39" s="8" t="s">
        <v>114</v>
      </c>
      <c r="C39" s="7" t="s">
        <v>26</v>
      </c>
      <c r="D39" s="7" t="s">
        <v>115</v>
      </c>
      <c r="E39" s="9" t="s">
        <v>28</v>
      </c>
      <c r="F39" s="10">
        <f>0.8*2.1*2+1*2.1</f>
        <v>5.4600000000000009</v>
      </c>
      <c r="G39" s="11">
        <v>686.88</v>
      </c>
      <c r="H39" s="11">
        <f t="shared" si="5"/>
        <v>858.6</v>
      </c>
      <c r="I39" s="11">
        <f t="shared" si="59"/>
        <v>4687.956000000001</v>
      </c>
      <c r="J39" s="86">
        <f t="shared" si="6"/>
        <v>6.6435929064348857E-3</v>
      </c>
      <c r="K39" s="109"/>
      <c r="L39" s="103"/>
      <c r="M39" s="88">
        <f t="shared" si="60"/>
        <v>0</v>
      </c>
      <c r="N39" s="103"/>
      <c r="O39" s="88">
        <f t="shared" si="60"/>
        <v>0</v>
      </c>
      <c r="P39" s="103"/>
      <c r="Q39" s="88">
        <f t="shared" ref="Q39:S39" si="63">TRUNC(P39*$H39,2)</f>
        <v>0</v>
      </c>
      <c r="R39" s="103"/>
      <c r="S39" s="88">
        <f t="shared" si="63"/>
        <v>0</v>
      </c>
      <c r="T39" s="103"/>
      <c r="U39" s="88">
        <f t="shared" ref="U39:W39" si="64">TRUNC(T39*$H39,2)</f>
        <v>0</v>
      </c>
      <c r="V39" s="103"/>
      <c r="W39" s="88">
        <f t="shared" si="64"/>
        <v>0</v>
      </c>
      <c r="X39" s="3">
        <v>210</v>
      </c>
      <c r="Y39" s="3">
        <v>25</v>
      </c>
      <c r="Z39" s="3">
        <v>5</v>
      </c>
      <c r="AA39" s="3">
        <v>705635.65017045464</v>
      </c>
      <c r="AB39">
        <f t="shared" si="7"/>
        <v>0.90909090909090906</v>
      </c>
    </row>
    <row r="40" spans="1:28" ht="52.8" x14ac:dyDescent="0.25">
      <c r="A40" s="94" t="s">
        <v>117</v>
      </c>
      <c r="B40" s="198">
        <v>3080</v>
      </c>
      <c r="C40" s="12" t="s">
        <v>26</v>
      </c>
      <c r="D40" s="12" t="s">
        <v>118</v>
      </c>
      <c r="E40" s="13" t="s">
        <v>116</v>
      </c>
      <c r="F40" s="10">
        <v>3</v>
      </c>
      <c r="G40" s="14">
        <v>74.48</v>
      </c>
      <c r="H40" s="11">
        <f t="shared" si="5"/>
        <v>93.100000000000009</v>
      </c>
      <c r="I40" s="11">
        <f t="shared" si="59"/>
        <v>279.3</v>
      </c>
      <c r="J40" s="86">
        <f t="shared" si="6"/>
        <v>3.9581333501578585E-4</v>
      </c>
      <c r="K40" s="110"/>
      <c r="L40" s="103"/>
      <c r="M40" s="88">
        <f t="shared" si="60"/>
        <v>0</v>
      </c>
      <c r="N40" s="103"/>
      <c r="O40" s="88">
        <f t="shared" si="60"/>
        <v>0</v>
      </c>
      <c r="P40" s="103"/>
      <c r="Q40" s="88">
        <f t="shared" ref="Q40:S40" si="65">TRUNC(P40*$H40,2)</f>
        <v>0</v>
      </c>
      <c r="R40" s="103"/>
      <c r="S40" s="88">
        <f t="shared" si="65"/>
        <v>0</v>
      </c>
      <c r="T40" s="103"/>
      <c r="U40" s="88">
        <f t="shared" ref="U40:W40" si="66">TRUNC(T40*$H40,2)</f>
        <v>0</v>
      </c>
      <c r="V40" s="103"/>
      <c r="W40" s="88">
        <f t="shared" si="66"/>
        <v>0</v>
      </c>
      <c r="X40" s="3">
        <v>100</v>
      </c>
      <c r="Y40" s="3">
        <v>25</v>
      </c>
      <c r="Z40" s="3">
        <v>5</v>
      </c>
      <c r="AA40" s="3">
        <v>705635.65017045464</v>
      </c>
      <c r="AB40">
        <f t="shared" si="7"/>
        <v>0.90909090909090906</v>
      </c>
    </row>
    <row r="41" spans="1:28" ht="26.4" x14ac:dyDescent="0.25">
      <c r="A41" s="93" t="s">
        <v>119</v>
      </c>
      <c r="B41" s="8" t="s">
        <v>120</v>
      </c>
      <c r="C41" s="7" t="s">
        <v>26</v>
      </c>
      <c r="D41" s="7" t="s">
        <v>121</v>
      </c>
      <c r="E41" s="9" t="s">
        <v>29</v>
      </c>
      <c r="F41" s="10">
        <f>0.8*2+1+1.5</f>
        <v>4.0999999999999996</v>
      </c>
      <c r="G41" s="11">
        <v>139.15</v>
      </c>
      <c r="H41" s="11">
        <f t="shared" si="5"/>
        <v>173.9375</v>
      </c>
      <c r="I41" s="11">
        <f t="shared" si="59"/>
        <v>713.14374999999995</v>
      </c>
      <c r="J41" s="86">
        <f t="shared" si="6"/>
        <v>1.0106401934592329E-3</v>
      </c>
      <c r="K41" s="109"/>
      <c r="L41" s="103"/>
      <c r="M41" s="88">
        <f t="shared" si="60"/>
        <v>0</v>
      </c>
      <c r="N41" s="103"/>
      <c r="O41" s="88">
        <f t="shared" si="60"/>
        <v>0</v>
      </c>
      <c r="P41" s="103"/>
      <c r="Q41" s="88">
        <f t="shared" ref="Q41:S41" si="67">TRUNC(P41*$H41,2)</f>
        <v>0</v>
      </c>
      <c r="R41" s="103"/>
      <c r="S41" s="88">
        <f t="shared" si="67"/>
        <v>0</v>
      </c>
      <c r="T41" s="103"/>
      <c r="U41" s="88">
        <f t="shared" ref="U41:W41" si="68">TRUNC(T41*$H41,2)</f>
        <v>0</v>
      </c>
      <c r="V41" s="103"/>
      <c r="W41" s="88">
        <f t="shared" si="68"/>
        <v>0</v>
      </c>
      <c r="X41" s="3">
        <v>157.5</v>
      </c>
      <c r="Y41" s="3">
        <v>25</v>
      </c>
      <c r="Z41" s="3">
        <v>5</v>
      </c>
      <c r="AA41" s="3">
        <v>705635.65017045464</v>
      </c>
      <c r="AB41">
        <f t="shared" si="7"/>
        <v>0.90909090909090906</v>
      </c>
    </row>
    <row r="42" spans="1:28" x14ac:dyDescent="0.25">
      <c r="A42" s="92" t="s">
        <v>122</v>
      </c>
      <c r="B42" s="4"/>
      <c r="C42" s="4"/>
      <c r="D42" s="4" t="s">
        <v>123</v>
      </c>
      <c r="E42" s="4"/>
      <c r="F42" s="10">
        <f t="shared" si="4"/>
        <v>0</v>
      </c>
      <c r="G42" s="4"/>
      <c r="H42" s="11">
        <f t="shared" si="5"/>
        <v>0</v>
      </c>
      <c r="I42" s="6">
        <f>SUM(I43:I47)</f>
        <v>14176.319625</v>
      </c>
      <c r="J42" s="85">
        <f t="shared" si="6"/>
        <v>2.0090140884428873E-2</v>
      </c>
      <c r="K42" s="108"/>
      <c r="L42" s="116"/>
      <c r="M42" s="117"/>
      <c r="N42" s="116"/>
      <c r="O42" s="117"/>
      <c r="P42" s="116"/>
      <c r="Q42" s="117"/>
      <c r="R42" s="116"/>
      <c r="S42" s="117"/>
      <c r="T42" s="116"/>
      <c r="U42" s="117"/>
      <c r="V42" s="116"/>
      <c r="W42" s="117"/>
      <c r="Y42" s="3">
        <v>25</v>
      </c>
      <c r="Z42" s="3">
        <v>5</v>
      </c>
      <c r="AA42" s="3">
        <v>705635.65017045464</v>
      </c>
      <c r="AB42">
        <f t="shared" si="7"/>
        <v>0.90909090909090906</v>
      </c>
    </row>
    <row r="43" spans="1:28" ht="39.6" x14ac:dyDescent="0.25">
      <c r="A43" s="93" t="s">
        <v>124</v>
      </c>
      <c r="B43" s="8" t="s">
        <v>125</v>
      </c>
      <c r="C43" s="7" t="s">
        <v>26</v>
      </c>
      <c r="D43" s="7" t="s">
        <v>126</v>
      </c>
      <c r="E43" s="9" t="s">
        <v>28</v>
      </c>
      <c r="F43" s="10">
        <f>22.64</f>
        <v>22.64</v>
      </c>
      <c r="G43" s="11">
        <v>63.65</v>
      </c>
      <c r="H43" s="11">
        <f t="shared" si="5"/>
        <v>79.5625</v>
      </c>
      <c r="I43" s="11">
        <f t="shared" ref="I43:I47" si="69">F43*H43</f>
        <v>1801.2950000000001</v>
      </c>
      <c r="J43" s="86">
        <f t="shared" si="6"/>
        <v>2.5527267500796988E-3</v>
      </c>
      <c r="K43" s="109"/>
      <c r="L43" s="103"/>
      <c r="M43" s="88">
        <f t="shared" ref="M43:O47" si="70">TRUNC(L43*$H43,2)</f>
        <v>0</v>
      </c>
      <c r="N43" s="103"/>
      <c r="O43" s="88">
        <f t="shared" si="70"/>
        <v>0</v>
      </c>
      <c r="P43" s="103">
        <v>1877</v>
      </c>
      <c r="Q43" s="88">
        <f t="shared" ref="Q43:S43" si="71">TRUNC(P43*$H43,2)</f>
        <v>149338.81</v>
      </c>
      <c r="R43" s="103"/>
      <c r="S43" s="88">
        <f t="shared" si="71"/>
        <v>0</v>
      </c>
      <c r="T43" s="103"/>
      <c r="U43" s="88">
        <f t="shared" ref="U43:W43" si="72">TRUNC(T43*$H43,2)</f>
        <v>0</v>
      </c>
      <c r="V43" s="103"/>
      <c r="W43" s="88">
        <f t="shared" si="72"/>
        <v>0</v>
      </c>
      <c r="X43" s="3">
        <v>1877</v>
      </c>
      <c r="Y43" s="3">
        <v>25</v>
      </c>
      <c r="Z43" s="3">
        <v>5</v>
      </c>
      <c r="AA43" s="3">
        <v>705635.65017045464</v>
      </c>
      <c r="AB43">
        <f t="shared" si="7"/>
        <v>0.90909090909090906</v>
      </c>
    </row>
    <row r="44" spans="1:28" ht="52.8" x14ac:dyDescent="0.25">
      <c r="A44" s="93" t="s">
        <v>124</v>
      </c>
      <c r="B44" s="8">
        <v>92580</v>
      </c>
      <c r="C44" s="7" t="s">
        <v>26</v>
      </c>
      <c r="D44" s="7" t="s">
        <v>458</v>
      </c>
      <c r="E44" s="9" t="s">
        <v>28</v>
      </c>
      <c r="F44" s="10">
        <f>38.83</f>
        <v>38.83</v>
      </c>
      <c r="G44" s="11">
        <v>48.28</v>
      </c>
      <c r="H44" s="11">
        <f t="shared" ref="H44" si="73">G44*1.25</f>
        <v>60.35</v>
      </c>
      <c r="I44" s="11">
        <f t="shared" ref="I44" si="74">F44*H44</f>
        <v>2343.3905</v>
      </c>
      <c r="J44" s="86">
        <f t="shared" ref="J44" si="75">I44/AA44</f>
        <v>3.3209638705668093E-3</v>
      </c>
      <c r="K44" s="109"/>
      <c r="L44" s="103"/>
      <c r="M44" s="88">
        <f t="shared" ref="M44" si="76">TRUNC(L44*$H44,2)</f>
        <v>0</v>
      </c>
      <c r="N44" s="103"/>
      <c r="O44" s="88">
        <f t="shared" ref="O44" si="77">TRUNC(N44*$H44,2)</f>
        <v>0</v>
      </c>
      <c r="P44" s="103">
        <v>1877</v>
      </c>
      <c r="Q44" s="88">
        <f t="shared" ref="Q44" si="78">TRUNC(P44*$H44,2)</f>
        <v>113276.95</v>
      </c>
      <c r="R44" s="103"/>
      <c r="S44" s="88">
        <f t="shared" ref="S44" si="79">TRUNC(R44*$H44,2)</f>
        <v>0</v>
      </c>
      <c r="T44" s="103"/>
      <c r="U44" s="88">
        <f t="shared" ref="U44" si="80">TRUNC(T44*$H44,2)</f>
        <v>0</v>
      </c>
      <c r="V44" s="103"/>
      <c r="W44" s="88">
        <f t="shared" ref="W44" si="81">TRUNC(V44*$H44,2)</f>
        <v>0</v>
      </c>
      <c r="X44" s="3">
        <v>1877</v>
      </c>
      <c r="Y44" s="3">
        <v>25</v>
      </c>
      <c r="Z44" s="3">
        <v>5</v>
      </c>
      <c r="AA44" s="3">
        <v>705635.65017045464</v>
      </c>
      <c r="AB44">
        <f t="shared" si="7"/>
        <v>0.90909090909090906</v>
      </c>
    </row>
    <row r="45" spans="1:28" ht="26.4" x14ac:dyDescent="0.25">
      <c r="A45" s="93" t="s">
        <v>127</v>
      </c>
      <c r="B45" s="8" t="s">
        <v>128</v>
      </c>
      <c r="C45" s="7" t="s">
        <v>26</v>
      </c>
      <c r="D45" s="7" t="s">
        <v>129</v>
      </c>
      <c r="E45" s="9" t="s">
        <v>28</v>
      </c>
      <c r="F45" s="10">
        <f>22.64</f>
        <v>22.64</v>
      </c>
      <c r="G45" s="11">
        <v>61.73</v>
      </c>
      <c r="H45" s="11">
        <f t="shared" si="5"/>
        <v>77.162499999999994</v>
      </c>
      <c r="I45" s="11">
        <f t="shared" si="69"/>
        <v>1746.9589999999998</v>
      </c>
      <c r="J45" s="86">
        <f t="shared" si="6"/>
        <v>2.4757238379013321E-3</v>
      </c>
      <c r="K45" s="109"/>
      <c r="L45" s="103"/>
      <c r="M45" s="88">
        <f t="shared" si="70"/>
        <v>0</v>
      </c>
      <c r="N45" s="103"/>
      <c r="O45" s="88">
        <f t="shared" si="70"/>
        <v>0</v>
      </c>
      <c r="P45" s="103">
        <v>1877</v>
      </c>
      <c r="Q45" s="88">
        <f t="shared" ref="Q45:S45" si="82">TRUNC(P45*$H45,2)</f>
        <v>144834.01</v>
      </c>
      <c r="R45" s="103"/>
      <c r="S45" s="88">
        <f t="shared" si="82"/>
        <v>0</v>
      </c>
      <c r="T45" s="103"/>
      <c r="U45" s="88">
        <f t="shared" ref="U45:W45" si="83">TRUNC(T45*$H45,2)</f>
        <v>0</v>
      </c>
      <c r="V45" s="103"/>
      <c r="W45" s="88">
        <f t="shared" si="83"/>
        <v>0</v>
      </c>
      <c r="X45" s="3">
        <v>1877</v>
      </c>
      <c r="Y45" s="3">
        <v>25</v>
      </c>
      <c r="Z45" s="3">
        <v>5</v>
      </c>
      <c r="AA45" s="3">
        <v>705635.65017045464</v>
      </c>
      <c r="AB45">
        <f t="shared" si="7"/>
        <v>0.90909090909090906</v>
      </c>
    </row>
    <row r="46" spans="1:28" ht="26.4" x14ac:dyDescent="0.25">
      <c r="A46" s="93" t="s">
        <v>127</v>
      </c>
      <c r="B46" s="8">
        <v>94218</v>
      </c>
      <c r="C46" s="7" t="s">
        <v>26</v>
      </c>
      <c r="D46" s="7" t="s">
        <v>459</v>
      </c>
      <c r="E46" s="9" t="s">
        <v>28</v>
      </c>
      <c r="F46" s="10">
        <v>38.83</v>
      </c>
      <c r="G46" s="11">
        <v>158.99</v>
      </c>
      <c r="H46" s="11">
        <f t="shared" ref="H46" si="84">G46*1.25</f>
        <v>198.73750000000001</v>
      </c>
      <c r="I46" s="11">
        <f t="shared" ref="I46" si="85">F46*H46</f>
        <v>7716.9771250000003</v>
      </c>
      <c r="J46" s="86">
        <f t="shared" ref="J46" si="86">I46/AA46</f>
        <v>1.0936206416350808E-2</v>
      </c>
      <c r="K46" s="109"/>
      <c r="L46" s="103"/>
      <c r="M46" s="88">
        <f t="shared" ref="M46" si="87">TRUNC(L46*$H46,2)</f>
        <v>0</v>
      </c>
      <c r="N46" s="103"/>
      <c r="O46" s="88">
        <f t="shared" ref="O46" si="88">TRUNC(N46*$H46,2)</f>
        <v>0</v>
      </c>
      <c r="P46" s="103">
        <v>1877</v>
      </c>
      <c r="Q46" s="88">
        <f t="shared" ref="Q46" si="89">TRUNC(P46*$H46,2)</f>
        <v>373030.28</v>
      </c>
      <c r="R46" s="103"/>
      <c r="S46" s="88">
        <f t="shared" ref="S46" si="90">TRUNC(R46*$H46,2)</f>
        <v>0</v>
      </c>
      <c r="T46" s="103"/>
      <c r="U46" s="88">
        <f t="shared" ref="U46" si="91">TRUNC(T46*$H46,2)</f>
        <v>0</v>
      </c>
      <c r="V46" s="103"/>
      <c r="W46" s="88">
        <f t="shared" ref="W46" si="92">TRUNC(V46*$H46,2)</f>
        <v>0</v>
      </c>
      <c r="X46" s="3">
        <v>1877</v>
      </c>
      <c r="Y46" s="3">
        <v>25</v>
      </c>
      <c r="Z46" s="3">
        <v>5</v>
      </c>
      <c r="AA46" s="3">
        <v>705635.65017045464</v>
      </c>
      <c r="AB46">
        <f t="shared" si="7"/>
        <v>0.90909090909090906</v>
      </c>
    </row>
    <row r="47" spans="1:28" ht="39.6" x14ac:dyDescent="0.25">
      <c r="A47" s="93" t="s">
        <v>130</v>
      </c>
      <c r="B47" s="8" t="s">
        <v>131</v>
      </c>
      <c r="C47" s="7" t="s">
        <v>26</v>
      </c>
      <c r="D47" s="7" t="s">
        <v>132</v>
      </c>
      <c r="E47" s="9" t="s">
        <v>28</v>
      </c>
      <c r="F47" s="10">
        <f>F43*2</f>
        <v>45.28</v>
      </c>
      <c r="G47" s="11">
        <v>10.029999999999999</v>
      </c>
      <c r="H47" s="11">
        <f t="shared" si="5"/>
        <v>12.5375</v>
      </c>
      <c r="I47" s="11">
        <f t="shared" si="69"/>
        <v>567.69799999999998</v>
      </c>
      <c r="J47" s="86">
        <f t="shared" si="6"/>
        <v>8.0452000953022402E-4</v>
      </c>
      <c r="K47" s="109"/>
      <c r="L47" s="103"/>
      <c r="M47" s="88">
        <f t="shared" si="70"/>
        <v>0</v>
      </c>
      <c r="N47" s="103"/>
      <c r="O47" s="88">
        <f t="shared" si="70"/>
        <v>0</v>
      </c>
      <c r="P47" s="103">
        <v>1830</v>
      </c>
      <c r="Q47" s="88">
        <f t="shared" ref="Q47:S47" si="93">TRUNC(P47*$H47,2)</f>
        <v>22943.62</v>
      </c>
      <c r="R47" s="103"/>
      <c r="S47" s="88">
        <f t="shared" si="93"/>
        <v>0</v>
      </c>
      <c r="T47" s="103"/>
      <c r="U47" s="88">
        <f t="shared" ref="U47:W47" si="94">TRUNC(T47*$H47,2)</f>
        <v>0</v>
      </c>
      <c r="V47" s="103"/>
      <c r="W47" s="88">
        <f t="shared" si="94"/>
        <v>0</v>
      </c>
      <c r="X47" s="3">
        <v>1830</v>
      </c>
      <c r="Y47" s="3">
        <v>25</v>
      </c>
      <c r="Z47" s="3">
        <v>5</v>
      </c>
      <c r="AA47" s="3">
        <v>705635.65017045464</v>
      </c>
      <c r="AB47">
        <f t="shared" si="7"/>
        <v>0.90909090909090906</v>
      </c>
    </row>
    <row r="48" spans="1:28" x14ac:dyDescent="0.25">
      <c r="A48" s="92" t="s">
        <v>133</v>
      </c>
      <c r="B48" s="4"/>
      <c r="C48" s="4"/>
      <c r="D48" s="4" t="s">
        <v>134</v>
      </c>
      <c r="E48" s="4"/>
      <c r="F48" s="10">
        <f t="shared" si="4"/>
        <v>0</v>
      </c>
      <c r="G48" s="4"/>
      <c r="H48" s="11">
        <f t="shared" si="5"/>
        <v>0</v>
      </c>
      <c r="I48" s="6">
        <f>SUM(I49:I52)</f>
        <v>8686.0737499999996</v>
      </c>
      <c r="J48" s="85">
        <f t="shared" si="6"/>
        <v>1.2309573287434919E-2</v>
      </c>
      <c r="K48" s="108"/>
      <c r="L48" s="116"/>
      <c r="M48" s="117"/>
      <c r="N48" s="116"/>
      <c r="O48" s="117"/>
      <c r="P48" s="116"/>
      <c r="Q48" s="117"/>
      <c r="R48" s="116"/>
      <c r="S48" s="117"/>
      <c r="T48" s="116"/>
      <c r="U48" s="117"/>
      <c r="V48" s="116"/>
      <c r="W48" s="117"/>
      <c r="Y48" s="3">
        <v>25</v>
      </c>
      <c r="Z48" s="3">
        <v>5</v>
      </c>
      <c r="AA48" s="3">
        <v>705635.65017045464</v>
      </c>
      <c r="AB48">
        <f t="shared" si="7"/>
        <v>0.90909090909090906</v>
      </c>
    </row>
    <row r="49" spans="1:28" ht="39.6" x14ac:dyDescent="0.25">
      <c r="A49" s="93" t="s">
        <v>135</v>
      </c>
      <c r="B49" s="8" t="s">
        <v>136</v>
      </c>
      <c r="C49" s="7" t="s">
        <v>26</v>
      </c>
      <c r="D49" s="7" t="s">
        <v>137</v>
      </c>
      <c r="E49" s="9" t="s">
        <v>28</v>
      </c>
      <c r="F49" s="10">
        <f>4.69*2.7+13.4*3.2+4.45*5*2+3.84*3.3*2+8.65*3.3+3.84*3.2</f>
        <v>166.22</v>
      </c>
      <c r="G49" s="11">
        <v>5.01</v>
      </c>
      <c r="H49" s="11">
        <f t="shared" si="5"/>
        <v>6.2624999999999993</v>
      </c>
      <c r="I49" s="11">
        <f t="shared" ref="I49:I52" si="95">F49*H49</f>
        <v>1040.9527499999999</v>
      </c>
      <c r="J49" s="86">
        <f t="shared" si="6"/>
        <v>1.4751986379210652E-3</v>
      </c>
      <c r="K49" s="109"/>
      <c r="L49" s="103"/>
      <c r="M49" s="88">
        <f t="shared" ref="M49:O52" si="96">TRUNC(L49*$H49,2)</f>
        <v>0</v>
      </c>
      <c r="N49" s="103"/>
      <c r="O49" s="88">
        <f t="shared" si="96"/>
        <v>0</v>
      </c>
      <c r="P49" s="103">
        <v>3016.25</v>
      </c>
      <c r="Q49" s="88">
        <f t="shared" ref="Q49:S49" si="97">TRUNC(P49*$H49,2)</f>
        <v>18889.259999999998</v>
      </c>
      <c r="R49" s="103"/>
      <c r="S49" s="88">
        <f t="shared" si="97"/>
        <v>0</v>
      </c>
      <c r="T49" s="103"/>
      <c r="U49" s="88">
        <f t="shared" ref="U49:W49" si="98">TRUNC(T49*$H49,2)</f>
        <v>0</v>
      </c>
      <c r="V49" s="103"/>
      <c r="W49" s="88">
        <f t="shared" si="98"/>
        <v>0</v>
      </c>
      <c r="X49" s="3">
        <v>3016.25</v>
      </c>
      <c r="Y49" s="3">
        <v>25</v>
      </c>
      <c r="Z49" s="3">
        <v>5</v>
      </c>
      <c r="AA49" s="3">
        <v>705635.65017045464</v>
      </c>
      <c r="AB49">
        <f t="shared" si="7"/>
        <v>0.90909090909090906</v>
      </c>
    </row>
    <row r="50" spans="1:28" ht="39.6" x14ac:dyDescent="0.25">
      <c r="A50" s="93" t="s">
        <v>138</v>
      </c>
      <c r="B50" s="8" t="s">
        <v>139</v>
      </c>
      <c r="C50" s="7" t="s">
        <v>26</v>
      </c>
      <c r="D50" s="7" t="s">
        <v>140</v>
      </c>
      <c r="E50" s="9" t="s">
        <v>28</v>
      </c>
      <c r="F50" s="10">
        <f>(4.45+4.54)*2.3</f>
        <v>20.677</v>
      </c>
      <c r="G50" s="11">
        <v>28.19</v>
      </c>
      <c r="H50" s="11">
        <f t="shared" si="5"/>
        <v>35.237500000000004</v>
      </c>
      <c r="I50" s="11">
        <f t="shared" si="95"/>
        <v>728.60578750000002</v>
      </c>
      <c r="J50" s="86">
        <f t="shared" si="6"/>
        <v>1.0325524048055066E-3</v>
      </c>
      <c r="K50" s="109"/>
      <c r="L50" s="103"/>
      <c r="M50" s="88">
        <f t="shared" si="96"/>
        <v>0</v>
      </c>
      <c r="N50" s="103"/>
      <c r="O50" s="88">
        <f t="shared" si="96"/>
        <v>0</v>
      </c>
      <c r="P50" s="103">
        <v>585</v>
      </c>
      <c r="Q50" s="88">
        <f t="shared" ref="Q50:S50" si="99">TRUNC(P50*$H50,2)</f>
        <v>20613.93</v>
      </c>
      <c r="R50" s="103"/>
      <c r="S50" s="88">
        <f t="shared" si="99"/>
        <v>0</v>
      </c>
      <c r="T50" s="103"/>
      <c r="U50" s="88">
        <f t="shared" ref="U50:W50" si="100">TRUNC(T50*$H50,2)</f>
        <v>0</v>
      </c>
      <c r="V50" s="103"/>
      <c r="W50" s="88">
        <f t="shared" si="100"/>
        <v>0</v>
      </c>
      <c r="X50" s="3">
        <v>585</v>
      </c>
      <c r="Y50" s="3">
        <v>25</v>
      </c>
      <c r="Z50" s="3">
        <v>5</v>
      </c>
      <c r="AA50" s="3">
        <v>705635.65017045464</v>
      </c>
      <c r="AB50">
        <f t="shared" si="7"/>
        <v>0.90909090909090906</v>
      </c>
    </row>
    <row r="51" spans="1:28" ht="39.6" x14ac:dyDescent="0.25">
      <c r="A51" s="93" t="s">
        <v>141</v>
      </c>
      <c r="B51" s="8" t="s">
        <v>142</v>
      </c>
      <c r="C51" s="7" t="s">
        <v>26</v>
      </c>
      <c r="D51" s="7" t="s">
        <v>143</v>
      </c>
      <c r="E51" s="9" t="s">
        <v>28</v>
      </c>
      <c r="F51" s="10">
        <f>F49-((4.45+4.54)*2.3)</f>
        <v>145.54300000000001</v>
      </c>
      <c r="G51" s="11">
        <v>26.17</v>
      </c>
      <c r="H51" s="11">
        <f t="shared" si="5"/>
        <v>32.712500000000006</v>
      </c>
      <c r="I51" s="11">
        <f t="shared" si="95"/>
        <v>4761.0753875000009</v>
      </c>
      <c r="J51" s="86">
        <f t="shared" si="6"/>
        <v>6.7472149208304697E-3</v>
      </c>
      <c r="K51" s="109"/>
      <c r="L51" s="103"/>
      <c r="M51" s="88">
        <f t="shared" si="96"/>
        <v>0</v>
      </c>
      <c r="N51" s="103"/>
      <c r="O51" s="88">
        <f t="shared" si="96"/>
        <v>0</v>
      </c>
      <c r="P51" s="103">
        <v>2431.25</v>
      </c>
      <c r="Q51" s="88">
        <f t="shared" ref="Q51:S51" si="101">TRUNC(P51*$H51,2)</f>
        <v>79532.259999999995</v>
      </c>
      <c r="R51" s="103"/>
      <c r="S51" s="88">
        <f t="shared" si="101"/>
        <v>0</v>
      </c>
      <c r="T51" s="103"/>
      <c r="U51" s="88">
        <f t="shared" ref="U51:W51" si="102">TRUNC(T51*$H51,2)</f>
        <v>0</v>
      </c>
      <c r="V51" s="103"/>
      <c r="W51" s="88">
        <f t="shared" si="102"/>
        <v>0</v>
      </c>
      <c r="X51" s="3">
        <v>2431.25</v>
      </c>
      <c r="Y51" s="3">
        <v>25</v>
      </c>
      <c r="Z51" s="3">
        <v>5</v>
      </c>
      <c r="AA51" s="3">
        <v>705635.65017045464</v>
      </c>
      <c r="AB51">
        <f t="shared" si="7"/>
        <v>0.90909090909090906</v>
      </c>
    </row>
    <row r="52" spans="1:28" ht="39.6" x14ac:dyDescent="0.25">
      <c r="A52" s="93" t="s">
        <v>144</v>
      </c>
      <c r="B52" s="8" t="s">
        <v>145</v>
      </c>
      <c r="C52" s="7" t="s">
        <v>26</v>
      </c>
      <c r="D52" s="7" t="s">
        <v>146</v>
      </c>
      <c r="E52" s="9" t="s">
        <v>28</v>
      </c>
      <c r="F52" s="10">
        <f>(4.45+4.54+1.95)*2.3</f>
        <v>25.161999999999995</v>
      </c>
      <c r="G52" s="11">
        <v>68.53</v>
      </c>
      <c r="H52" s="11">
        <f t="shared" si="5"/>
        <v>85.662499999999994</v>
      </c>
      <c r="I52" s="11">
        <f t="shared" si="95"/>
        <v>2155.4398249999995</v>
      </c>
      <c r="J52" s="86">
        <f t="shared" si="6"/>
        <v>3.0546073238778789E-3</v>
      </c>
      <c r="K52" s="109"/>
      <c r="L52" s="103"/>
      <c r="M52" s="88">
        <f t="shared" si="96"/>
        <v>0</v>
      </c>
      <c r="N52" s="103"/>
      <c r="O52" s="88">
        <f t="shared" si="96"/>
        <v>0</v>
      </c>
      <c r="P52" s="103">
        <v>336</v>
      </c>
      <c r="Q52" s="88">
        <f t="shared" ref="Q52:S52" si="103">TRUNC(P52*$H52,2)</f>
        <v>28782.6</v>
      </c>
      <c r="R52" s="103"/>
      <c r="S52" s="88">
        <f t="shared" si="103"/>
        <v>0</v>
      </c>
      <c r="T52" s="103"/>
      <c r="U52" s="88">
        <f t="shared" ref="U52:W52" si="104">TRUNC(T52*$H52,2)</f>
        <v>0</v>
      </c>
      <c r="V52" s="103"/>
      <c r="W52" s="88">
        <f t="shared" si="104"/>
        <v>0</v>
      </c>
      <c r="X52" s="3">
        <v>336</v>
      </c>
      <c r="Y52" s="3">
        <v>25</v>
      </c>
      <c r="Z52" s="3">
        <v>5</v>
      </c>
      <c r="AA52" s="3">
        <v>705635.65017045464</v>
      </c>
      <c r="AB52">
        <f t="shared" si="7"/>
        <v>0.90909090909090906</v>
      </c>
    </row>
    <row r="53" spans="1:28" x14ac:dyDescent="0.25">
      <c r="A53" s="92" t="s">
        <v>147</v>
      </c>
      <c r="B53" s="4"/>
      <c r="C53" s="4"/>
      <c r="D53" s="4" t="s">
        <v>148</v>
      </c>
      <c r="E53" s="4"/>
      <c r="F53" s="10">
        <f t="shared" si="4"/>
        <v>0</v>
      </c>
      <c r="G53" s="4"/>
      <c r="H53" s="11">
        <f t="shared" si="5"/>
        <v>0</v>
      </c>
      <c r="I53" s="6">
        <f>SUM(I54:I55)</f>
        <v>8284.7946250000023</v>
      </c>
      <c r="J53" s="85">
        <f t="shared" si="6"/>
        <v>1.1740895776735078E-2</v>
      </c>
      <c r="K53" s="108"/>
      <c r="L53" s="116"/>
      <c r="M53" s="117"/>
      <c r="N53" s="116"/>
      <c r="O53" s="117"/>
      <c r="P53" s="116"/>
      <c r="Q53" s="117"/>
      <c r="R53" s="116"/>
      <c r="S53" s="117"/>
      <c r="T53" s="116"/>
      <c r="U53" s="117"/>
      <c r="V53" s="116"/>
      <c r="W53" s="117"/>
      <c r="Y53" s="3">
        <v>25</v>
      </c>
      <c r="Z53" s="3">
        <v>5</v>
      </c>
      <c r="AA53" s="3">
        <v>705635.65017045464</v>
      </c>
      <c r="AB53">
        <f t="shared" si="7"/>
        <v>0.90909090909090906</v>
      </c>
    </row>
    <row r="54" spans="1:28" ht="39.6" x14ac:dyDescent="0.25">
      <c r="A54" s="93" t="s">
        <v>149</v>
      </c>
      <c r="B54" s="8" t="s">
        <v>150</v>
      </c>
      <c r="C54" s="7" t="s">
        <v>26</v>
      </c>
      <c r="D54" s="7" t="s">
        <v>151</v>
      </c>
      <c r="E54" s="9" t="s">
        <v>28</v>
      </c>
      <c r="F54" s="10">
        <f>4.69*2.7+13.4*3.2+5.79*3.2+1.65*3.2+4.54*1.8*2</f>
        <v>95.695000000000022</v>
      </c>
      <c r="G54" s="11">
        <v>8.7799999999999994</v>
      </c>
      <c r="H54" s="11">
        <f t="shared" si="5"/>
        <v>10.975</v>
      </c>
      <c r="I54" s="11">
        <f t="shared" ref="I54:I55" si="105">F54*H54</f>
        <v>1050.2526250000003</v>
      </c>
      <c r="J54" s="86">
        <f t="shared" si="6"/>
        <v>1.4883780669900952E-3</v>
      </c>
      <c r="K54" s="109"/>
      <c r="L54" s="103"/>
      <c r="M54" s="88">
        <f t="shared" ref="M54:O55" si="106">TRUNC(L54*$H54,2)</f>
        <v>0</v>
      </c>
      <c r="N54" s="103"/>
      <c r="O54" s="88">
        <f t="shared" si="106"/>
        <v>0</v>
      </c>
      <c r="P54" s="103">
        <v>2151.75</v>
      </c>
      <c r="Q54" s="88">
        <f t="shared" ref="Q54:S54" si="107">TRUNC(P54*$H54,2)</f>
        <v>23615.45</v>
      </c>
      <c r="R54" s="103"/>
      <c r="S54" s="88">
        <f t="shared" si="107"/>
        <v>0</v>
      </c>
      <c r="T54" s="103"/>
      <c r="U54" s="88">
        <f t="shared" ref="U54:W54" si="108">TRUNC(T54*$H54,2)</f>
        <v>0</v>
      </c>
      <c r="V54" s="103"/>
      <c r="W54" s="88">
        <f t="shared" si="108"/>
        <v>0</v>
      </c>
      <c r="X54" s="3">
        <v>2151.75</v>
      </c>
      <c r="Y54" s="3">
        <v>25</v>
      </c>
      <c r="Z54" s="3">
        <v>5</v>
      </c>
      <c r="AA54" s="3">
        <v>705635.65017045464</v>
      </c>
      <c r="AB54">
        <f t="shared" si="7"/>
        <v>0.90909090909090906</v>
      </c>
    </row>
    <row r="55" spans="1:28" ht="52.8" x14ac:dyDescent="0.25">
      <c r="A55" s="93" t="s">
        <v>152</v>
      </c>
      <c r="B55" s="8" t="s">
        <v>153</v>
      </c>
      <c r="C55" s="7" t="s">
        <v>26</v>
      </c>
      <c r="D55" s="7" t="s">
        <v>154</v>
      </c>
      <c r="E55" s="9" t="s">
        <v>28</v>
      </c>
      <c r="F55" s="10">
        <f>F54</f>
        <v>95.695000000000022</v>
      </c>
      <c r="G55" s="11">
        <v>60.48</v>
      </c>
      <c r="H55" s="11">
        <f t="shared" si="5"/>
        <v>75.599999999999994</v>
      </c>
      <c r="I55" s="11">
        <f t="shared" si="105"/>
        <v>7234.5420000000013</v>
      </c>
      <c r="J55" s="86">
        <f t="shared" si="6"/>
        <v>1.0252517709744982E-2</v>
      </c>
      <c r="K55" s="109"/>
      <c r="L55" s="103"/>
      <c r="M55" s="88">
        <f t="shared" si="106"/>
        <v>0</v>
      </c>
      <c r="N55" s="103"/>
      <c r="O55" s="88">
        <f t="shared" si="106"/>
        <v>0</v>
      </c>
      <c r="P55" s="103">
        <v>2151.75</v>
      </c>
      <c r="Q55" s="88">
        <f t="shared" ref="Q55:S55" si="109">TRUNC(P55*$H55,2)</f>
        <v>162672.29999999999</v>
      </c>
      <c r="R55" s="103"/>
      <c r="S55" s="88">
        <f t="shared" si="109"/>
        <v>0</v>
      </c>
      <c r="T55" s="103"/>
      <c r="U55" s="88">
        <f t="shared" ref="U55:W55" si="110">TRUNC(T55*$H55,2)</f>
        <v>0</v>
      </c>
      <c r="V55" s="103"/>
      <c r="W55" s="88">
        <f t="shared" si="110"/>
        <v>0</v>
      </c>
      <c r="X55" s="3">
        <v>2151.75</v>
      </c>
      <c r="Y55" s="3">
        <v>25</v>
      </c>
      <c r="Z55" s="3">
        <v>5</v>
      </c>
      <c r="AA55" s="3">
        <v>705635.65017045464</v>
      </c>
      <c r="AB55">
        <f t="shared" si="7"/>
        <v>0.90909090909090906</v>
      </c>
    </row>
    <row r="56" spans="1:28" x14ac:dyDescent="0.25">
      <c r="A56" s="92" t="s">
        <v>155</v>
      </c>
      <c r="B56" s="4"/>
      <c r="C56" s="4"/>
      <c r="D56" s="4" t="s">
        <v>156</v>
      </c>
      <c r="E56" s="4"/>
      <c r="F56" s="10">
        <f t="shared" ref="F56" si="111">X56/Y56*Z56*AB56</f>
        <v>0</v>
      </c>
      <c r="G56" s="4"/>
      <c r="H56" s="11">
        <f t="shared" si="5"/>
        <v>0</v>
      </c>
      <c r="I56" s="6">
        <f>SUM(I57)</f>
        <v>4465.7954999999993</v>
      </c>
      <c r="J56" s="85">
        <f t="shared" si="6"/>
        <v>6.3287554971481865E-3</v>
      </c>
      <c r="K56" s="108"/>
      <c r="L56" s="116"/>
      <c r="M56" s="117"/>
      <c r="N56" s="116"/>
      <c r="O56" s="117"/>
      <c r="P56" s="116"/>
      <c r="Q56" s="117"/>
      <c r="R56" s="116"/>
      <c r="S56" s="117"/>
      <c r="T56" s="116"/>
      <c r="U56" s="117"/>
      <c r="V56" s="116"/>
      <c r="W56" s="117"/>
      <c r="Y56" s="3">
        <v>25</v>
      </c>
      <c r="Z56" s="3">
        <v>5</v>
      </c>
      <c r="AA56" s="3">
        <v>705635.65017045464</v>
      </c>
      <c r="AB56">
        <f t="shared" si="7"/>
        <v>0.90909090909090906</v>
      </c>
    </row>
    <row r="57" spans="1:28" ht="26.4" x14ac:dyDescent="0.25">
      <c r="A57" s="93" t="s">
        <v>157</v>
      </c>
      <c r="B57" s="8" t="s">
        <v>158</v>
      </c>
      <c r="C57" s="7" t="s">
        <v>26</v>
      </c>
      <c r="D57" s="7" t="s">
        <v>159</v>
      </c>
      <c r="E57" s="9" t="s">
        <v>28</v>
      </c>
      <c r="F57" s="10">
        <f>22.64+38.83</f>
        <v>61.47</v>
      </c>
      <c r="G57" s="11">
        <v>58.12</v>
      </c>
      <c r="H57" s="11">
        <f t="shared" si="5"/>
        <v>72.649999999999991</v>
      </c>
      <c r="I57" s="11">
        <f>F57*H57</f>
        <v>4465.7954999999993</v>
      </c>
      <c r="J57" s="86">
        <f t="shared" si="6"/>
        <v>6.3287554971481865E-3</v>
      </c>
      <c r="K57" s="109"/>
      <c r="L57" s="103"/>
      <c r="M57" s="88">
        <f>TRUNC(L57*$H57,2)</f>
        <v>0</v>
      </c>
      <c r="N57" s="103"/>
      <c r="O57" s="88">
        <f>TRUNC(N57*$H57,2)</f>
        <v>0</v>
      </c>
      <c r="P57" s="103"/>
      <c r="Q57" s="88">
        <f>TRUNC(P57*$H57,2)</f>
        <v>0</v>
      </c>
      <c r="R57" s="103"/>
      <c r="S57" s="88">
        <f>TRUNC(R57*$H57,2)</f>
        <v>0</v>
      </c>
      <c r="T57" s="103"/>
      <c r="U57" s="88">
        <f>TRUNC(T57*$H57,2)</f>
        <v>0</v>
      </c>
      <c r="V57" s="103"/>
      <c r="W57" s="88">
        <f>TRUNC(V57*$H57,2)</f>
        <v>0</v>
      </c>
      <c r="X57" s="3">
        <v>924.25</v>
      </c>
      <c r="Y57" s="3">
        <v>25</v>
      </c>
      <c r="Z57" s="3">
        <v>5</v>
      </c>
      <c r="AA57" s="3">
        <v>705635.65017045464</v>
      </c>
      <c r="AB57">
        <f t="shared" si="7"/>
        <v>0.90909090909090906</v>
      </c>
    </row>
    <row r="58" spans="1:28" x14ac:dyDescent="0.25">
      <c r="A58" s="92" t="s">
        <v>160</v>
      </c>
      <c r="B58" s="4"/>
      <c r="C58" s="4"/>
      <c r="D58" s="4" t="s">
        <v>161</v>
      </c>
      <c r="E58" s="4"/>
      <c r="F58" s="10">
        <f t="shared" si="4"/>
        <v>0</v>
      </c>
      <c r="G58" s="4"/>
      <c r="H58" s="11"/>
      <c r="I58" s="6">
        <f>SUM(I59+I62+I65)</f>
        <v>5986.8967750000011</v>
      </c>
      <c r="J58" s="85">
        <f t="shared" si="6"/>
        <v>8.4844023591407192E-3</v>
      </c>
      <c r="K58" s="108"/>
      <c r="L58" s="116"/>
      <c r="M58" s="117"/>
      <c r="N58" s="116"/>
      <c r="O58" s="117"/>
      <c r="P58" s="116"/>
      <c r="Q58" s="117"/>
      <c r="R58" s="116"/>
      <c r="S58" s="117"/>
      <c r="T58" s="116"/>
      <c r="U58" s="117"/>
      <c r="V58" s="116"/>
      <c r="W58" s="117"/>
      <c r="Y58" s="3">
        <v>25</v>
      </c>
      <c r="Z58" s="3">
        <v>5</v>
      </c>
      <c r="AA58" s="3">
        <v>705635.65017045464</v>
      </c>
      <c r="AB58">
        <f t="shared" si="7"/>
        <v>0.90909090909090906</v>
      </c>
    </row>
    <row r="59" spans="1:28" x14ac:dyDescent="0.25">
      <c r="A59" s="92" t="s">
        <v>162</v>
      </c>
      <c r="B59" s="4"/>
      <c r="C59" s="4"/>
      <c r="D59" s="4" t="s">
        <v>163</v>
      </c>
      <c r="E59" s="4"/>
      <c r="F59" s="10">
        <f t="shared" si="4"/>
        <v>0</v>
      </c>
      <c r="G59" s="4"/>
      <c r="H59" s="11"/>
      <c r="I59" s="6">
        <f>SUM(I60:I61)</f>
        <v>2870.8356749999998</v>
      </c>
      <c r="J59" s="85">
        <f t="shared" si="6"/>
        <v>4.0684391077839043E-3</v>
      </c>
      <c r="K59" s="108"/>
      <c r="L59" s="116"/>
      <c r="M59" s="117"/>
      <c r="N59" s="116"/>
      <c r="O59" s="117"/>
      <c r="P59" s="116"/>
      <c r="Q59" s="117"/>
      <c r="R59" s="116"/>
      <c r="S59" s="117"/>
      <c r="T59" s="116"/>
      <c r="U59" s="117"/>
      <c r="V59" s="116"/>
      <c r="W59" s="117"/>
      <c r="Y59" s="3">
        <v>25</v>
      </c>
      <c r="Z59" s="3">
        <v>5</v>
      </c>
      <c r="AA59" s="3">
        <v>705635.65017045464</v>
      </c>
      <c r="AB59">
        <f t="shared" si="7"/>
        <v>0.90909090909090906</v>
      </c>
    </row>
    <row r="60" spans="1:28" ht="26.4" x14ac:dyDescent="0.25">
      <c r="A60" s="93" t="s">
        <v>164</v>
      </c>
      <c r="B60" s="8" t="s">
        <v>165</v>
      </c>
      <c r="C60" s="7" t="s">
        <v>26</v>
      </c>
      <c r="D60" s="7" t="s">
        <v>166</v>
      </c>
      <c r="E60" s="9" t="s">
        <v>28</v>
      </c>
      <c r="F60" s="10">
        <f>F51</f>
        <v>145.54300000000001</v>
      </c>
      <c r="G60" s="11">
        <v>4.74</v>
      </c>
      <c r="H60" s="11">
        <f t="shared" si="5"/>
        <v>5.9250000000000007</v>
      </c>
      <c r="I60" s="11">
        <f t="shared" ref="I60:I61" si="112">F60*H60</f>
        <v>862.34227500000009</v>
      </c>
      <c r="J60" s="86">
        <f t="shared" si="6"/>
        <v>1.2220786673571426E-3</v>
      </c>
      <c r="K60" s="109"/>
      <c r="L60" s="103"/>
      <c r="M60" s="88">
        <f t="shared" ref="M60:O61" si="113">TRUNC(L60*$H60,2)</f>
        <v>0</v>
      </c>
      <c r="N60" s="103"/>
      <c r="O60" s="88">
        <f t="shared" si="113"/>
        <v>0</v>
      </c>
      <c r="P60" s="103"/>
      <c r="Q60" s="88">
        <f t="shared" ref="Q60:S60" si="114">TRUNC(P60*$H60,2)</f>
        <v>0</v>
      </c>
      <c r="R60" s="103"/>
      <c r="S60" s="88">
        <f t="shared" si="114"/>
        <v>0</v>
      </c>
      <c r="T60" s="103"/>
      <c r="U60" s="88">
        <f t="shared" ref="U60:W60" si="115">TRUNC(T60*$H60,2)</f>
        <v>0</v>
      </c>
      <c r="V60" s="103"/>
      <c r="W60" s="88">
        <f t="shared" si="115"/>
        <v>0</v>
      </c>
      <c r="X60" s="3">
        <v>2431.25</v>
      </c>
      <c r="Y60" s="3">
        <v>25</v>
      </c>
      <c r="Z60" s="3">
        <v>5</v>
      </c>
      <c r="AA60" s="3">
        <v>705635.65017045464</v>
      </c>
      <c r="AB60">
        <f t="shared" si="7"/>
        <v>0.90909090909090906</v>
      </c>
    </row>
    <row r="61" spans="1:28" ht="26.4" x14ac:dyDescent="0.25">
      <c r="A61" s="93" t="s">
        <v>167</v>
      </c>
      <c r="B61" s="8" t="s">
        <v>168</v>
      </c>
      <c r="C61" s="7" t="s">
        <v>26</v>
      </c>
      <c r="D61" s="7" t="s">
        <v>169</v>
      </c>
      <c r="E61" s="9" t="s">
        <v>28</v>
      </c>
      <c r="F61" s="10">
        <f>F60</f>
        <v>145.54300000000001</v>
      </c>
      <c r="G61" s="11">
        <v>11.04</v>
      </c>
      <c r="H61" s="11">
        <f t="shared" si="5"/>
        <v>13.799999999999999</v>
      </c>
      <c r="I61" s="11">
        <f t="shared" si="112"/>
        <v>2008.4933999999998</v>
      </c>
      <c r="J61" s="86">
        <f t="shared" si="6"/>
        <v>2.8463604404267619E-3</v>
      </c>
      <c r="K61" s="109"/>
      <c r="L61" s="103"/>
      <c r="M61" s="88">
        <f t="shared" si="113"/>
        <v>0</v>
      </c>
      <c r="N61" s="103"/>
      <c r="O61" s="88">
        <f t="shared" si="113"/>
        <v>0</v>
      </c>
      <c r="P61" s="103"/>
      <c r="Q61" s="88">
        <f t="shared" ref="Q61:S61" si="116">TRUNC(P61*$H61,2)</f>
        <v>0</v>
      </c>
      <c r="R61" s="103"/>
      <c r="S61" s="88">
        <f t="shared" si="116"/>
        <v>0</v>
      </c>
      <c r="T61" s="103"/>
      <c r="U61" s="88">
        <f t="shared" ref="U61:W61" si="117">TRUNC(T61*$H61,2)</f>
        <v>0</v>
      </c>
      <c r="V61" s="103"/>
      <c r="W61" s="88">
        <f t="shared" si="117"/>
        <v>0</v>
      </c>
      <c r="X61" s="3">
        <v>2431.25</v>
      </c>
      <c r="Y61" s="3">
        <v>25</v>
      </c>
      <c r="Z61" s="3">
        <v>5</v>
      </c>
      <c r="AA61" s="3">
        <v>705635.65017045464</v>
      </c>
      <c r="AB61">
        <f t="shared" si="7"/>
        <v>0.90909090909090906</v>
      </c>
    </row>
    <row r="62" spans="1:28" x14ac:dyDescent="0.25">
      <c r="A62" s="92" t="s">
        <v>170</v>
      </c>
      <c r="B62" s="4"/>
      <c r="C62" s="4"/>
      <c r="D62" s="4" t="s">
        <v>171</v>
      </c>
      <c r="E62" s="4"/>
      <c r="F62" s="10">
        <f t="shared" si="4"/>
        <v>0</v>
      </c>
      <c r="G62" s="4"/>
      <c r="H62" s="11">
        <f t="shared" ref="H62:H105" si="118">G62*1.25</f>
        <v>0</v>
      </c>
      <c r="I62" s="6">
        <f>SUM(I63:I64)</f>
        <v>2565.6931000000004</v>
      </c>
      <c r="J62" s="85">
        <f t="shared" si="6"/>
        <v>3.6360026585678133E-3</v>
      </c>
      <c r="K62" s="108"/>
      <c r="L62" s="116"/>
      <c r="M62" s="117"/>
      <c r="N62" s="116"/>
      <c r="O62" s="117"/>
      <c r="P62" s="116"/>
      <c r="Q62" s="117"/>
      <c r="R62" s="116"/>
      <c r="S62" s="117"/>
      <c r="T62" s="116"/>
      <c r="U62" s="117"/>
      <c r="V62" s="116"/>
      <c r="W62" s="117"/>
      <c r="Y62" s="3">
        <v>25</v>
      </c>
      <c r="Z62" s="3">
        <v>5</v>
      </c>
      <c r="AA62" s="3">
        <v>705635.65017045464</v>
      </c>
      <c r="AB62">
        <f t="shared" si="7"/>
        <v>0.90909090909090906</v>
      </c>
    </row>
    <row r="63" spans="1:28" ht="26.4" x14ac:dyDescent="0.25">
      <c r="A63" s="93" t="s">
        <v>172</v>
      </c>
      <c r="B63" s="8" t="s">
        <v>173</v>
      </c>
      <c r="C63" s="7" t="s">
        <v>26</v>
      </c>
      <c r="D63" s="7" t="s">
        <v>174</v>
      </c>
      <c r="E63" s="9" t="s">
        <v>28</v>
      </c>
      <c r="F63" s="10">
        <f>F55+4.54*1.8*2</f>
        <v>112.03900000000002</v>
      </c>
      <c r="G63" s="11">
        <v>5.63</v>
      </c>
      <c r="H63" s="11">
        <f t="shared" si="118"/>
        <v>7.0374999999999996</v>
      </c>
      <c r="I63" s="11">
        <f t="shared" ref="I63:I64" si="119">F63*H63</f>
        <v>788.47446250000007</v>
      </c>
      <c r="J63" s="86">
        <f t="shared" ref="J63:J105" si="120">I63/AA63</f>
        <v>1.1173960135227503E-3</v>
      </c>
      <c r="K63" s="109"/>
      <c r="L63" s="103"/>
      <c r="M63" s="88">
        <f t="shared" ref="M63:O64" si="121">TRUNC(L63*$H63,2)</f>
        <v>0</v>
      </c>
      <c r="N63" s="103"/>
      <c r="O63" s="88">
        <f t="shared" si="121"/>
        <v>0</v>
      </c>
      <c r="P63" s="103"/>
      <c r="Q63" s="88">
        <f t="shared" ref="Q63:S63" si="122">TRUNC(P63*$H63,2)</f>
        <v>0</v>
      </c>
      <c r="R63" s="103"/>
      <c r="S63" s="88">
        <f t="shared" si="122"/>
        <v>0</v>
      </c>
      <c r="T63" s="103"/>
      <c r="U63" s="88">
        <f t="shared" ref="U63:W63" si="123">TRUNC(T63*$H63,2)</f>
        <v>0</v>
      </c>
      <c r="V63" s="103"/>
      <c r="W63" s="88">
        <f t="shared" si="123"/>
        <v>0</v>
      </c>
      <c r="X63" s="3">
        <v>2151.75</v>
      </c>
      <c r="Y63" s="3">
        <v>25</v>
      </c>
      <c r="Z63" s="3">
        <v>5</v>
      </c>
      <c r="AA63" s="3">
        <v>705635.65017045464</v>
      </c>
      <c r="AB63">
        <f t="shared" si="7"/>
        <v>0.90909090909090906</v>
      </c>
    </row>
    <row r="64" spans="1:28" ht="26.4" x14ac:dyDescent="0.25">
      <c r="A64" s="93" t="s">
        <v>175</v>
      </c>
      <c r="B64" s="8" t="s">
        <v>176</v>
      </c>
      <c r="C64" s="7" t="s">
        <v>26</v>
      </c>
      <c r="D64" s="7" t="s">
        <v>177</v>
      </c>
      <c r="E64" s="9" t="s">
        <v>28</v>
      </c>
      <c r="F64" s="10">
        <f>F63</f>
        <v>112.03900000000002</v>
      </c>
      <c r="G64" s="11">
        <v>12.69</v>
      </c>
      <c r="H64" s="11">
        <f t="shared" si="118"/>
        <v>15.862499999999999</v>
      </c>
      <c r="I64" s="11">
        <f t="shared" si="119"/>
        <v>1777.2186375000001</v>
      </c>
      <c r="J64" s="86">
        <f t="shared" si="120"/>
        <v>2.5186066450450626E-3</v>
      </c>
      <c r="K64" s="109"/>
      <c r="L64" s="103"/>
      <c r="M64" s="88">
        <f t="shared" si="121"/>
        <v>0</v>
      </c>
      <c r="N64" s="103"/>
      <c r="O64" s="88">
        <f t="shared" si="121"/>
        <v>0</v>
      </c>
      <c r="P64" s="103"/>
      <c r="Q64" s="88">
        <f t="shared" ref="Q64:S64" si="124">TRUNC(P64*$H64,2)</f>
        <v>0</v>
      </c>
      <c r="R64" s="103"/>
      <c r="S64" s="88">
        <f t="shared" si="124"/>
        <v>0</v>
      </c>
      <c r="T64" s="103"/>
      <c r="U64" s="88">
        <f t="shared" ref="U64:W64" si="125">TRUNC(T64*$H64,2)</f>
        <v>0</v>
      </c>
      <c r="V64" s="103"/>
      <c r="W64" s="88">
        <f t="shared" si="125"/>
        <v>0</v>
      </c>
      <c r="X64" s="3">
        <v>2151.75</v>
      </c>
      <c r="Y64" s="3">
        <v>25</v>
      </c>
      <c r="Z64" s="3">
        <v>5</v>
      </c>
      <c r="AA64" s="3">
        <v>705635.65017045464</v>
      </c>
      <c r="AB64">
        <f t="shared" ref="AB64:AB105" si="126">50/55</f>
        <v>0.90909090909090906</v>
      </c>
    </row>
    <row r="65" spans="1:28" x14ac:dyDescent="0.25">
      <c r="A65" s="92" t="s">
        <v>178</v>
      </c>
      <c r="B65" s="4"/>
      <c r="C65" s="4"/>
      <c r="D65" s="4" t="s">
        <v>179</v>
      </c>
      <c r="E65" s="4"/>
      <c r="F65" s="10">
        <f t="shared" ref="F65" si="127">X65/Y65*Z65*AB65</f>
        <v>0</v>
      </c>
      <c r="G65" s="4"/>
      <c r="H65" s="11">
        <f t="shared" si="118"/>
        <v>0</v>
      </c>
      <c r="I65" s="6">
        <f>SUM(I66:I66)</f>
        <v>550.36800000000017</v>
      </c>
      <c r="J65" s="85">
        <f t="shared" si="120"/>
        <v>7.7996059278900138E-4</v>
      </c>
      <c r="K65" s="108"/>
      <c r="L65" s="116"/>
      <c r="M65" s="117"/>
      <c r="N65" s="116"/>
      <c r="O65" s="117"/>
      <c r="P65" s="116"/>
      <c r="Q65" s="117"/>
      <c r="R65" s="116"/>
      <c r="S65" s="117"/>
      <c r="T65" s="116"/>
      <c r="U65" s="117"/>
      <c r="V65" s="116"/>
      <c r="W65" s="117"/>
      <c r="Y65" s="3">
        <v>25</v>
      </c>
      <c r="Z65" s="3">
        <v>5</v>
      </c>
      <c r="AA65" s="3">
        <v>705635.65017045464</v>
      </c>
      <c r="AB65">
        <f t="shared" si="126"/>
        <v>0.90909090909090906</v>
      </c>
    </row>
    <row r="66" spans="1:28" ht="39.6" x14ac:dyDescent="0.25">
      <c r="A66" s="93" t="s">
        <v>180</v>
      </c>
      <c r="B66" s="8" t="s">
        <v>181</v>
      </c>
      <c r="C66" s="7" t="s">
        <v>26</v>
      </c>
      <c r="D66" s="7" t="s">
        <v>182</v>
      </c>
      <c r="E66" s="9" t="s">
        <v>28</v>
      </c>
      <c r="F66" s="10">
        <f>F39*3</f>
        <v>16.380000000000003</v>
      </c>
      <c r="G66" s="11">
        <v>26.88</v>
      </c>
      <c r="H66" s="11">
        <f t="shared" si="118"/>
        <v>33.6</v>
      </c>
      <c r="I66" s="11">
        <f t="shared" ref="I66" si="128">F66*H66</f>
        <v>550.36800000000017</v>
      </c>
      <c r="J66" s="86">
        <f t="shared" si="120"/>
        <v>7.7996059278900138E-4</v>
      </c>
      <c r="K66" s="109"/>
      <c r="L66" s="103"/>
      <c r="M66" s="88">
        <f t="shared" ref="M66:O66" si="129">TRUNC(L66*$H66,2)</f>
        <v>0</v>
      </c>
      <c r="N66" s="103"/>
      <c r="O66" s="88">
        <f t="shared" si="129"/>
        <v>0</v>
      </c>
      <c r="P66" s="103"/>
      <c r="Q66" s="88">
        <f t="shared" ref="Q66:S66" si="130">TRUNC(P66*$H66,2)</f>
        <v>0</v>
      </c>
      <c r="R66" s="103"/>
      <c r="S66" s="88">
        <f t="shared" si="130"/>
        <v>0</v>
      </c>
      <c r="T66" s="103"/>
      <c r="U66" s="88">
        <f t="shared" ref="U66:W66" si="131">TRUNC(T66*$H66,2)</f>
        <v>0</v>
      </c>
      <c r="V66" s="103"/>
      <c r="W66" s="88">
        <f t="shared" si="131"/>
        <v>0</v>
      </c>
      <c r="X66" s="3">
        <v>420</v>
      </c>
      <c r="Y66" s="3">
        <v>25</v>
      </c>
      <c r="Z66" s="3">
        <v>5</v>
      </c>
      <c r="AA66" s="3">
        <v>705635.65017045464</v>
      </c>
      <c r="AB66">
        <f t="shared" si="126"/>
        <v>0.90909090909090906</v>
      </c>
    </row>
    <row r="67" spans="1:28" x14ac:dyDescent="0.25">
      <c r="A67" s="92" t="s">
        <v>183</v>
      </c>
      <c r="B67" s="4"/>
      <c r="C67" s="4"/>
      <c r="D67" s="4" t="s">
        <v>184</v>
      </c>
      <c r="E67" s="4"/>
      <c r="F67" s="10">
        <f t="shared" ref="F67:F95" si="132">X67/Y67*Z67</f>
        <v>0</v>
      </c>
      <c r="G67" s="4"/>
      <c r="H67" s="11">
        <f t="shared" si="118"/>
        <v>0</v>
      </c>
      <c r="I67" s="6">
        <f>SUM(I68:I73)</f>
        <v>10060.505027499999</v>
      </c>
      <c r="J67" s="85">
        <f t="shared" si="120"/>
        <v>1.4257365008513623E-2</v>
      </c>
      <c r="K67" s="108"/>
      <c r="L67" s="116"/>
      <c r="M67" s="117"/>
      <c r="N67" s="116"/>
      <c r="O67" s="117"/>
      <c r="P67" s="116"/>
      <c r="Q67" s="117"/>
      <c r="R67" s="116"/>
      <c r="S67" s="117"/>
      <c r="T67" s="116"/>
      <c r="U67" s="117"/>
      <c r="V67" s="116"/>
      <c r="W67" s="117"/>
      <c r="Y67" s="3">
        <v>25</v>
      </c>
      <c r="Z67" s="3">
        <v>5</v>
      </c>
      <c r="AA67" s="3">
        <v>705635.65017045464</v>
      </c>
      <c r="AB67">
        <f t="shared" si="126"/>
        <v>0.90909090909090906</v>
      </c>
    </row>
    <row r="68" spans="1:28" ht="39.6" x14ac:dyDescent="0.25">
      <c r="A68" s="93" t="s">
        <v>185</v>
      </c>
      <c r="B68" s="8" t="s">
        <v>186</v>
      </c>
      <c r="C68" s="7" t="s">
        <v>26</v>
      </c>
      <c r="D68" s="7" t="s">
        <v>187</v>
      </c>
      <c r="E68" s="9" t="s">
        <v>28</v>
      </c>
      <c r="F68" s="10">
        <v>69.67</v>
      </c>
      <c r="G68" s="11">
        <v>0.75</v>
      </c>
      <c r="H68" s="11">
        <f t="shared" si="118"/>
        <v>0.9375</v>
      </c>
      <c r="I68" s="11">
        <f t="shared" ref="I68:I73" si="133">F68*H68</f>
        <v>65.315624999999997</v>
      </c>
      <c r="J68" s="86">
        <f t="shared" si="120"/>
        <v>9.2562819047226755E-5</v>
      </c>
      <c r="K68" s="109"/>
      <c r="L68" s="103"/>
      <c r="M68" s="88">
        <f t="shared" ref="M68:O73" si="134">TRUNC(L68*$H68,2)</f>
        <v>0</v>
      </c>
      <c r="N68" s="103"/>
      <c r="O68" s="88">
        <f t="shared" si="134"/>
        <v>0</v>
      </c>
      <c r="P68" s="103"/>
      <c r="Q68" s="88">
        <f t="shared" ref="Q68:S68" si="135">TRUNC(P68*$H68,2)</f>
        <v>0</v>
      </c>
      <c r="R68" s="103"/>
      <c r="S68" s="88">
        <f t="shared" si="135"/>
        <v>0</v>
      </c>
      <c r="T68" s="103"/>
      <c r="U68" s="88">
        <f t="shared" ref="U68:W68" si="136">TRUNC(T68*$H68,2)</f>
        <v>0</v>
      </c>
      <c r="V68" s="103"/>
      <c r="W68" s="88">
        <f t="shared" si="136"/>
        <v>0</v>
      </c>
      <c r="X68" s="3">
        <v>609.25</v>
      </c>
      <c r="Y68" s="3">
        <v>25</v>
      </c>
      <c r="Z68" s="3">
        <v>5</v>
      </c>
      <c r="AA68" s="3">
        <v>705635.65017045464</v>
      </c>
      <c r="AB68">
        <f t="shared" si="126"/>
        <v>0.90909090909090906</v>
      </c>
    </row>
    <row r="69" spans="1:28" ht="26.4" x14ac:dyDescent="0.25">
      <c r="A69" s="93" t="s">
        <v>188</v>
      </c>
      <c r="B69" s="8" t="s">
        <v>189</v>
      </c>
      <c r="C69" s="7" t="s">
        <v>26</v>
      </c>
      <c r="D69" s="7" t="s">
        <v>190</v>
      </c>
      <c r="E69" s="9" t="s">
        <v>28</v>
      </c>
      <c r="F69" s="10">
        <f>F57</f>
        <v>61.47</v>
      </c>
      <c r="G69" s="11">
        <v>2.81</v>
      </c>
      <c r="H69" s="11">
        <f t="shared" si="118"/>
        <v>3.5125000000000002</v>
      </c>
      <c r="I69" s="11">
        <f t="shared" si="133"/>
        <v>215.913375</v>
      </c>
      <c r="J69" s="86">
        <f t="shared" si="120"/>
        <v>3.0598422138655208E-4</v>
      </c>
      <c r="K69" s="109"/>
      <c r="L69" s="103"/>
      <c r="M69" s="88">
        <f t="shared" si="134"/>
        <v>0</v>
      </c>
      <c r="N69" s="103"/>
      <c r="O69" s="88">
        <f t="shared" si="134"/>
        <v>0</v>
      </c>
      <c r="P69" s="103"/>
      <c r="Q69" s="88">
        <f t="shared" ref="Q69:S69" si="137">TRUNC(P69*$H69,2)</f>
        <v>0</v>
      </c>
      <c r="R69" s="103"/>
      <c r="S69" s="88">
        <f t="shared" si="137"/>
        <v>0</v>
      </c>
      <c r="T69" s="103"/>
      <c r="U69" s="88">
        <f t="shared" ref="U69:W69" si="138">TRUNC(T69*$H69,2)</f>
        <v>0</v>
      </c>
      <c r="V69" s="103"/>
      <c r="W69" s="88">
        <f t="shared" si="138"/>
        <v>0</v>
      </c>
      <c r="X69" s="3">
        <v>1217.5</v>
      </c>
      <c r="Y69" s="3">
        <v>25</v>
      </c>
      <c r="Z69" s="3">
        <v>5</v>
      </c>
      <c r="AA69" s="3">
        <v>705635.65017045464</v>
      </c>
      <c r="AB69">
        <f t="shared" si="126"/>
        <v>0.90909090909090906</v>
      </c>
    </row>
    <row r="70" spans="1:28" ht="26.4" x14ac:dyDescent="0.25">
      <c r="A70" s="93" t="s">
        <v>191</v>
      </c>
      <c r="B70" s="8" t="s">
        <v>192</v>
      </c>
      <c r="C70" s="7" t="s">
        <v>26</v>
      </c>
      <c r="D70" s="7" t="s">
        <v>193</v>
      </c>
      <c r="E70" s="9" t="s">
        <v>28</v>
      </c>
      <c r="F70" s="10">
        <f>F69</f>
        <v>61.47</v>
      </c>
      <c r="G70" s="11">
        <v>44.84</v>
      </c>
      <c r="H70" s="11">
        <f t="shared" si="118"/>
        <v>56.050000000000004</v>
      </c>
      <c r="I70" s="11">
        <f t="shared" si="133"/>
        <v>3445.3935000000001</v>
      </c>
      <c r="J70" s="86">
        <f t="shared" si="120"/>
        <v>4.8826806003462618E-3</v>
      </c>
      <c r="K70" s="109"/>
      <c r="L70" s="103"/>
      <c r="M70" s="88">
        <f t="shared" si="134"/>
        <v>0</v>
      </c>
      <c r="N70" s="103"/>
      <c r="O70" s="88">
        <f t="shared" si="134"/>
        <v>0</v>
      </c>
      <c r="P70" s="103"/>
      <c r="Q70" s="88">
        <f t="shared" ref="Q70:S70" si="139">TRUNC(P70*$H70,2)</f>
        <v>0</v>
      </c>
      <c r="R70" s="103"/>
      <c r="S70" s="88">
        <f t="shared" si="139"/>
        <v>0</v>
      </c>
      <c r="T70" s="103"/>
      <c r="U70" s="88">
        <f t="shared" ref="U70:W70" si="140">TRUNC(T70*$H70,2)</f>
        <v>0</v>
      </c>
      <c r="V70" s="103"/>
      <c r="W70" s="88">
        <f t="shared" si="140"/>
        <v>0</v>
      </c>
      <c r="X70" s="3">
        <v>1217.5</v>
      </c>
      <c r="Y70" s="3">
        <v>25</v>
      </c>
      <c r="Z70" s="3">
        <v>5</v>
      </c>
      <c r="AA70" s="3">
        <v>705635.65017045464</v>
      </c>
      <c r="AB70">
        <f t="shared" si="126"/>
        <v>0.90909090909090906</v>
      </c>
    </row>
    <row r="71" spans="1:28" ht="39.6" x14ac:dyDescent="0.25">
      <c r="A71" s="93" t="s">
        <v>194</v>
      </c>
      <c r="B71" s="8" t="s">
        <v>195</v>
      </c>
      <c r="C71" s="7" t="s">
        <v>26</v>
      </c>
      <c r="D71" s="7" t="s">
        <v>196</v>
      </c>
      <c r="E71" s="9" t="s">
        <v>28</v>
      </c>
      <c r="F71" s="10">
        <f>F69</f>
        <v>61.47</v>
      </c>
      <c r="G71" s="11">
        <v>56.77</v>
      </c>
      <c r="H71" s="11">
        <f t="shared" si="118"/>
        <v>70.962500000000006</v>
      </c>
      <c r="I71" s="11">
        <f t="shared" si="133"/>
        <v>4362.064875</v>
      </c>
      <c r="J71" s="86">
        <f t="shared" si="120"/>
        <v>6.1817524014642564E-3</v>
      </c>
      <c r="K71" s="109"/>
      <c r="L71" s="103"/>
      <c r="M71" s="88">
        <f t="shared" si="134"/>
        <v>0</v>
      </c>
      <c r="N71" s="103"/>
      <c r="O71" s="88">
        <f t="shared" si="134"/>
        <v>0</v>
      </c>
      <c r="P71" s="103"/>
      <c r="Q71" s="88">
        <f t="shared" ref="Q71:S71" si="141">TRUNC(P71*$H71,2)</f>
        <v>0</v>
      </c>
      <c r="R71" s="103"/>
      <c r="S71" s="88">
        <f t="shared" si="141"/>
        <v>0</v>
      </c>
      <c r="T71" s="103"/>
      <c r="U71" s="88">
        <f t="shared" ref="U71:W71" si="142">TRUNC(T71*$H71,2)</f>
        <v>0</v>
      </c>
      <c r="V71" s="103"/>
      <c r="W71" s="88">
        <f t="shared" si="142"/>
        <v>0</v>
      </c>
      <c r="X71" s="3">
        <v>452.25</v>
      </c>
      <c r="Y71" s="3">
        <v>25</v>
      </c>
      <c r="Z71" s="3">
        <v>5</v>
      </c>
      <c r="AA71" s="3">
        <v>705635.65017045464</v>
      </c>
      <c r="AB71">
        <f t="shared" si="126"/>
        <v>0.90909090909090906</v>
      </c>
    </row>
    <row r="72" spans="1:28" ht="39.6" x14ac:dyDescent="0.25">
      <c r="A72" s="93" t="s">
        <v>197</v>
      </c>
      <c r="B72" s="8" t="s">
        <v>198</v>
      </c>
      <c r="C72" s="7" t="s">
        <v>26</v>
      </c>
      <c r="D72" s="7" t="s">
        <v>199</v>
      </c>
      <c r="E72" s="9" t="s">
        <v>40</v>
      </c>
      <c r="F72" s="10">
        <f>14.27*0.07+4.69*0.6*0.07</f>
        <v>1.1958800000000001</v>
      </c>
      <c r="G72" s="11">
        <v>958.15</v>
      </c>
      <c r="H72" s="11">
        <f t="shared" si="118"/>
        <v>1197.6875</v>
      </c>
      <c r="I72" s="11">
        <f t="shared" si="133"/>
        <v>1432.2905275000001</v>
      </c>
      <c r="J72" s="86">
        <f t="shared" si="120"/>
        <v>2.0297876491274405E-3</v>
      </c>
      <c r="K72" s="109"/>
      <c r="L72" s="103"/>
      <c r="M72" s="88">
        <f t="shared" si="134"/>
        <v>0</v>
      </c>
      <c r="N72" s="103"/>
      <c r="O72" s="88">
        <f t="shared" si="134"/>
        <v>0</v>
      </c>
      <c r="P72" s="103"/>
      <c r="Q72" s="88">
        <f t="shared" ref="Q72:S72" si="143">TRUNC(P72*$H72,2)</f>
        <v>0</v>
      </c>
      <c r="R72" s="103"/>
      <c r="S72" s="88">
        <f t="shared" si="143"/>
        <v>0</v>
      </c>
      <c r="T72" s="103"/>
      <c r="U72" s="88">
        <f t="shared" ref="U72:W72" si="144">TRUNC(T72*$H72,2)</f>
        <v>0</v>
      </c>
      <c r="V72" s="103"/>
      <c r="W72" s="88">
        <f t="shared" si="144"/>
        <v>0</v>
      </c>
      <c r="X72" s="3">
        <v>24.5</v>
      </c>
      <c r="Y72" s="3">
        <v>25</v>
      </c>
      <c r="Z72" s="3">
        <v>5</v>
      </c>
      <c r="AA72" s="3">
        <v>705635.65017045464</v>
      </c>
      <c r="AB72">
        <f t="shared" si="126"/>
        <v>0.90909090909090906</v>
      </c>
    </row>
    <row r="73" spans="1:28" ht="26.4" x14ac:dyDescent="0.25">
      <c r="A73" s="93" t="s">
        <v>200</v>
      </c>
      <c r="B73" s="8" t="s">
        <v>201</v>
      </c>
      <c r="C73" s="7" t="s">
        <v>26</v>
      </c>
      <c r="D73" s="7" t="s">
        <v>202</v>
      </c>
      <c r="E73" s="9" t="s">
        <v>29</v>
      </c>
      <c r="F73" s="10">
        <f>13.4+3.84*4+8.65+4.54+4.45+1.95+1.2*2+2.34</f>
        <v>53.09</v>
      </c>
      <c r="G73" s="11">
        <v>8.1300000000000008</v>
      </c>
      <c r="H73" s="11">
        <f t="shared" si="118"/>
        <v>10.162500000000001</v>
      </c>
      <c r="I73" s="11">
        <f t="shared" si="133"/>
        <v>539.52712500000007</v>
      </c>
      <c r="J73" s="86">
        <f t="shared" si="120"/>
        <v>7.645973171418861E-4</v>
      </c>
      <c r="K73" s="109"/>
      <c r="L73" s="103"/>
      <c r="M73" s="88">
        <f t="shared" si="134"/>
        <v>0</v>
      </c>
      <c r="N73" s="103"/>
      <c r="O73" s="88">
        <f t="shared" si="134"/>
        <v>0</v>
      </c>
      <c r="P73" s="103"/>
      <c r="Q73" s="88">
        <f t="shared" ref="Q73:S73" si="145">TRUNC(P73*$H73,2)</f>
        <v>0</v>
      </c>
      <c r="R73" s="103"/>
      <c r="S73" s="88">
        <f t="shared" si="145"/>
        <v>0</v>
      </c>
      <c r="T73" s="103"/>
      <c r="U73" s="88">
        <f t="shared" ref="U73:W73" si="146">TRUNC(T73*$H73,2)</f>
        <v>0</v>
      </c>
      <c r="V73" s="103"/>
      <c r="W73" s="88">
        <f t="shared" si="146"/>
        <v>0</v>
      </c>
      <c r="X73" s="3">
        <v>893.75</v>
      </c>
      <c r="Y73" s="3">
        <v>25</v>
      </c>
      <c r="Z73" s="3">
        <v>5</v>
      </c>
      <c r="AA73" s="3">
        <v>705635.65017045464</v>
      </c>
      <c r="AB73">
        <f t="shared" si="126"/>
        <v>0.90909090909090906</v>
      </c>
    </row>
    <row r="74" spans="1:28" x14ac:dyDescent="0.25">
      <c r="A74" s="92" t="s">
        <v>203</v>
      </c>
      <c r="B74" s="4"/>
      <c r="C74" s="4"/>
      <c r="D74" s="4" t="s">
        <v>204</v>
      </c>
      <c r="E74" s="4"/>
      <c r="F74" s="10">
        <f t="shared" si="132"/>
        <v>0</v>
      </c>
      <c r="G74" s="4"/>
      <c r="H74" s="11">
        <f t="shared" si="118"/>
        <v>0</v>
      </c>
      <c r="I74" s="6">
        <f>SUM(I75:I94)</f>
        <v>6641.6887500000003</v>
      </c>
      <c r="J74" s="85">
        <f t="shared" si="120"/>
        <v>9.4123486368575936E-3</v>
      </c>
      <c r="K74" s="108"/>
      <c r="L74" s="116"/>
      <c r="M74" s="117"/>
      <c r="N74" s="116"/>
      <c r="O74" s="117"/>
      <c r="P74" s="116"/>
      <c r="Q74" s="117"/>
      <c r="R74" s="116"/>
      <c r="S74" s="117"/>
      <c r="T74" s="116"/>
      <c r="U74" s="117"/>
      <c r="V74" s="116"/>
      <c r="W74" s="117"/>
      <c r="Y74" s="3">
        <v>25</v>
      </c>
      <c r="Z74" s="3">
        <v>5</v>
      </c>
      <c r="AA74" s="3">
        <v>705635.65017045464</v>
      </c>
      <c r="AB74">
        <f t="shared" si="126"/>
        <v>0.90909090909090906</v>
      </c>
    </row>
    <row r="75" spans="1:28" ht="26.4" x14ac:dyDescent="0.25">
      <c r="A75" s="93" t="s">
        <v>205</v>
      </c>
      <c r="B75" s="8" t="s">
        <v>206</v>
      </c>
      <c r="C75" s="7" t="s">
        <v>26</v>
      </c>
      <c r="D75" s="7" t="s">
        <v>207</v>
      </c>
      <c r="E75" s="9" t="s">
        <v>208</v>
      </c>
      <c r="F75" s="10">
        <v>2</v>
      </c>
      <c r="G75" s="11">
        <v>11.96</v>
      </c>
      <c r="H75" s="11">
        <f t="shared" si="118"/>
        <v>14.950000000000001</v>
      </c>
      <c r="I75" s="11">
        <f t="shared" ref="I75:I94" si="147">F75*H75</f>
        <v>29.900000000000002</v>
      </c>
      <c r="J75" s="86">
        <f t="shared" si="120"/>
        <v>4.2373142559871096E-5</v>
      </c>
      <c r="K75" s="109"/>
      <c r="L75" s="103"/>
      <c r="M75" s="88">
        <f t="shared" ref="M75:O94" si="148">TRUNC(L75*$H75,2)</f>
        <v>0</v>
      </c>
      <c r="N75" s="103"/>
      <c r="O75" s="88">
        <f t="shared" si="148"/>
        <v>0</v>
      </c>
      <c r="P75" s="103"/>
      <c r="Q75" s="88">
        <f t="shared" ref="Q75:S75" si="149">TRUNC(P75*$H75,2)</f>
        <v>0</v>
      </c>
      <c r="R75" s="103"/>
      <c r="S75" s="88">
        <f t="shared" si="149"/>
        <v>0</v>
      </c>
      <c r="T75" s="103"/>
      <c r="U75" s="88">
        <f t="shared" ref="U75:W75" si="150">TRUNC(T75*$H75,2)</f>
        <v>0</v>
      </c>
      <c r="V75" s="103"/>
      <c r="W75" s="88">
        <f t="shared" si="150"/>
        <v>0</v>
      </c>
      <c r="X75" s="3">
        <v>100</v>
      </c>
      <c r="Y75" s="3">
        <v>25</v>
      </c>
      <c r="Z75" s="3">
        <v>5</v>
      </c>
      <c r="AA75" s="3">
        <v>705635.65017045464</v>
      </c>
      <c r="AB75">
        <f t="shared" si="126"/>
        <v>0.90909090909090906</v>
      </c>
    </row>
    <row r="76" spans="1:28" ht="26.4" x14ac:dyDescent="0.25">
      <c r="A76" s="93" t="s">
        <v>209</v>
      </c>
      <c r="B76" s="8" t="s">
        <v>210</v>
      </c>
      <c r="C76" s="7" t="s">
        <v>26</v>
      </c>
      <c r="D76" s="7" t="s">
        <v>211</v>
      </c>
      <c r="E76" s="9" t="s">
        <v>208</v>
      </c>
      <c r="F76" s="10">
        <f t="shared" si="132"/>
        <v>5</v>
      </c>
      <c r="G76" s="11">
        <v>11.96</v>
      </c>
      <c r="H76" s="11">
        <f t="shared" si="118"/>
        <v>14.950000000000001</v>
      </c>
      <c r="I76" s="11">
        <f t="shared" si="147"/>
        <v>74.75</v>
      </c>
      <c r="J76" s="86">
        <f t="shared" si="120"/>
        <v>1.0593285639967772E-4</v>
      </c>
      <c r="K76" s="109"/>
      <c r="L76" s="103"/>
      <c r="M76" s="88">
        <f t="shared" si="148"/>
        <v>0</v>
      </c>
      <c r="N76" s="103"/>
      <c r="O76" s="88">
        <f t="shared" si="148"/>
        <v>0</v>
      </c>
      <c r="P76" s="103"/>
      <c r="Q76" s="88">
        <f t="shared" ref="Q76:S76" si="151">TRUNC(P76*$H76,2)</f>
        <v>0</v>
      </c>
      <c r="R76" s="103"/>
      <c r="S76" s="88">
        <f t="shared" si="151"/>
        <v>0</v>
      </c>
      <c r="T76" s="103"/>
      <c r="U76" s="88">
        <f t="shared" ref="U76:W76" si="152">TRUNC(T76*$H76,2)</f>
        <v>0</v>
      </c>
      <c r="V76" s="103"/>
      <c r="W76" s="88">
        <f t="shared" si="152"/>
        <v>0</v>
      </c>
      <c r="X76" s="3">
        <v>25</v>
      </c>
      <c r="Y76" s="3">
        <v>25</v>
      </c>
      <c r="Z76" s="3">
        <v>5</v>
      </c>
      <c r="AA76" s="3">
        <v>705635.65017045464</v>
      </c>
      <c r="AB76">
        <f t="shared" si="126"/>
        <v>0.90909090909090906</v>
      </c>
    </row>
    <row r="77" spans="1:28" ht="26.4" x14ac:dyDescent="0.25">
      <c r="A77" s="93" t="s">
        <v>212</v>
      </c>
      <c r="B77" s="8" t="s">
        <v>213</v>
      </c>
      <c r="C77" s="7" t="s">
        <v>26</v>
      </c>
      <c r="D77" s="7" t="s">
        <v>214</v>
      </c>
      <c r="E77" s="9" t="s">
        <v>208</v>
      </c>
      <c r="F77" s="10">
        <v>2</v>
      </c>
      <c r="G77" s="11">
        <v>14.12</v>
      </c>
      <c r="H77" s="11">
        <f t="shared" si="118"/>
        <v>17.649999999999999</v>
      </c>
      <c r="I77" s="11">
        <f t="shared" si="147"/>
        <v>35.299999999999997</v>
      </c>
      <c r="J77" s="86">
        <f t="shared" si="120"/>
        <v>5.0025817135901318E-5</v>
      </c>
      <c r="K77" s="109"/>
      <c r="L77" s="103"/>
      <c r="M77" s="88">
        <f t="shared" si="148"/>
        <v>0</v>
      </c>
      <c r="N77" s="103"/>
      <c r="O77" s="88">
        <f t="shared" si="148"/>
        <v>0</v>
      </c>
      <c r="P77" s="103"/>
      <c r="Q77" s="88">
        <f t="shared" ref="Q77:S77" si="153">TRUNC(P77*$H77,2)</f>
        <v>0</v>
      </c>
      <c r="R77" s="103"/>
      <c r="S77" s="88">
        <f t="shared" si="153"/>
        <v>0</v>
      </c>
      <c r="T77" s="103"/>
      <c r="U77" s="88">
        <f t="shared" ref="U77:W77" si="154">TRUNC(T77*$H77,2)</f>
        <v>0</v>
      </c>
      <c r="V77" s="103"/>
      <c r="W77" s="88">
        <f t="shared" si="154"/>
        <v>0</v>
      </c>
      <c r="X77" s="3">
        <v>25</v>
      </c>
      <c r="Y77" s="3">
        <v>25</v>
      </c>
      <c r="Z77" s="3">
        <v>5</v>
      </c>
      <c r="AA77" s="3">
        <v>705635.65017045464</v>
      </c>
      <c r="AB77">
        <f t="shared" si="126"/>
        <v>0.90909090909090906</v>
      </c>
    </row>
    <row r="78" spans="1:28" ht="26.4" x14ac:dyDescent="0.25">
      <c r="A78" s="93" t="s">
        <v>215</v>
      </c>
      <c r="B78" s="8" t="s">
        <v>216</v>
      </c>
      <c r="C78" s="7" t="s">
        <v>26</v>
      </c>
      <c r="D78" s="7" t="s">
        <v>217</v>
      </c>
      <c r="E78" s="9" t="s">
        <v>208</v>
      </c>
      <c r="F78" s="10">
        <v>1</v>
      </c>
      <c r="G78" s="11">
        <v>26.07</v>
      </c>
      <c r="H78" s="11">
        <f t="shared" si="118"/>
        <v>32.587499999999999</v>
      </c>
      <c r="I78" s="11">
        <f t="shared" si="147"/>
        <v>32.587499999999999</v>
      </c>
      <c r="J78" s="86">
        <f t="shared" si="120"/>
        <v>4.618176532340465E-5</v>
      </c>
      <c r="K78" s="109"/>
      <c r="L78" s="103"/>
      <c r="M78" s="88">
        <f t="shared" si="148"/>
        <v>0</v>
      </c>
      <c r="N78" s="103"/>
      <c r="O78" s="88">
        <f t="shared" si="148"/>
        <v>0</v>
      </c>
      <c r="P78" s="103"/>
      <c r="Q78" s="88">
        <f t="shared" ref="Q78:S78" si="155">TRUNC(P78*$H78,2)</f>
        <v>0</v>
      </c>
      <c r="R78" s="103"/>
      <c r="S78" s="88">
        <f t="shared" si="155"/>
        <v>0</v>
      </c>
      <c r="T78" s="103"/>
      <c r="U78" s="88">
        <f t="shared" ref="U78:W78" si="156">TRUNC(T78*$H78,2)</f>
        <v>0</v>
      </c>
      <c r="V78" s="103"/>
      <c r="W78" s="88">
        <f t="shared" si="156"/>
        <v>0</v>
      </c>
      <c r="X78" s="3">
        <v>25</v>
      </c>
      <c r="Y78" s="3">
        <v>25</v>
      </c>
      <c r="Z78" s="3">
        <v>5</v>
      </c>
      <c r="AA78" s="3">
        <v>705635.65017045464</v>
      </c>
      <c r="AB78">
        <f t="shared" si="126"/>
        <v>0.90909090909090906</v>
      </c>
    </row>
    <row r="79" spans="1:28" ht="26.4" x14ac:dyDescent="0.25">
      <c r="A79" s="93" t="s">
        <v>218</v>
      </c>
      <c r="B79" s="8" t="s">
        <v>219</v>
      </c>
      <c r="C79" s="7" t="s">
        <v>26</v>
      </c>
      <c r="D79" s="7" t="s">
        <v>220</v>
      </c>
      <c r="E79" s="9" t="s">
        <v>208</v>
      </c>
      <c r="F79" s="10">
        <v>1</v>
      </c>
      <c r="G79" s="11">
        <v>101.03</v>
      </c>
      <c r="H79" s="11">
        <f t="shared" si="118"/>
        <v>126.28749999999999</v>
      </c>
      <c r="I79" s="11">
        <f t="shared" si="147"/>
        <v>126.28749999999999</v>
      </c>
      <c r="J79" s="86">
        <f t="shared" si="120"/>
        <v>1.7896984083711439E-4</v>
      </c>
      <c r="K79" s="109"/>
      <c r="L79" s="103"/>
      <c r="M79" s="88">
        <f t="shared" si="148"/>
        <v>0</v>
      </c>
      <c r="N79" s="103"/>
      <c r="O79" s="88">
        <f t="shared" si="148"/>
        <v>0</v>
      </c>
      <c r="P79" s="103"/>
      <c r="Q79" s="88">
        <f t="shared" ref="Q79:S79" si="157">TRUNC(P79*$H79,2)</f>
        <v>0</v>
      </c>
      <c r="R79" s="103"/>
      <c r="S79" s="88">
        <f t="shared" si="157"/>
        <v>0</v>
      </c>
      <c r="T79" s="103"/>
      <c r="U79" s="88">
        <f t="shared" ref="U79:W79" si="158">TRUNC(T79*$H79,2)</f>
        <v>0</v>
      </c>
      <c r="V79" s="103"/>
      <c r="W79" s="88">
        <f t="shared" si="158"/>
        <v>0</v>
      </c>
      <c r="X79" s="3">
        <v>25</v>
      </c>
      <c r="Y79" s="3">
        <v>25</v>
      </c>
      <c r="Z79" s="3">
        <v>5</v>
      </c>
      <c r="AA79" s="3">
        <v>705635.65017045464</v>
      </c>
      <c r="AB79">
        <f t="shared" si="126"/>
        <v>0.90909090909090906</v>
      </c>
    </row>
    <row r="80" spans="1:28" ht="26.4" x14ac:dyDescent="0.25">
      <c r="A80" s="93" t="s">
        <v>221</v>
      </c>
      <c r="B80" s="8" t="s">
        <v>222</v>
      </c>
      <c r="C80" s="7" t="s">
        <v>26</v>
      </c>
      <c r="D80" s="7" t="s">
        <v>223</v>
      </c>
      <c r="E80" s="9" t="s">
        <v>208</v>
      </c>
      <c r="F80" s="10">
        <v>7</v>
      </c>
      <c r="G80" s="11">
        <v>14.67</v>
      </c>
      <c r="H80" s="11">
        <f t="shared" si="118"/>
        <v>18.337499999999999</v>
      </c>
      <c r="I80" s="11">
        <f t="shared" si="147"/>
        <v>128.36249999999998</v>
      </c>
      <c r="J80" s="86">
        <f t="shared" si="120"/>
        <v>1.8191045190105192E-4</v>
      </c>
      <c r="K80" s="109"/>
      <c r="L80" s="103"/>
      <c r="M80" s="88">
        <f t="shared" si="148"/>
        <v>0</v>
      </c>
      <c r="N80" s="103"/>
      <c r="O80" s="88">
        <f t="shared" si="148"/>
        <v>0</v>
      </c>
      <c r="P80" s="103"/>
      <c r="Q80" s="88">
        <f t="shared" ref="Q80:S80" si="159">TRUNC(P80*$H80,2)</f>
        <v>0</v>
      </c>
      <c r="R80" s="103"/>
      <c r="S80" s="88">
        <f t="shared" si="159"/>
        <v>0</v>
      </c>
      <c r="T80" s="103"/>
      <c r="U80" s="88">
        <f t="shared" ref="U80:W80" si="160">TRUNC(T80*$H80,2)</f>
        <v>0</v>
      </c>
      <c r="V80" s="103"/>
      <c r="W80" s="88">
        <f t="shared" si="160"/>
        <v>0</v>
      </c>
      <c r="X80" s="3">
        <v>175</v>
      </c>
      <c r="Y80" s="3">
        <v>25</v>
      </c>
      <c r="Z80" s="3">
        <v>5</v>
      </c>
      <c r="AA80" s="3">
        <v>705635.65017045464</v>
      </c>
      <c r="AB80">
        <f t="shared" si="126"/>
        <v>0.90909090909090906</v>
      </c>
    </row>
    <row r="81" spans="1:28" ht="26.4" x14ac:dyDescent="0.25">
      <c r="A81" s="93" t="s">
        <v>224</v>
      </c>
      <c r="B81" s="8" t="s">
        <v>225</v>
      </c>
      <c r="C81" s="7" t="s">
        <v>26</v>
      </c>
      <c r="D81" s="7" t="s">
        <v>226</v>
      </c>
      <c r="E81" s="9" t="s">
        <v>208</v>
      </c>
      <c r="F81" s="10">
        <v>4</v>
      </c>
      <c r="G81" s="11">
        <v>32.68</v>
      </c>
      <c r="H81" s="11">
        <f t="shared" si="118"/>
        <v>40.85</v>
      </c>
      <c r="I81" s="11">
        <f t="shared" si="147"/>
        <v>163.4</v>
      </c>
      <c r="J81" s="86">
        <f t="shared" si="120"/>
        <v>2.3156426402284069E-4</v>
      </c>
      <c r="K81" s="109"/>
      <c r="L81" s="103"/>
      <c r="M81" s="88">
        <f t="shared" si="148"/>
        <v>0</v>
      </c>
      <c r="N81" s="103"/>
      <c r="O81" s="88">
        <f t="shared" si="148"/>
        <v>0</v>
      </c>
      <c r="P81" s="103"/>
      <c r="Q81" s="88">
        <f t="shared" ref="Q81:S81" si="161">TRUNC(P81*$H81,2)</f>
        <v>0</v>
      </c>
      <c r="R81" s="103"/>
      <c r="S81" s="88">
        <f t="shared" si="161"/>
        <v>0</v>
      </c>
      <c r="T81" s="103"/>
      <c r="U81" s="88">
        <f t="shared" ref="U81:W81" si="162">TRUNC(T81*$H81,2)</f>
        <v>0</v>
      </c>
      <c r="V81" s="103"/>
      <c r="W81" s="88">
        <f t="shared" si="162"/>
        <v>0</v>
      </c>
      <c r="X81" s="3">
        <v>125</v>
      </c>
      <c r="Y81" s="3">
        <v>25</v>
      </c>
      <c r="Z81" s="3">
        <v>5</v>
      </c>
      <c r="AA81" s="3">
        <v>705635.65017045464</v>
      </c>
      <c r="AB81">
        <f t="shared" si="126"/>
        <v>0.90909090909090906</v>
      </c>
    </row>
    <row r="82" spans="1:28" ht="26.4" x14ac:dyDescent="0.25">
      <c r="A82" s="93" t="s">
        <v>227</v>
      </c>
      <c r="B82" s="8" t="s">
        <v>228</v>
      </c>
      <c r="C82" s="7" t="s">
        <v>26</v>
      </c>
      <c r="D82" s="7" t="s">
        <v>229</v>
      </c>
      <c r="E82" s="9" t="s">
        <v>208</v>
      </c>
      <c r="F82" s="10">
        <v>4</v>
      </c>
      <c r="G82" s="11">
        <v>34.17</v>
      </c>
      <c r="H82" s="11">
        <f t="shared" si="118"/>
        <v>42.712500000000006</v>
      </c>
      <c r="I82" s="11">
        <f t="shared" si="147"/>
        <v>170.85000000000002</v>
      </c>
      <c r="J82" s="86">
        <f t="shared" si="120"/>
        <v>2.4212212061384538E-4</v>
      </c>
      <c r="K82" s="109"/>
      <c r="L82" s="103"/>
      <c r="M82" s="88">
        <f t="shared" si="148"/>
        <v>0</v>
      </c>
      <c r="N82" s="103"/>
      <c r="O82" s="88">
        <f t="shared" si="148"/>
        <v>0</v>
      </c>
      <c r="P82" s="103"/>
      <c r="Q82" s="88">
        <f t="shared" ref="Q82:S82" si="163">TRUNC(P82*$H82,2)</f>
        <v>0</v>
      </c>
      <c r="R82" s="103"/>
      <c r="S82" s="88">
        <f t="shared" si="163"/>
        <v>0</v>
      </c>
      <c r="T82" s="103"/>
      <c r="U82" s="88">
        <f t="shared" ref="U82:W82" si="164">TRUNC(T82*$H82,2)</f>
        <v>0</v>
      </c>
      <c r="V82" s="103"/>
      <c r="W82" s="88">
        <f t="shared" si="164"/>
        <v>0</v>
      </c>
      <c r="X82" s="3">
        <v>250</v>
      </c>
      <c r="Y82" s="3">
        <v>25</v>
      </c>
      <c r="Z82" s="3">
        <v>5</v>
      </c>
      <c r="AA82" s="3">
        <v>705635.65017045464</v>
      </c>
      <c r="AB82">
        <f t="shared" si="126"/>
        <v>0.90909090909090906</v>
      </c>
    </row>
    <row r="83" spans="1:28" ht="26.4" x14ac:dyDescent="0.25">
      <c r="A83" s="93" t="s">
        <v>230</v>
      </c>
      <c r="B83" s="8" t="s">
        <v>231</v>
      </c>
      <c r="C83" s="7" t="s">
        <v>26</v>
      </c>
      <c r="D83" s="7" t="s">
        <v>232</v>
      </c>
      <c r="E83" s="9" t="s">
        <v>208</v>
      </c>
      <c r="F83" s="10">
        <v>4</v>
      </c>
      <c r="G83" s="11">
        <v>38.81</v>
      </c>
      <c r="H83" s="11">
        <f t="shared" si="118"/>
        <v>48.512500000000003</v>
      </c>
      <c r="I83" s="11">
        <f t="shared" si="147"/>
        <v>194.05</v>
      </c>
      <c r="J83" s="86">
        <f t="shared" si="120"/>
        <v>2.7500027805160487E-4</v>
      </c>
      <c r="K83" s="109"/>
      <c r="L83" s="103"/>
      <c r="M83" s="88">
        <f t="shared" si="148"/>
        <v>0</v>
      </c>
      <c r="N83" s="103"/>
      <c r="O83" s="88">
        <f t="shared" si="148"/>
        <v>0</v>
      </c>
      <c r="P83" s="103"/>
      <c r="Q83" s="88">
        <f t="shared" ref="Q83:S83" si="165">TRUNC(P83*$H83,2)</f>
        <v>0</v>
      </c>
      <c r="R83" s="103"/>
      <c r="S83" s="88">
        <f t="shared" si="165"/>
        <v>0</v>
      </c>
      <c r="T83" s="103"/>
      <c r="U83" s="88">
        <f t="shared" ref="U83:W83" si="166">TRUNC(T83*$H83,2)</f>
        <v>0</v>
      </c>
      <c r="V83" s="103"/>
      <c r="W83" s="88">
        <f t="shared" si="166"/>
        <v>0</v>
      </c>
      <c r="X83" s="3">
        <v>150</v>
      </c>
      <c r="Y83" s="3">
        <v>25</v>
      </c>
      <c r="Z83" s="3">
        <v>5</v>
      </c>
      <c r="AA83" s="3">
        <v>705635.65017045464</v>
      </c>
      <c r="AB83">
        <f t="shared" si="126"/>
        <v>0.90909090909090906</v>
      </c>
    </row>
    <row r="84" spans="1:28" ht="26.4" x14ac:dyDescent="0.25">
      <c r="A84" s="93" t="s">
        <v>233</v>
      </c>
      <c r="B84" s="8" t="s">
        <v>234</v>
      </c>
      <c r="C84" s="7" t="s">
        <v>26</v>
      </c>
      <c r="D84" s="7" t="s">
        <v>235</v>
      </c>
      <c r="E84" s="9" t="s">
        <v>208</v>
      </c>
      <c r="F84" s="10">
        <v>2</v>
      </c>
      <c r="G84" s="11">
        <v>52.84</v>
      </c>
      <c r="H84" s="11">
        <f t="shared" si="118"/>
        <v>66.050000000000011</v>
      </c>
      <c r="I84" s="11">
        <f t="shared" si="147"/>
        <v>132.10000000000002</v>
      </c>
      <c r="J84" s="86">
        <f t="shared" si="120"/>
        <v>1.8720709472103586E-4</v>
      </c>
      <c r="K84" s="109"/>
      <c r="L84" s="103"/>
      <c r="M84" s="88">
        <f t="shared" si="148"/>
        <v>0</v>
      </c>
      <c r="N84" s="103"/>
      <c r="O84" s="88">
        <f t="shared" si="148"/>
        <v>0</v>
      </c>
      <c r="P84" s="103"/>
      <c r="Q84" s="88">
        <f t="shared" ref="Q84:S84" si="167">TRUNC(P84*$H84,2)</f>
        <v>0</v>
      </c>
      <c r="R84" s="103"/>
      <c r="S84" s="88">
        <f t="shared" si="167"/>
        <v>0</v>
      </c>
      <c r="T84" s="103"/>
      <c r="U84" s="88">
        <f t="shared" ref="U84:W84" si="168">TRUNC(T84*$H84,2)</f>
        <v>0</v>
      </c>
      <c r="V84" s="103"/>
      <c r="W84" s="88">
        <f t="shared" si="168"/>
        <v>0</v>
      </c>
      <c r="X84" s="3">
        <v>25</v>
      </c>
      <c r="Y84" s="3">
        <v>25</v>
      </c>
      <c r="Z84" s="3">
        <v>5</v>
      </c>
      <c r="AA84" s="3">
        <v>705635.65017045464</v>
      </c>
      <c r="AB84">
        <f t="shared" si="126"/>
        <v>0.90909090909090906</v>
      </c>
    </row>
    <row r="85" spans="1:28" ht="26.4" x14ac:dyDescent="0.25">
      <c r="A85" s="93" t="s">
        <v>236</v>
      </c>
      <c r="B85" s="8" t="s">
        <v>237</v>
      </c>
      <c r="C85" s="7" t="s">
        <v>26</v>
      </c>
      <c r="D85" s="7" t="s">
        <v>238</v>
      </c>
      <c r="E85" s="9" t="s">
        <v>208</v>
      </c>
      <c r="F85" s="10">
        <f>F82</f>
        <v>4</v>
      </c>
      <c r="G85" s="11">
        <v>12.82</v>
      </c>
      <c r="H85" s="11">
        <f t="shared" si="118"/>
        <v>16.024999999999999</v>
      </c>
      <c r="I85" s="11">
        <f t="shared" si="147"/>
        <v>64.099999999999994</v>
      </c>
      <c r="J85" s="86">
        <f t="shared" si="120"/>
        <v>9.0840081541395873E-5</v>
      </c>
      <c r="K85" s="109"/>
      <c r="L85" s="103"/>
      <c r="M85" s="88">
        <f t="shared" si="148"/>
        <v>0</v>
      </c>
      <c r="N85" s="103"/>
      <c r="O85" s="88">
        <f t="shared" si="148"/>
        <v>0</v>
      </c>
      <c r="P85" s="103"/>
      <c r="Q85" s="88">
        <f t="shared" ref="Q85:S85" si="169">TRUNC(P85*$H85,2)</f>
        <v>0</v>
      </c>
      <c r="R85" s="103"/>
      <c r="S85" s="88">
        <f t="shared" si="169"/>
        <v>0</v>
      </c>
      <c r="T85" s="103"/>
      <c r="U85" s="88">
        <f t="shared" ref="U85:W85" si="170">TRUNC(T85*$H85,2)</f>
        <v>0</v>
      </c>
      <c r="V85" s="103"/>
      <c r="W85" s="88">
        <f t="shared" si="170"/>
        <v>0</v>
      </c>
      <c r="X85" s="3">
        <v>300</v>
      </c>
      <c r="Y85" s="3">
        <v>25</v>
      </c>
      <c r="Z85" s="3">
        <v>5</v>
      </c>
      <c r="AA85" s="3">
        <v>705635.65017045464</v>
      </c>
      <c r="AB85">
        <f t="shared" si="126"/>
        <v>0.90909090909090906</v>
      </c>
    </row>
    <row r="86" spans="1:28" ht="26.4" x14ac:dyDescent="0.25">
      <c r="A86" s="93" t="s">
        <v>239</v>
      </c>
      <c r="B86" s="8" t="s">
        <v>240</v>
      </c>
      <c r="C86" s="7" t="s">
        <v>26</v>
      </c>
      <c r="D86" s="7" t="s">
        <v>241</v>
      </c>
      <c r="E86" s="9" t="s">
        <v>208</v>
      </c>
      <c r="F86" s="10">
        <f>F83+F81</f>
        <v>8</v>
      </c>
      <c r="G86" s="11">
        <v>20.68</v>
      </c>
      <c r="H86" s="11">
        <f t="shared" si="118"/>
        <v>25.85</v>
      </c>
      <c r="I86" s="11">
        <f t="shared" si="147"/>
        <v>206.8</v>
      </c>
      <c r="J86" s="86">
        <f t="shared" si="120"/>
        <v>2.9306909302278736E-4</v>
      </c>
      <c r="K86" s="109"/>
      <c r="L86" s="103"/>
      <c r="M86" s="88">
        <f t="shared" si="148"/>
        <v>0</v>
      </c>
      <c r="N86" s="103"/>
      <c r="O86" s="88">
        <f t="shared" si="148"/>
        <v>0</v>
      </c>
      <c r="P86" s="103"/>
      <c r="Q86" s="88">
        <f t="shared" ref="Q86:S86" si="171">TRUNC(P86*$H86,2)</f>
        <v>0</v>
      </c>
      <c r="R86" s="103"/>
      <c r="S86" s="88">
        <f t="shared" si="171"/>
        <v>0</v>
      </c>
      <c r="T86" s="103"/>
      <c r="U86" s="88">
        <f t="shared" ref="U86:W86" si="172">TRUNC(T86*$H86,2)</f>
        <v>0</v>
      </c>
      <c r="V86" s="103"/>
      <c r="W86" s="88">
        <f t="shared" si="172"/>
        <v>0</v>
      </c>
      <c r="X86" s="3">
        <v>325</v>
      </c>
      <c r="Y86" s="3">
        <v>25</v>
      </c>
      <c r="Z86" s="3">
        <v>5</v>
      </c>
      <c r="AA86" s="3">
        <v>705635.65017045464</v>
      </c>
      <c r="AB86">
        <f t="shared" si="126"/>
        <v>0.90909090909090906</v>
      </c>
    </row>
    <row r="87" spans="1:28" ht="26.4" x14ac:dyDescent="0.25">
      <c r="A87" s="93" t="s">
        <v>242</v>
      </c>
      <c r="B87" s="8" t="s">
        <v>243</v>
      </c>
      <c r="C87" s="7" t="s">
        <v>26</v>
      </c>
      <c r="D87" s="7" t="s">
        <v>244</v>
      </c>
      <c r="E87" s="9" t="s">
        <v>208</v>
      </c>
      <c r="F87" s="10">
        <f>F84</f>
        <v>2</v>
      </c>
      <c r="G87" s="11">
        <v>36.700000000000003</v>
      </c>
      <c r="H87" s="11">
        <f t="shared" si="118"/>
        <v>45.875</v>
      </c>
      <c r="I87" s="11">
        <f t="shared" si="147"/>
        <v>91.75</v>
      </c>
      <c r="J87" s="86">
        <f t="shared" si="120"/>
        <v>1.3002460969458772E-4</v>
      </c>
      <c r="K87" s="109"/>
      <c r="L87" s="103"/>
      <c r="M87" s="88">
        <f t="shared" si="148"/>
        <v>0</v>
      </c>
      <c r="N87" s="103"/>
      <c r="O87" s="88">
        <f t="shared" si="148"/>
        <v>0</v>
      </c>
      <c r="P87" s="103"/>
      <c r="Q87" s="88">
        <f t="shared" ref="Q87:S87" si="173">TRUNC(P87*$H87,2)</f>
        <v>0</v>
      </c>
      <c r="R87" s="103"/>
      <c r="S87" s="88">
        <f t="shared" si="173"/>
        <v>0</v>
      </c>
      <c r="T87" s="103"/>
      <c r="U87" s="88">
        <f t="shared" ref="U87:W87" si="174">TRUNC(T87*$H87,2)</f>
        <v>0</v>
      </c>
      <c r="V87" s="103"/>
      <c r="W87" s="88">
        <f t="shared" si="174"/>
        <v>0</v>
      </c>
      <c r="X87" s="3">
        <v>50</v>
      </c>
      <c r="Y87" s="3">
        <v>25</v>
      </c>
      <c r="Z87" s="3">
        <v>5</v>
      </c>
      <c r="AA87" s="3">
        <v>705635.65017045464</v>
      </c>
      <c r="AB87">
        <f t="shared" si="126"/>
        <v>0.90909090909090906</v>
      </c>
    </row>
    <row r="88" spans="1:28" ht="39.6" x14ac:dyDescent="0.25">
      <c r="A88" s="93" t="s">
        <v>245</v>
      </c>
      <c r="B88" s="8" t="s">
        <v>246</v>
      </c>
      <c r="C88" s="7" t="s">
        <v>26</v>
      </c>
      <c r="D88" s="7" t="s">
        <v>247</v>
      </c>
      <c r="E88" s="9" t="s">
        <v>29</v>
      </c>
      <c r="F88" s="10">
        <f>X88/Y88</f>
        <v>97.9</v>
      </c>
      <c r="G88" s="11">
        <v>3.7</v>
      </c>
      <c r="H88" s="11">
        <f t="shared" si="118"/>
        <v>4.625</v>
      </c>
      <c r="I88" s="11">
        <f t="shared" si="147"/>
        <v>452.78750000000002</v>
      </c>
      <c r="J88" s="86">
        <f t="shared" si="120"/>
        <v>6.4167322029523859E-4</v>
      </c>
      <c r="K88" s="109"/>
      <c r="L88" s="103"/>
      <c r="M88" s="88">
        <f t="shared" si="148"/>
        <v>0</v>
      </c>
      <c r="N88" s="103"/>
      <c r="O88" s="88">
        <f t="shared" si="148"/>
        <v>0</v>
      </c>
      <c r="P88" s="103"/>
      <c r="Q88" s="88">
        <f t="shared" ref="Q88:S88" si="175">TRUNC(P88*$H88,2)</f>
        <v>0</v>
      </c>
      <c r="R88" s="103"/>
      <c r="S88" s="88">
        <f t="shared" si="175"/>
        <v>0</v>
      </c>
      <c r="T88" s="103"/>
      <c r="U88" s="88">
        <f t="shared" ref="U88:W88" si="176">TRUNC(T88*$H88,2)</f>
        <v>0</v>
      </c>
      <c r="V88" s="103"/>
      <c r="W88" s="88">
        <f t="shared" si="176"/>
        <v>0</v>
      </c>
      <c r="X88" s="3">
        <v>2447.5</v>
      </c>
      <c r="Y88" s="3">
        <v>25</v>
      </c>
      <c r="Z88" s="3">
        <v>1</v>
      </c>
      <c r="AA88" s="3">
        <v>705635.65017045464</v>
      </c>
      <c r="AB88">
        <f t="shared" si="126"/>
        <v>0.90909090909090906</v>
      </c>
    </row>
    <row r="89" spans="1:28" ht="39.6" x14ac:dyDescent="0.25">
      <c r="A89" s="93" t="s">
        <v>248</v>
      </c>
      <c r="B89" s="8" t="s">
        <v>249</v>
      </c>
      <c r="C89" s="7" t="s">
        <v>26</v>
      </c>
      <c r="D89" s="7" t="s">
        <v>250</v>
      </c>
      <c r="E89" s="9" t="s">
        <v>29</v>
      </c>
      <c r="F89" s="10">
        <f t="shared" ref="F89:F90" si="177">X89/Y89</f>
        <v>258.8</v>
      </c>
      <c r="G89" s="11">
        <v>5.38</v>
      </c>
      <c r="H89" s="11">
        <f t="shared" si="118"/>
        <v>6.7249999999999996</v>
      </c>
      <c r="I89" s="11">
        <f t="shared" si="147"/>
        <v>1740.43</v>
      </c>
      <c r="J89" s="86">
        <f t="shared" si="120"/>
        <v>2.4664711874741287E-3</v>
      </c>
      <c r="K89" s="109"/>
      <c r="L89" s="103"/>
      <c r="M89" s="88">
        <f t="shared" si="148"/>
        <v>0</v>
      </c>
      <c r="N89" s="103"/>
      <c r="O89" s="88">
        <f t="shared" si="148"/>
        <v>0</v>
      </c>
      <c r="P89" s="103"/>
      <c r="Q89" s="88">
        <f t="shared" ref="Q89:S89" si="178">TRUNC(P89*$H89,2)</f>
        <v>0</v>
      </c>
      <c r="R89" s="103"/>
      <c r="S89" s="88">
        <f t="shared" si="178"/>
        <v>0</v>
      </c>
      <c r="T89" s="103"/>
      <c r="U89" s="88">
        <f t="shared" ref="U89:W89" si="179">TRUNC(T89*$H89,2)</f>
        <v>0</v>
      </c>
      <c r="V89" s="103"/>
      <c r="W89" s="88">
        <f t="shared" si="179"/>
        <v>0</v>
      </c>
      <c r="X89" s="3">
        <v>6470</v>
      </c>
      <c r="Y89" s="3">
        <v>25</v>
      </c>
      <c r="Z89" s="3">
        <v>5</v>
      </c>
      <c r="AA89" s="3">
        <v>705635.65017045464</v>
      </c>
      <c r="AB89">
        <f t="shared" si="126"/>
        <v>0.90909090909090906</v>
      </c>
    </row>
    <row r="90" spans="1:28" ht="39.6" x14ac:dyDescent="0.25">
      <c r="A90" s="93" t="s">
        <v>251</v>
      </c>
      <c r="B90" s="8" t="s">
        <v>252</v>
      </c>
      <c r="C90" s="7" t="s">
        <v>26</v>
      </c>
      <c r="D90" s="7" t="s">
        <v>253</v>
      </c>
      <c r="E90" s="9" t="s">
        <v>29</v>
      </c>
      <c r="F90" s="10">
        <f t="shared" si="177"/>
        <v>24.8</v>
      </c>
      <c r="G90" s="11">
        <v>8.33</v>
      </c>
      <c r="H90" s="11">
        <f t="shared" si="118"/>
        <v>10.4125</v>
      </c>
      <c r="I90" s="11">
        <f t="shared" si="147"/>
        <v>258.23</v>
      </c>
      <c r="J90" s="86">
        <f t="shared" si="120"/>
        <v>3.6595373254968272E-4</v>
      </c>
      <c r="K90" s="109"/>
      <c r="L90" s="103"/>
      <c r="M90" s="88">
        <f t="shared" si="148"/>
        <v>0</v>
      </c>
      <c r="N90" s="103"/>
      <c r="O90" s="88">
        <f t="shared" si="148"/>
        <v>0</v>
      </c>
      <c r="P90" s="103"/>
      <c r="Q90" s="88">
        <f t="shared" ref="Q90:S90" si="180">TRUNC(P90*$H90,2)</f>
        <v>0</v>
      </c>
      <c r="R90" s="103"/>
      <c r="S90" s="88">
        <f t="shared" si="180"/>
        <v>0</v>
      </c>
      <c r="T90" s="103"/>
      <c r="U90" s="88">
        <f t="shared" ref="U90:W90" si="181">TRUNC(T90*$H90,2)</f>
        <v>0</v>
      </c>
      <c r="V90" s="103"/>
      <c r="W90" s="88">
        <f t="shared" si="181"/>
        <v>0</v>
      </c>
      <c r="X90" s="3">
        <v>620</v>
      </c>
      <c r="Y90" s="3">
        <v>25</v>
      </c>
      <c r="Z90" s="3">
        <v>5</v>
      </c>
      <c r="AA90" s="3">
        <v>705635.65017045464</v>
      </c>
      <c r="AB90">
        <f t="shared" si="126"/>
        <v>0.90909090909090906</v>
      </c>
    </row>
    <row r="91" spans="1:28" ht="26.4" x14ac:dyDescent="0.25">
      <c r="A91" s="93" t="s">
        <v>254</v>
      </c>
      <c r="B91" s="8">
        <v>101560</v>
      </c>
      <c r="C91" s="7" t="s">
        <v>26</v>
      </c>
      <c r="D91" s="7" t="s">
        <v>255</v>
      </c>
      <c r="E91" s="9" t="s">
        <v>29</v>
      </c>
      <c r="F91" s="10">
        <f>X91/Y91</f>
        <v>8.3000000000000007</v>
      </c>
      <c r="G91" s="11">
        <v>12.94</v>
      </c>
      <c r="H91" s="11">
        <f t="shared" si="118"/>
        <v>16.175000000000001</v>
      </c>
      <c r="I91" s="11">
        <f t="shared" si="147"/>
        <v>134.25250000000003</v>
      </c>
      <c r="J91" s="86">
        <f t="shared" si="120"/>
        <v>1.9025753583675902E-4</v>
      </c>
      <c r="K91" s="109"/>
      <c r="L91" s="103"/>
      <c r="M91" s="88">
        <f t="shared" si="148"/>
        <v>0</v>
      </c>
      <c r="N91" s="103"/>
      <c r="O91" s="88">
        <f t="shared" si="148"/>
        <v>0</v>
      </c>
      <c r="P91" s="103"/>
      <c r="Q91" s="88">
        <f t="shared" ref="Q91:S91" si="182">TRUNC(P91*$H91,2)</f>
        <v>0</v>
      </c>
      <c r="R91" s="103"/>
      <c r="S91" s="88">
        <f t="shared" si="182"/>
        <v>0</v>
      </c>
      <c r="T91" s="103"/>
      <c r="U91" s="88">
        <f t="shared" ref="U91:W91" si="183">TRUNC(T91*$H91,2)</f>
        <v>0</v>
      </c>
      <c r="V91" s="103"/>
      <c r="W91" s="88">
        <f t="shared" si="183"/>
        <v>0</v>
      </c>
      <c r="X91" s="3">
        <v>207.5</v>
      </c>
      <c r="Y91" s="3">
        <v>25</v>
      </c>
      <c r="Z91" s="3">
        <v>5</v>
      </c>
      <c r="AA91" s="3">
        <v>705635.65017045464</v>
      </c>
      <c r="AB91">
        <f t="shared" si="126"/>
        <v>0.90909090909090906</v>
      </c>
    </row>
    <row r="92" spans="1:28" ht="39.6" x14ac:dyDescent="0.25">
      <c r="A92" s="93" t="s">
        <v>256</v>
      </c>
      <c r="B92" s="8" t="s">
        <v>257</v>
      </c>
      <c r="C92" s="7" t="s">
        <v>26</v>
      </c>
      <c r="D92" s="7" t="s">
        <v>258</v>
      </c>
      <c r="E92" s="9" t="s">
        <v>29</v>
      </c>
      <c r="F92" s="10">
        <f>X92/Y92</f>
        <v>44.7</v>
      </c>
      <c r="G92" s="11">
        <v>19.52</v>
      </c>
      <c r="H92" s="11">
        <f t="shared" si="118"/>
        <v>24.4</v>
      </c>
      <c r="I92" s="11">
        <f t="shared" si="147"/>
        <v>1090.68</v>
      </c>
      <c r="J92" s="86">
        <f t="shared" si="120"/>
        <v>1.5456702049230838E-3</v>
      </c>
      <c r="K92" s="109"/>
      <c r="L92" s="103"/>
      <c r="M92" s="88">
        <f t="shared" si="148"/>
        <v>0</v>
      </c>
      <c r="N92" s="103"/>
      <c r="O92" s="88">
        <f t="shared" si="148"/>
        <v>0</v>
      </c>
      <c r="P92" s="103"/>
      <c r="Q92" s="88">
        <f t="shared" ref="Q92:S92" si="184">TRUNC(P92*$H92,2)</f>
        <v>0</v>
      </c>
      <c r="R92" s="103"/>
      <c r="S92" s="88">
        <f t="shared" si="184"/>
        <v>0</v>
      </c>
      <c r="T92" s="103"/>
      <c r="U92" s="88">
        <f t="shared" ref="U92:W92" si="185">TRUNC(T92*$H92,2)</f>
        <v>0</v>
      </c>
      <c r="V92" s="103"/>
      <c r="W92" s="88">
        <f t="shared" si="185"/>
        <v>0</v>
      </c>
      <c r="X92" s="3">
        <v>1117.5</v>
      </c>
      <c r="Y92" s="3">
        <v>25</v>
      </c>
      <c r="Z92" s="3">
        <v>5</v>
      </c>
      <c r="AA92" s="3">
        <v>705635.65017045464</v>
      </c>
      <c r="AB92">
        <f t="shared" si="126"/>
        <v>0.90909090909090906</v>
      </c>
    </row>
    <row r="93" spans="1:28" ht="39.6" x14ac:dyDescent="0.25">
      <c r="A93" s="93" t="s">
        <v>259</v>
      </c>
      <c r="B93" s="8" t="s">
        <v>260</v>
      </c>
      <c r="C93" s="7" t="s">
        <v>26</v>
      </c>
      <c r="D93" s="7" t="s">
        <v>261</v>
      </c>
      <c r="E93" s="9" t="s">
        <v>29</v>
      </c>
      <c r="F93" s="10">
        <f t="shared" ref="F93:F94" si="186">X93/Y93</f>
        <v>58.3</v>
      </c>
      <c r="G93" s="11">
        <v>10.96</v>
      </c>
      <c r="H93" s="11">
        <f t="shared" si="118"/>
        <v>13.700000000000001</v>
      </c>
      <c r="I93" s="11">
        <f t="shared" si="147"/>
        <v>798.71</v>
      </c>
      <c r="J93" s="86">
        <f t="shared" si="120"/>
        <v>1.1319014278927974E-3</v>
      </c>
      <c r="K93" s="109"/>
      <c r="L93" s="103"/>
      <c r="M93" s="88">
        <f t="shared" si="148"/>
        <v>0</v>
      </c>
      <c r="N93" s="103"/>
      <c r="O93" s="88">
        <f t="shared" si="148"/>
        <v>0</v>
      </c>
      <c r="P93" s="103"/>
      <c r="Q93" s="88">
        <f t="shared" ref="Q93:S93" si="187">TRUNC(P93*$H93,2)</f>
        <v>0</v>
      </c>
      <c r="R93" s="103"/>
      <c r="S93" s="88">
        <f t="shared" si="187"/>
        <v>0</v>
      </c>
      <c r="T93" s="103"/>
      <c r="U93" s="88">
        <f t="shared" ref="U93:W93" si="188">TRUNC(T93*$H93,2)</f>
        <v>0</v>
      </c>
      <c r="V93" s="103"/>
      <c r="W93" s="88">
        <f t="shared" si="188"/>
        <v>0</v>
      </c>
      <c r="X93" s="3">
        <v>1457.5</v>
      </c>
      <c r="Y93" s="3">
        <v>25</v>
      </c>
      <c r="Z93" s="3">
        <v>5</v>
      </c>
      <c r="AA93" s="3">
        <v>705635.65017045464</v>
      </c>
      <c r="AB93">
        <f t="shared" si="126"/>
        <v>0.90909090909090906</v>
      </c>
    </row>
    <row r="94" spans="1:28" ht="26.4" x14ac:dyDescent="0.25">
      <c r="A94" s="93" t="s">
        <v>262</v>
      </c>
      <c r="B94" s="8" t="s">
        <v>263</v>
      </c>
      <c r="C94" s="7" t="s">
        <v>26</v>
      </c>
      <c r="D94" s="7" t="s">
        <v>264</v>
      </c>
      <c r="E94" s="9" t="s">
        <v>29</v>
      </c>
      <c r="F94" s="10">
        <f t="shared" si="186"/>
        <v>58.3</v>
      </c>
      <c r="G94" s="11">
        <v>9.83</v>
      </c>
      <c r="H94" s="11">
        <f t="shared" si="118"/>
        <v>12.2875</v>
      </c>
      <c r="I94" s="11">
        <f t="shared" si="147"/>
        <v>716.36124999999993</v>
      </c>
      <c r="J94" s="86">
        <f t="shared" si="120"/>
        <v>1.0151999120607844E-3</v>
      </c>
      <c r="K94" s="109"/>
      <c r="L94" s="103"/>
      <c r="M94" s="88">
        <f t="shared" si="148"/>
        <v>0</v>
      </c>
      <c r="N94" s="103"/>
      <c r="O94" s="88">
        <f t="shared" si="148"/>
        <v>0</v>
      </c>
      <c r="P94" s="103"/>
      <c r="Q94" s="88">
        <f t="shared" ref="Q94:S94" si="189">TRUNC(P94*$H94,2)</f>
        <v>0</v>
      </c>
      <c r="R94" s="103"/>
      <c r="S94" s="88">
        <f t="shared" si="189"/>
        <v>0</v>
      </c>
      <c r="T94" s="103"/>
      <c r="U94" s="88">
        <f t="shared" ref="U94:W94" si="190">TRUNC(T94*$H94,2)</f>
        <v>0</v>
      </c>
      <c r="V94" s="103"/>
      <c r="W94" s="88">
        <f t="shared" si="190"/>
        <v>0</v>
      </c>
      <c r="X94" s="3">
        <v>1457.5</v>
      </c>
      <c r="Y94" s="3">
        <v>25</v>
      </c>
      <c r="Z94" s="3">
        <v>1</v>
      </c>
      <c r="AA94" s="3">
        <v>705635.65017045464</v>
      </c>
      <c r="AB94">
        <f t="shared" si="126"/>
        <v>0.90909090909090906</v>
      </c>
    </row>
    <row r="95" spans="1:28" x14ac:dyDescent="0.25">
      <c r="A95" s="92" t="s">
        <v>265</v>
      </c>
      <c r="B95" s="4"/>
      <c r="C95" s="4"/>
      <c r="D95" s="4" t="s">
        <v>266</v>
      </c>
      <c r="E95" s="4"/>
      <c r="F95" s="10">
        <f t="shared" si="132"/>
        <v>0</v>
      </c>
      <c r="G95" s="4"/>
      <c r="H95" s="11">
        <f t="shared" si="118"/>
        <v>0</v>
      </c>
      <c r="I95" s="6">
        <f>SUM(I96:I114)</f>
        <v>2325.355</v>
      </c>
      <c r="J95" s="85">
        <f t="shared" si="120"/>
        <v>3.2954046460638474E-3</v>
      </c>
      <c r="K95" s="108"/>
      <c r="L95" s="116"/>
      <c r="M95" s="117"/>
      <c r="N95" s="116"/>
      <c r="O95" s="117"/>
      <c r="P95" s="116"/>
      <c r="Q95" s="117"/>
      <c r="R95" s="116"/>
      <c r="S95" s="117"/>
      <c r="T95" s="116"/>
      <c r="U95" s="117"/>
      <c r="V95" s="116"/>
      <c r="W95" s="117"/>
      <c r="Y95" s="3">
        <v>25</v>
      </c>
      <c r="Z95" s="3">
        <v>5</v>
      </c>
      <c r="AA95" s="3">
        <v>705635.65017045464</v>
      </c>
      <c r="AB95">
        <f t="shared" si="126"/>
        <v>0.90909090909090906</v>
      </c>
    </row>
    <row r="96" spans="1:28" ht="39.6" x14ac:dyDescent="0.25">
      <c r="A96" s="93" t="s">
        <v>267</v>
      </c>
      <c r="B96" s="8" t="s">
        <v>268</v>
      </c>
      <c r="C96" s="7" t="s">
        <v>26</v>
      </c>
      <c r="D96" s="7" t="s">
        <v>269</v>
      </c>
      <c r="E96" s="9" t="s">
        <v>208</v>
      </c>
      <c r="F96" s="10">
        <f>X96/Y96</f>
        <v>7</v>
      </c>
      <c r="G96" s="11">
        <v>14.46</v>
      </c>
      <c r="H96" s="11">
        <f t="shared" si="118"/>
        <v>18.075000000000003</v>
      </c>
      <c r="I96" s="11">
        <f t="shared" ref="I96:I114" si="191">F96*H96</f>
        <v>126.52500000000002</v>
      </c>
      <c r="J96" s="86">
        <f t="shared" si="120"/>
        <v>1.7930641680226391E-4</v>
      </c>
      <c r="K96" s="109"/>
      <c r="L96" s="103"/>
      <c r="M96" s="88">
        <f t="shared" ref="M96:O114" si="192">TRUNC(L96*$H96,2)</f>
        <v>0</v>
      </c>
      <c r="N96" s="103"/>
      <c r="O96" s="88">
        <f t="shared" si="192"/>
        <v>0</v>
      </c>
      <c r="P96" s="103"/>
      <c r="Q96" s="88">
        <f t="shared" ref="Q96:S96" si="193">TRUNC(P96*$H96,2)</f>
        <v>0</v>
      </c>
      <c r="R96" s="103"/>
      <c r="S96" s="88">
        <f t="shared" si="193"/>
        <v>0</v>
      </c>
      <c r="T96" s="103"/>
      <c r="U96" s="88">
        <f t="shared" ref="U96:W96" si="194">TRUNC(T96*$H96,2)</f>
        <v>0</v>
      </c>
      <c r="V96" s="103"/>
      <c r="W96" s="88">
        <f t="shared" si="194"/>
        <v>0</v>
      </c>
      <c r="X96" s="3">
        <v>175</v>
      </c>
      <c r="Y96" s="3">
        <v>25</v>
      </c>
      <c r="Z96" s="3">
        <v>5</v>
      </c>
      <c r="AA96" s="3">
        <v>705635.65017045464</v>
      </c>
      <c r="AB96">
        <f t="shared" si="126"/>
        <v>0.90909090909090906</v>
      </c>
    </row>
    <row r="97" spans="1:28" ht="26.4" x14ac:dyDescent="0.25">
      <c r="A97" s="93" t="s">
        <v>270</v>
      </c>
      <c r="B97" s="8" t="s">
        <v>271</v>
      </c>
      <c r="C97" s="7" t="s">
        <v>26</v>
      </c>
      <c r="D97" s="7" t="s">
        <v>272</v>
      </c>
      <c r="E97" s="9" t="s">
        <v>208</v>
      </c>
      <c r="F97" s="10">
        <f t="shared" ref="F97:F114" si="195">X97/Y97</f>
        <v>8</v>
      </c>
      <c r="G97" s="11">
        <v>9.7899999999999991</v>
      </c>
      <c r="H97" s="11">
        <f t="shared" si="118"/>
        <v>12.237499999999999</v>
      </c>
      <c r="I97" s="11">
        <f t="shared" si="191"/>
        <v>97.899999999999991</v>
      </c>
      <c r="J97" s="86">
        <f t="shared" si="120"/>
        <v>1.3874015573951101E-4</v>
      </c>
      <c r="K97" s="109"/>
      <c r="L97" s="103"/>
      <c r="M97" s="88">
        <f t="shared" si="192"/>
        <v>0</v>
      </c>
      <c r="N97" s="103"/>
      <c r="O97" s="88">
        <f t="shared" si="192"/>
        <v>0</v>
      </c>
      <c r="P97" s="103"/>
      <c r="Q97" s="88">
        <f t="shared" ref="Q97:S97" si="196">TRUNC(P97*$H97,2)</f>
        <v>0</v>
      </c>
      <c r="R97" s="103"/>
      <c r="S97" s="88">
        <f t="shared" si="196"/>
        <v>0</v>
      </c>
      <c r="T97" s="103"/>
      <c r="U97" s="88">
        <f t="shared" ref="U97:W97" si="197">TRUNC(T97*$H97,2)</f>
        <v>0</v>
      </c>
      <c r="V97" s="103"/>
      <c r="W97" s="88">
        <f t="shared" si="197"/>
        <v>0</v>
      </c>
      <c r="X97" s="3">
        <v>200</v>
      </c>
      <c r="Y97" s="3">
        <v>25</v>
      </c>
      <c r="Z97" s="3">
        <v>5</v>
      </c>
      <c r="AA97" s="3">
        <v>705635.65017045464</v>
      </c>
      <c r="AB97">
        <f t="shared" si="126"/>
        <v>0.90909090909090906</v>
      </c>
    </row>
    <row r="98" spans="1:28" ht="26.4" x14ac:dyDescent="0.25">
      <c r="A98" s="93" t="s">
        <v>273</v>
      </c>
      <c r="B98" s="8" t="s">
        <v>274</v>
      </c>
      <c r="C98" s="7" t="s">
        <v>26</v>
      </c>
      <c r="D98" s="7" t="s">
        <v>275</v>
      </c>
      <c r="E98" s="9" t="s">
        <v>208</v>
      </c>
      <c r="F98" s="10">
        <f t="shared" si="195"/>
        <v>3</v>
      </c>
      <c r="G98" s="11">
        <v>14.74</v>
      </c>
      <c r="H98" s="11">
        <f t="shared" si="118"/>
        <v>18.425000000000001</v>
      </c>
      <c r="I98" s="11">
        <f t="shared" si="191"/>
        <v>55.275000000000006</v>
      </c>
      <c r="J98" s="86">
        <f t="shared" si="120"/>
        <v>7.8333627257420562E-5</v>
      </c>
      <c r="K98" s="109"/>
      <c r="L98" s="103"/>
      <c r="M98" s="88">
        <f t="shared" si="192"/>
        <v>0</v>
      </c>
      <c r="N98" s="103"/>
      <c r="O98" s="88">
        <f t="shared" si="192"/>
        <v>0</v>
      </c>
      <c r="P98" s="103"/>
      <c r="Q98" s="88">
        <f t="shared" ref="Q98:S98" si="198">TRUNC(P98*$H98,2)</f>
        <v>0</v>
      </c>
      <c r="R98" s="103"/>
      <c r="S98" s="88">
        <f t="shared" si="198"/>
        <v>0</v>
      </c>
      <c r="T98" s="103"/>
      <c r="U98" s="88">
        <f t="shared" ref="U98:W98" si="199">TRUNC(T98*$H98,2)</f>
        <v>0</v>
      </c>
      <c r="V98" s="103"/>
      <c r="W98" s="88">
        <f t="shared" si="199"/>
        <v>0</v>
      </c>
      <c r="X98" s="3">
        <v>75</v>
      </c>
      <c r="Y98" s="3">
        <v>25</v>
      </c>
      <c r="Z98" s="3">
        <v>5</v>
      </c>
      <c r="AA98" s="3">
        <v>705635.65017045464</v>
      </c>
      <c r="AB98">
        <f t="shared" si="126"/>
        <v>0.90909090909090906</v>
      </c>
    </row>
    <row r="99" spans="1:28" ht="39.6" x14ac:dyDescent="0.25">
      <c r="A99" s="93" t="s">
        <v>276</v>
      </c>
      <c r="B99" s="8" t="s">
        <v>277</v>
      </c>
      <c r="C99" s="7" t="s">
        <v>26</v>
      </c>
      <c r="D99" s="7" t="s">
        <v>278</v>
      </c>
      <c r="E99" s="9" t="s">
        <v>208</v>
      </c>
      <c r="F99" s="10">
        <f t="shared" si="195"/>
        <v>8</v>
      </c>
      <c r="G99" s="11">
        <v>7.4</v>
      </c>
      <c r="H99" s="11">
        <f t="shared" si="118"/>
        <v>9.25</v>
      </c>
      <c r="I99" s="11">
        <f t="shared" si="191"/>
        <v>74</v>
      </c>
      <c r="J99" s="86">
        <f t="shared" si="120"/>
        <v>1.0486998493078464E-4</v>
      </c>
      <c r="K99" s="109"/>
      <c r="L99" s="103"/>
      <c r="M99" s="88">
        <f t="shared" si="192"/>
        <v>0</v>
      </c>
      <c r="N99" s="103"/>
      <c r="O99" s="88">
        <f t="shared" si="192"/>
        <v>0</v>
      </c>
      <c r="P99" s="103"/>
      <c r="Q99" s="88">
        <f t="shared" ref="Q99:S99" si="200">TRUNC(P99*$H99,2)</f>
        <v>0</v>
      </c>
      <c r="R99" s="103"/>
      <c r="S99" s="88">
        <f t="shared" si="200"/>
        <v>0</v>
      </c>
      <c r="T99" s="103"/>
      <c r="U99" s="88">
        <f t="shared" ref="U99:W99" si="201">TRUNC(T99*$H99,2)</f>
        <v>0</v>
      </c>
      <c r="V99" s="103"/>
      <c r="W99" s="88">
        <f t="shared" si="201"/>
        <v>0</v>
      </c>
      <c r="X99" s="3">
        <v>200</v>
      </c>
      <c r="Y99" s="3">
        <v>25</v>
      </c>
      <c r="Z99" s="3">
        <v>5</v>
      </c>
      <c r="AA99" s="3">
        <v>705635.65017045464</v>
      </c>
      <c r="AB99">
        <f t="shared" si="126"/>
        <v>0.90909090909090906</v>
      </c>
    </row>
    <row r="100" spans="1:28" ht="39.6" x14ac:dyDescent="0.25">
      <c r="A100" s="93" t="s">
        <v>279</v>
      </c>
      <c r="B100" s="8" t="s">
        <v>280</v>
      </c>
      <c r="C100" s="7" t="s">
        <v>19</v>
      </c>
      <c r="D100" s="7" t="s">
        <v>281</v>
      </c>
      <c r="E100" s="9" t="s">
        <v>208</v>
      </c>
      <c r="F100" s="10">
        <f t="shared" si="195"/>
        <v>1</v>
      </c>
      <c r="G100" s="11">
        <v>291.99</v>
      </c>
      <c r="H100" s="11">
        <f t="shared" si="118"/>
        <v>364.98750000000001</v>
      </c>
      <c r="I100" s="11">
        <f t="shared" si="191"/>
        <v>364.98750000000001</v>
      </c>
      <c r="J100" s="86">
        <f t="shared" si="120"/>
        <v>5.1724640033682105E-4</v>
      </c>
      <c r="K100" s="109"/>
      <c r="L100" s="103"/>
      <c r="M100" s="88">
        <f t="shared" si="192"/>
        <v>0</v>
      </c>
      <c r="N100" s="103"/>
      <c r="O100" s="88">
        <f t="shared" si="192"/>
        <v>0</v>
      </c>
      <c r="P100" s="103"/>
      <c r="Q100" s="88">
        <f t="shared" ref="Q100:S100" si="202">TRUNC(P100*$H100,2)</f>
        <v>0</v>
      </c>
      <c r="R100" s="103"/>
      <c r="S100" s="88">
        <f t="shared" si="202"/>
        <v>0</v>
      </c>
      <c r="T100" s="103"/>
      <c r="U100" s="88">
        <f t="shared" ref="U100:W100" si="203">TRUNC(T100*$H100,2)</f>
        <v>0</v>
      </c>
      <c r="V100" s="103"/>
      <c r="W100" s="88">
        <f t="shared" si="203"/>
        <v>0</v>
      </c>
      <c r="X100" s="3">
        <v>25</v>
      </c>
      <c r="Y100" s="3">
        <v>25</v>
      </c>
      <c r="Z100" s="3">
        <v>5</v>
      </c>
      <c r="AA100" s="3">
        <v>705635.65017045464</v>
      </c>
      <c r="AB100">
        <f t="shared" si="126"/>
        <v>0.90909090909090906</v>
      </c>
    </row>
    <row r="101" spans="1:28" ht="39.6" x14ac:dyDescent="0.25">
      <c r="A101" s="93" t="s">
        <v>282</v>
      </c>
      <c r="B101" s="8" t="s">
        <v>283</v>
      </c>
      <c r="C101" s="7" t="s">
        <v>26</v>
      </c>
      <c r="D101" s="7" t="s">
        <v>284</v>
      </c>
      <c r="E101" s="9" t="s">
        <v>208</v>
      </c>
      <c r="F101" s="10">
        <f t="shared" si="195"/>
        <v>3</v>
      </c>
      <c r="G101" s="11">
        <v>112.92</v>
      </c>
      <c r="H101" s="11">
        <f t="shared" si="118"/>
        <v>141.15</v>
      </c>
      <c r="I101" s="11">
        <f t="shared" si="191"/>
        <v>423.45000000000005</v>
      </c>
      <c r="J101" s="86">
        <f t="shared" si="120"/>
        <v>6.0009723133703727E-4</v>
      </c>
      <c r="K101" s="109"/>
      <c r="L101" s="103"/>
      <c r="M101" s="88">
        <f t="shared" si="192"/>
        <v>0</v>
      </c>
      <c r="N101" s="103"/>
      <c r="O101" s="88">
        <f t="shared" si="192"/>
        <v>0</v>
      </c>
      <c r="P101" s="103"/>
      <c r="Q101" s="88">
        <f t="shared" ref="Q101:S101" si="204">TRUNC(P101*$H101,2)</f>
        <v>0</v>
      </c>
      <c r="R101" s="103"/>
      <c r="S101" s="88">
        <f t="shared" si="204"/>
        <v>0</v>
      </c>
      <c r="T101" s="103"/>
      <c r="U101" s="88">
        <f t="shared" ref="U101:W101" si="205">TRUNC(T101*$H101,2)</f>
        <v>0</v>
      </c>
      <c r="V101" s="103"/>
      <c r="W101" s="88">
        <f t="shared" si="205"/>
        <v>0</v>
      </c>
      <c r="X101" s="3">
        <v>75</v>
      </c>
      <c r="Y101" s="3">
        <v>25</v>
      </c>
      <c r="Z101" s="3">
        <v>5</v>
      </c>
      <c r="AA101" s="3">
        <v>705635.65017045464</v>
      </c>
      <c r="AB101">
        <f t="shared" si="126"/>
        <v>0.90909090909090906</v>
      </c>
    </row>
    <row r="102" spans="1:28" ht="26.4" x14ac:dyDescent="0.25">
      <c r="A102" s="93" t="s">
        <v>285</v>
      </c>
      <c r="B102" s="8" t="s">
        <v>286</v>
      </c>
      <c r="C102" s="7" t="s">
        <v>26</v>
      </c>
      <c r="D102" s="7" t="s">
        <v>287</v>
      </c>
      <c r="E102" s="9" t="s">
        <v>208</v>
      </c>
      <c r="F102" s="10">
        <f t="shared" si="195"/>
        <v>1</v>
      </c>
      <c r="G102" s="11">
        <v>32.659999999999997</v>
      </c>
      <c r="H102" s="11">
        <f t="shared" si="118"/>
        <v>40.824999999999996</v>
      </c>
      <c r="I102" s="11">
        <f t="shared" si="191"/>
        <v>40.824999999999996</v>
      </c>
      <c r="J102" s="86">
        <f t="shared" si="120"/>
        <v>5.7855636956747059E-5</v>
      </c>
      <c r="K102" s="109"/>
      <c r="L102" s="103"/>
      <c r="M102" s="88">
        <f t="shared" si="192"/>
        <v>0</v>
      </c>
      <c r="N102" s="103"/>
      <c r="O102" s="88">
        <f t="shared" si="192"/>
        <v>0</v>
      </c>
      <c r="P102" s="103"/>
      <c r="Q102" s="88">
        <f t="shared" ref="Q102:S102" si="206">TRUNC(P102*$H102,2)</f>
        <v>0</v>
      </c>
      <c r="R102" s="103"/>
      <c r="S102" s="88">
        <f t="shared" si="206"/>
        <v>0</v>
      </c>
      <c r="T102" s="103"/>
      <c r="U102" s="88">
        <f t="shared" ref="U102:W102" si="207">TRUNC(T102*$H102,2)</f>
        <v>0</v>
      </c>
      <c r="V102" s="103"/>
      <c r="W102" s="88">
        <f t="shared" si="207"/>
        <v>0</v>
      </c>
      <c r="X102" s="3">
        <v>25</v>
      </c>
      <c r="Y102" s="3">
        <v>25</v>
      </c>
      <c r="Z102" s="3">
        <v>5</v>
      </c>
      <c r="AA102" s="3">
        <v>705635.65017045464</v>
      </c>
      <c r="AB102">
        <f t="shared" si="126"/>
        <v>0.90909090909090906</v>
      </c>
    </row>
    <row r="103" spans="1:28" ht="26.4" x14ac:dyDescent="0.25">
      <c r="A103" s="93" t="s">
        <v>288</v>
      </c>
      <c r="B103" s="8" t="s">
        <v>289</v>
      </c>
      <c r="C103" s="7" t="s">
        <v>26</v>
      </c>
      <c r="D103" s="7" t="s">
        <v>290</v>
      </c>
      <c r="E103" s="9" t="s">
        <v>208</v>
      </c>
      <c r="F103" s="10">
        <f t="shared" si="195"/>
        <v>4</v>
      </c>
      <c r="G103" s="11">
        <v>12.94</v>
      </c>
      <c r="H103" s="11">
        <f t="shared" si="118"/>
        <v>16.175000000000001</v>
      </c>
      <c r="I103" s="11">
        <f t="shared" si="191"/>
        <v>64.7</v>
      </c>
      <c r="J103" s="86">
        <f t="shared" si="120"/>
        <v>9.1690378716510353E-5</v>
      </c>
      <c r="K103" s="109"/>
      <c r="L103" s="103"/>
      <c r="M103" s="88">
        <f t="shared" si="192"/>
        <v>0</v>
      </c>
      <c r="N103" s="103"/>
      <c r="O103" s="88">
        <f t="shared" si="192"/>
        <v>0</v>
      </c>
      <c r="P103" s="103"/>
      <c r="Q103" s="88">
        <f t="shared" ref="Q103:S103" si="208">TRUNC(P103*$H103,2)</f>
        <v>0</v>
      </c>
      <c r="R103" s="103"/>
      <c r="S103" s="88">
        <f t="shared" si="208"/>
        <v>0</v>
      </c>
      <c r="T103" s="103"/>
      <c r="U103" s="88">
        <f t="shared" ref="U103:W103" si="209">TRUNC(T103*$H103,2)</f>
        <v>0</v>
      </c>
      <c r="V103" s="103"/>
      <c r="W103" s="88">
        <f t="shared" si="209"/>
        <v>0</v>
      </c>
      <c r="X103" s="3">
        <v>100</v>
      </c>
      <c r="Y103" s="3">
        <v>25</v>
      </c>
      <c r="Z103" s="3">
        <v>5</v>
      </c>
      <c r="AA103" s="3">
        <v>705635.65017045464</v>
      </c>
      <c r="AB103">
        <f t="shared" si="126"/>
        <v>0.90909090909090906</v>
      </c>
    </row>
    <row r="104" spans="1:28" ht="26.4" x14ac:dyDescent="0.25">
      <c r="A104" s="93" t="s">
        <v>291</v>
      </c>
      <c r="B104" s="8" t="s">
        <v>292</v>
      </c>
      <c r="C104" s="7" t="s">
        <v>26</v>
      </c>
      <c r="D104" s="7" t="s">
        <v>293</v>
      </c>
      <c r="E104" s="9" t="s">
        <v>29</v>
      </c>
      <c r="F104" s="10">
        <f t="shared" si="195"/>
        <v>10</v>
      </c>
      <c r="G104" s="11">
        <v>14.06</v>
      </c>
      <c r="H104" s="11">
        <f t="shared" si="118"/>
        <v>17.574999999999999</v>
      </c>
      <c r="I104" s="11">
        <f t="shared" si="191"/>
        <v>175.75</v>
      </c>
      <c r="J104" s="86">
        <f t="shared" si="120"/>
        <v>2.4906621421061354E-4</v>
      </c>
      <c r="K104" s="109"/>
      <c r="L104" s="103"/>
      <c r="M104" s="88">
        <f t="shared" si="192"/>
        <v>0</v>
      </c>
      <c r="N104" s="103"/>
      <c r="O104" s="88">
        <f t="shared" si="192"/>
        <v>0</v>
      </c>
      <c r="P104" s="103"/>
      <c r="Q104" s="88">
        <f t="shared" ref="Q104:S104" si="210">TRUNC(P104*$H104,2)</f>
        <v>0</v>
      </c>
      <c r="R104" s="103"/>
      <c r="S104" s="88">
        <f t="shared" si="210"/>
        <v>0</v>
      </c>
      <c r="T104" s="103"/>
      <c r="U104" s="88">
        <f t="shared" ref="U104:W104" si="211">TRUNC(T104*$H104,2)</f>
        <v>0</v>
      </c>
      <c r="V104" s="103"/>
      <c r="W104" s="88">
        <f t="shared" si="211"/>
        <v>0</v>
      </c>
      <c r="X104" s="3">
        <v>250</v>
      </c>
      <c r="Y104" s="3">
        <v>25</v>
      </c>
      <c r="Z104" s="3">
        <v>5</v>
      </c>
      <c r="AA104" s="3">
        <v>705635.65017045464</v>
      </c>
      <c r="AB104">
        <f t="shared" si="126"/>
        <v>0.90909090909090906</v>
      </c>
    </row>
    <row r="105" spans="1:28" ht="26.4" x14ac:dyDescent="0.25">
      <c r="A105" s="93" t="s">
        <v>294</v>
      </c>
      <c r="B105" s="8" t="s">
        <v>295</v>
      </c>
      <c r="C105" s="7" t="s">
        <v>26</v>
      </c>
      <c r="D105" s="7" t="s">
        <v>296</v>
      </c>
      <c r="E105" s="9" t="s">
        <v>208</v>
      </c>
      <c r="F105" s="10">
        <f t="shared" si="195"/>
        <v>3</v>
      </c>
      <c r="G105" s="11">
        <v>13.49</v>
      </c>
      <c r="H105" s="11">
        <f t="shared" si="118"/>
        <v>16.862500000000001</v>
      </c>
      <c r="I105" s="11">
        <f t="shared" si="191"/>
        <v>50.587500000000006</v>
      </c>
      <c r="J105" s="86">
        <f t="shared" si="120"/>
        <v>7.1690680576838768E-5</v>
      </c>
      <c r="K105" s="109"/>
      <c r="L105" s="103"/>
      <c r="M105" s="88">
        <f t="shared" si="192"/>
        <v>0</v>
      </c>
      <c r="N105" s="103"/>
      <c r="O105" s="88">
        <f t="shared" si="192"/>
        <v>0</v>
      </c>
      <c r="P105" s="103"/>
      <c r="Q105" s="88">
        <f t="shared" ref="Q105:S105" si="212">TRUNC(P105*$H105,2)</f>
        <v>0</v>
      </c>
      <c r="R105" s="103"/>
      <c r="S105" s="88">
        <f t="shared" si="212"/>
        <v>0</v>
      </c>
      <c r="T105" s="103"/>
      <c r="U105" s="88">
        <f t="shared" ref="U105:W105" si="213">TRUNC(T105*$H105,2)</f>
        <v>0</v>
      </c>
      <c r="V105" s="103"/>
      <c r="W105" s="88">
        <f t="shared" si="213"/>
        <v>0</v>
      </c>
      <c r="X105" s="3">
        <v>75</v>
      </c>
      <c r="Y105" s="3">
        <v>25</v>
      </c>
      <c r="Z105" s="3">
        <v>5</v>
      </c>
      <c r="AA105" s="3">
        <v>705635.65017045464</v>
      </c>
      <c r="AB105">
        <f t="shared" si="126"/>
        <v>0.90909090909090906</v>
      </c>
    </row>
    <row r="106" spans="1:28" ht="39.6" x14ac:dyDescent="0.25">
      <c r="A106" s="93" t="s">
        <v>297</v>
      </c>
      <c r="B106" s="8" t="s">
        <v>298</v>
      </c>
      <c r="C106" s="7" t="s">
        <v>26</v>
      </c>
      <c r="D106" s="7" t="s">
        <v>299</v>
      </c>
      <c r="E106" s="9" t="s">
        <v>208</v>
      </c>
      <c r="F106" s="10">
        <f t="shared" si="195"/>
        <v>1</v>
      </c>
      <c r="G106" s="11">
        <v>22.6</v>
      </c>
      <c r="H106" s="11">
        <f t="shared" ref="H106:H129" si="214">G106*1.25</f>
        <v>28.25</v>
      </c>
      <c r="I106" s="11">
        <f t="shared" si="191"/>
        <v>28.25</v>
      </c>
      <c r="J106" s="86">
        <f t="shared" ref="J106:J129" si="215">I106/AA106</f>
        <v>4.0034825328306298E-5</v>
      </c>
      <c r="K106" s="109"/>
      <c r="L106" s="103"/>
      <c r="M106" s="88">
        <f t="shared" si="192"/>
        <v>0</v>
      </c>
      <c r="N106" s="103"/>
      <c r="O106" s="88">
        <f t="shared" si="192"/>
        <v>0</v>
      </c>
      <c r="P106" s="103"/>
      <c r="Q106" s="88">
        <f t="shared" ref="Q106:S106" si="216">TRUNC(P106*$H106,2)</f>
        <v>0</v>
      </c>
      <c r="R106" s="103"/>
      <c r="S106" s="88">
        <f t="shared" si="216"/>
        <v>0</v>
      </c>
      <c r="T106" s="103"/>
      <c r="U106" s="88">
        <f t="shared" ref="U106:W106" si="217">TRUNC(T106*$H106,2)</f>
        <v>0</v>
      </c>
      <c r="V106" s="103"/>
      <c r="W106" s="88">
        <f t="shared" si="217"/>
        <v>0</v>
      </c>
      <c r="X106" s="3">
        <v>25</v>
      </c>
      <c r="Y106" s="3">
        <v>25</v>
      </c>
      <c r="Z106" s="3">
        <v>5</v>
      </c>
      <c r="AA106" s="3">
        <v>705635.65017045464</v>
      </c>
      <c r="AB106">
        <f t="shared" ref="AB106:AB132" si="218">50/55</f>
        <v>0.90909090909090906</v>
      </c>
    </row>
    <row r="107" spans="1:28" ht="26.4" x14ac:dyDescent="0.25">
      <c r="A107" s="93" t="s">
        <v>300</v>
      </c>
      <c r="B107" s="8" t="s">
        <v>301</v>
      </c>
      <c r="C107" s="7" t="s">
        <v>26</v>
      </c>
      <c r="D107" s="7" t="s">
        <v>302</v>
      </c>
      <c r="E107" s="9" t="s">
        <v>208</v>
      </c>
      <c r="F107" s="10">
        <f t="shared" si="195"/>
        <v>8</v>
      </c>
      <c r="G107" s="11">
        <v>13.56</v>
      </c>
      <c r="H107" s="11">
        <f t="shared" si="214"/>
        <v>16.95</v>
      </c>
      <c r="I107" s="11">
        <f t="shared" si="191"/>
        <v>135.6</v>
      </c>
      <c r="J107" s="86">
        <f t="shared" si="215"/>
        <v>1.9216716157587023E-4</v>
      </c>
      <c r="K107" s="109"/>
      <c r="L107" s="103"/>
      <c r="M107" s="88">
        <f t="shared" si="192"/>
        <v>0</v>
      </c>
      <c r="N107" s="103"/>
      <c r="O107" s="88">
        <f t="shared" si="192"/>
        <v>0</v>
      </c>
      <c r="P107" s="103"/>
      <c r="Q107" s="88">
        <f t="shared" ref="Q107:S107" si="219">TRUNC(P107*$H107,2)</f>
        <v>0</v>
      </c>
      <c r="R107" s="103"/>
      <c r="S107" s="88">
        <f t="shared" si="219"/>
        <v>0</v>
      </c>
      <c r="T107" s="103"/>
      <c r="U107" s="88">
        <f t="shared" ref="U107:W107" si="220">TRUNC(T107*$H107,2)</f>
        <v>0</v>
      </c>
      <c r="V107" s="103"/>
      <c r="W107" s="88">
        <f t="shared" si="220"/>
        <v>0</v>
      </c>
      <c r="X107" s="3">
        <v>200</v>
      </c>
      <c r="Y107" s="3">
        <v>25</v>
      </c>
      <c r="Z107" s="3">
        <v>5</v>
      </c>
      <c r="AA107" s="3">
        <v>705635.65017045464</v>
      </c>
      <c r="AB107">
        <f t="shared" si="218"/>
        <v>0.90909090909090906</v>
      </c>
    </row>
    <row r="108" spans="1:28" ht="26.4" x14ac:dyDescent="0.25">
      <c r="A108" s="93" t="s">
        <v>303</v>
      </c>
      <c r="B108" s="8" t="s">
        <v>304</v>
      </c>
      <c r="C108" s="7" t="s">
        <v>26</v>
      </c>
      <c r="D108" s="7" t="s">
        <v>305</v>
      </c>
      <c r="E108" s="9" t="s">
        <v>208</v>
      </c>
      <c r="F108" s="10">
        <f t="shared" si="195"/>
        <v>1</v>
      </c>
      <c r="G108" s="11">
        <v>14.46</v>
      </c>
      <c r="H108" s="11">
        <f t="shared" si="214"/>
        <v>18.075000000000003</v>
      </c>
      <c r="I108" s="11">
        <f t="shared" si="191"/>
        <v>18.075000000000003</v>
      </c>
      <c r="J108" s="86">
        <f t="shared" si="215"/>
        <v>2.5615202400323414E-5</v>
      </c>
      <c r="K108" s="109"/>
      <c r="L108" s="103"/>
      <c r="M108" s="88">
        <f t="shared" si="192"/>
        <v>0</v>
      </c>
      <c r="N108" s="103"/>
      <c r="O108" s="88">
        <f t="shared" si="192"/>
        <v>0</v>
      </c>
      <c r="P108" s="103"/>
      <c r="Q108" s="88">
        <f t="shared" ref="Q108:S108" si="221">TRUNC(P108*$H108,2)</f>
        <v>0</v>
      </c>
      <c r="R108" s="103"/>
      <c r="S108" s="88">
        <f t="shared" si="221"/>
        <v>0</v>
      </c>
      <c r="T108" s="103"/>
      <c r="U108" s="88">
        <f t="shared" ref="U108:W108" si="222">TRUNC(T108*$H108,2)</f>
        <v>0</v>
      </c>
      <c r="V108" s="103"/>
      <c r="W108" s="88">
        <f t="shared" si="222"/>
        <v>0</v>
      </c>
      <c r="X108" s="3">
        <v>25</v>
      </c>
      <c r="Y108" s="3">
        <v>25</v>
      </c>
      <c r="Z108" s="3">
        <v>5</v>
      </c>
      <c r="AA108" s="3">
        <v>705635.65017045464</v>
      </c>
      <c r="AB108">
        <f t="shared" si="218"/>
        <v>0.90909090909090906</v>
      </c>
    </row>
    <row r="109" spans="1:28" ht="39.6" x14ac:dyDescent="0.25">
      <c r="A109" s="93" t="s">
        <v>306</v>
      </c>
      <c r="B109" s="8" t="s">
        <v>307</v>
      </c>
      <c r="C109" s="7" t="s">
        <v>26</v>
      </c>
      <c r="D109" s="7" t="s">
        <v>308</v>
      </c>
      <c r="E109" s="9" t="s">
        <v>208</v>
      </c>
      <c r="F109" s="10">
        <f t="shared" si="195"/>
        <v>3</v>
      </c>
      <c r="G109" s="11">
        <v>8.1</v>
      </c>
      <c r="H109" s="11">
        <f t="shared" si="214"/>
        <v>10.125</v>
      </c>
      <c r="I109" s="11">
        <f t="shared" si="191"/>
        <v>30.375</v>
      </c>
      <c r="J109" s="86">
        <f t="shared" si="215"/>
        <v>4.3046294490170044E-5</v>
      </c>
      <c r="K109" s="109"/>
      <c r="L109" s="103"/>
      <c r="M109" s="88">
        <f t="shared" si="192"/>
        <v>0</v>
      </c>
      <c r="N109" s="103"/>
      <c r="O109" s="88">
        <f t="shared" si="192"/>
        <v>0</v>
      </c>
      <c r="P109" s="103"/>
      <c r="Q109" s="88">
        <f t="shared" ref="Q109:S109" si="223">TRUNC(P109*$H109,2)</f>
        <v>0</v>
      </c>
      <c r="R109" s="103"/>
      <c r="S109" s="88">
        <f t="shared" si="223"/>
        <v>0</v>
      </c>
      <c r="T109" s="103"/>
      <c r="U109" s="88">
        <f t="shared" ref="U109:W109" si="224">TRUNC(T109*$H109,2)</f>
        <v>0</v>
      </c>
      <c r="V109" s="103"/>
      <c r="W109" s="88">
        <f t="shared" si="224"/>
        <v>0</v>
      </c>
      <c r="X109" s="3">
        <v>75</v>
      </c>
      <c r="Y109" s="3">
        <v>25</v>
      </c>
      <c r="Z109" s="3">
        <v>5</v>
      </c>
      <c r="AA109" s="3">
        <v>705635.65017045464</v>
      </c>
      <c r="AB109">
        <f t="shared" si="218"/>
        <v>0.90909090909090906</v>
      </c>
    </row>
    <row r="110" spans="1:28" ht="26.4" x14ac:dyDescent="0.25">
      <c r="A110" s="93" t="s">
        <v>309</v>
      </c>
      <c r="B110" s="8" t="s">
        <v>310</v>
      </c>
      <c r="C110" s="7" t="s">
        <v>26</v>
      </c>
      <c r="D110" s="7" t="s">
        <v>311</v>
      </c>
      <c r="E110" s="9" t="s">
        <v>208</v>
      </c>
      <c r="F110" s="10">
        <f t="shared" si="195"/>
        <v>3</v>
      </c>
      <c r="G110" s="11">
        <v>18.93</v>
      </c>
      <c r="H110" s="11">
        <f t="shared" si="214"/>
        <v>23.662500000000001</v>
      </c>
      <c r="I110" s="11">
        <f t="shared" si="191"/>
        <v>70.987500000000011</v>
      </c>
      <c r="J110" s="86">
        <f t="shared" si="215"/>
        <v>1.0060078453073075E-4</v>
      </c>
      <c r="K110" s="109"/>
      <c r="L110" s="103"/>
      <c r="M110" s="88">
        <f t="shared" si="192"/>
        <v>0</v>
      </c>
      <c r="N110" s="103"/>
      <c r="O110" s="88">
        <f t="shared" si="192"/>
        <v>0</v>
      </c>
      <c r="P110" s="103"/>
      <c r="Q110" s="88">
        <f t="shared" ref="Q110:S110" si="225">TRUNC(P110*$H110,2)</f>
        <v>0</v>
      </c>
      <c r="R110" s="103"/>
      <c r="S110" s="88">
        <f t="shared" si="225"/>
        <v>0</v>
      </c>
      <c r="T110" s="103"/>
      <c r="U110" s="88">
        <f t="shared" ref="U110:W110" si="226">TRUNC(T110*$H110,2)</f>
        <v>0</v>
      </c>
      <c r="V110" s="103"/>
      <c r="W110" s="88">
        <f t="shared" si="226"/>
        <v>0</v>
      </c>
      <c r="X110" s="3">
        <v>75</v>
      </c>
      <c r="Y110" s="3">
        <v>25</v>
      </c>
      <c r="Z110" s="3">
        <v>5</v>
      </c>
      <c r="AA110" s="3">
        <v>705635.65017045464</v>
      </c>
      <c r="AB110">
        <f t="shared" si="218"/>
        <v>0.90909090909090906</v>
      </c>
    </row>
    <row r="111" spans="1:28" ht="39.6" x14ac:dyDescent="0.25">
      <c r="A111" s="93" t="s">
        <v>312</v>
      </c>
      <c r="B111" s="8" t="s">
        <v>313</v>
      </c>
      <c r="C111" s="7" t="s">
        <v>26</v>
      </c>
      <c r="D111" s="7" t="s">
        <v>314</v>
      </c>
      <c r="E111" s="9" t="s">
        <v>208</v>
      </c>
      <c r="F111" s="10">
        <f t="shared" si="195"/>
        <v>1</v>
      </c>
      <c r="G111" s="11">
        <v>27.57</v>
      </c>
      <c r="H111" s="11">
        <f t="shared" si="214"/>
        <v>34.462499999999999</v>
      </c>
      <c r="I111" s="11">
        <f t="shared" si="191"/>
        <v>34.462499999999999</v>
      </c>
      <c r="J111" s="86">
        <f t="shared" si="215"/>
        <v>4.8838943995637372E-5</v>
      </c>
      <c r="K111" s="109"/>
      <c r="L111" s="103"/>
      <c r="M111" s="88">
        <f t="shared" si="192"/>
        <v>0</v>
      </c>
      <c r="N111" s="103"/>
      <c r="O111" s="88">
        <f t="shared" si="192"/>
        <v>0</v>
      </c>
      <c r="P111" s="103"/>
      <c r="Q111" s="88">
        <f t="shared" ref="Q111:S111" si="227">TRUNC(P111*$H111,2)</f>
        <v>0</v>
      </c>
      <c r="R111" s="103"/>
      <c r="S111" s="88">
        <f t="shared" si="227"/>
        <v>0</v>
      </c>
      <c r="T111" s="103"/>
      <c r="U111" s="88">
        <f t="shared" ref="U111:W111" si="228">TRUNC(T111*$H111,2)</f>
        <v>0</v>
      </c>
      <c r="V111" s="103"/>
      <c r="W111" s="88">
        <f t="shared" si="228"/>
        <v>0</v>
      </c>
      <c r="X111" s="3">
        <v>25</v>
      </c>
      <c r="Y111" s="3">
        <v>25</v>
      </c>
      <c r="Z111" s="3">
        <v>5</v>
      </c>
      <c r="AA111" s="3">
        <v>705635.65017045464</v>
      </c>
      <c r="AB111">
        <f t="shared" si="218"/>
        <v>0.90909090909090906</v>
      </c>
    </row>
    <row r="112" spans="1:28" ht="26.4" x14ac:dyDescent="0.25">
      <c r="A112" s="93" t="s">
        <v>315</v>
      </c>
      <c r="B112" s="8" t="s">
        <v>292</v>
      </c>
      <c r="C112" s="7" t="s">
        <v>26</v>
      </c>
      <c r="D112" s="7" t="s">
        <v>293</v>
      </c>
      <c r="E112" s="9" t="s">
        <v>29</v>
      </c>
      <c r="F112" s="10">
        <f t="shared" si="195"/>
        <v>10.9</v>
      </c>
      <c r="G112" s="11">
        <v>14.06</v>
      </c>
      <c r="H112" s="11">
        <f t="shared" si="214"/>
        <v>17.574999999999999</v>
      </c>
      <c r="I112" s="11">
        <f t="shared" si="191"/>
        <v>191.5675</v>
      </c>
      <c r="J112" s="86">
        <f t="shared" si="215"/>
        <v>2.7148217348956871E-4</v>
      </c>
      <c r="K112" s="109"/>
      <c r="L112" s="103"/>
      <c r="M112" s="88">
        <f t="shared" si="192"/>
        <v>0</v>
      </c>
      <c r="N112" s="103"/>
      <c r="O112" s="88">
        <f t="shared" si="192"/>
        <v>0</v>
      </c>
      <c r="P112" s="103"/>
      <c r="Q112" s="88">
        <f t="shared" ref="Q112:S112" si="229">TRUNC(P112*$H112,2)</f>
        <v>0</v>
      </c>
      <c r="R112" s="103"/>
      <c r="S112" s="88">
        <f t="shared" si="229"/>
        <v>0</v>
      </c>
      <c r="T112" s="103"/>
      <c r="U112" s="88">
        <f t="shared" ref="U112:W112" si="230">TRUNC(T112*$H112,2)</f>
        <v>0</v>
      </c>
      <c r="V112" s="103"/>
      <c r="W112" s="88">
        <f t="shared" si="230"/>
        <v>0</v>
      </c>
      <c r="X112" s="3">
        <v>272.5</v>
      </c>
      <c r="Y112" s="3">
        <v>25</v>
      </c>
      <c r="Z112" s="3">
        <v>5</v>
      </c>
      <c r="AA112" s="3">
        <v>705635.65017045464</v>
      </c>
      <c r="AB112">
        <f t="shared" si="218"/>
        <v>0.90909090909090906</v>
      </c>
    </row>
    <row r="113" spans="1:28" ht="26.4" x14ac:dyDescent="0.25">
      <c r="A113" s="93" t="s">
        <v>316</v>
      </c>
      <c r="B113" s="8" t="s">
        <v>317</v>
      </c>
      <c r="C113" s="7" t="s">
        <v>26</v>
      </c>
      <c r="D113" s="7" t="s">
        <v>318</v>
      </c>
      <c r="E113" s="9" t="s">
        <v>29</v>
      </c>
      <c r="F113" s="10">
        <f t="shared" si="195"/>
        <v>12</v>
      </c>
      <c r="G113" s="11">
        <v>21.41</v>
      </c>
      <c r="H113" s="11">
        <f t="shared" si="214"/>
        <v>26.762499999999999</v>
      </c>
      <c r="I113" s="11">
        <f t="shared" si="191"/>
        <v>321.14999999999998</v>
      </c>
      <c r="J113" s="86">
        <f t="shared" si="215"/>
        <v>4.5512156298002009E-4</v>
      </c>
      <c r="K113" s="109"/>
      <c r="L113" s="103"/>
      <c r="M113" s="88">
        <f t="shared" si="192"/>
        <v>0</v>
      </c>
      <c r="N113" s="103"/>
      <c r="O113" s="88">
        <f t="shared" si="192"/>
        <v>0</v>
      </c>
      <c r="P113" s="103"/>
      <c r="Q113" s="88">
        <f t="shared" ref="Q113:S113" si="231">TRUNC(P113*$H113,2)</f>
        <v>0</v>
      </c>
      <c r="R113" s="103"/>
      <c r="S113" s="88">
        <f t="shared" si="231"/>
        <v>0</v>
      </c>
      <c r="T113" s="103"/>
      <c r="U113" s="88">
        <f t="shared" ref="U113:W113" si="232">TRUNC(T113*$H113,2)</f>
        <v>0</v>
      </c>
      <c r="V113" s="103"/>
      <c r="W113" s="88">
        <f t="shared" si="232"/>
        <v>0</v>
      </c>
      <c r="X113" s="3">
        <v>300</v>
      </c>
      <c r="Y113" s="3">
        <v>25</v>
      </c>
      <c r="Z113" s="3">
        <v>5</v>
      </c>
      <c r="AA113" s="3">
        <v>705635.65017045464</v>
      </c>
      <c r="AB113">
        <f t="shared" si="218"/>
        <v>0.90909090909090906</v>
      </c>
    </row>
    <row r="114" spans="1:28" ht="26.4" x14ac:dyDescent="0.25">
      <c r="A114" s="93" t="s">
        <v>319</v>
      </c>
      <c r="B114" s="8" t="s">
        <v>320</v>
      </c>
      <c r="C114" s="7" t="s">
        <v>26</v>
      </c>
      <c r="D114" s="7" t="s">
        <v>321</v>
      </c>
      <c r="E114" s="9" t="s">
        <v>29</v>
      </c>
      <c r="F114" s="10">
        <f t="shared" si="195"/>
        <v>0.5</v>
      </c>
      <c r="G114" s="11">
        <v>33.42</v>
      </c>
      <c r="H114" s="11">
        <f t="shared" si="214"/>
        <v>41.775000000000006</v>
      </c>
      <c r="I114" s="11">
        <f t="shared" si="191"/>
        <v>20.887500000000003</v>
      </c>
      <c r="J114" s="86">
        <f t="shared" si="215"/>
        <v>2.9600970408672494E-5</v>
      </c>
      <c r="K114" s="109"/>
      <c r="L114" s="103"/>
      <c r="M114" s="88">
        <f t="shared" si="192"/>
        <v>0</v>
      </c>
      <c r="N114" s="103"/>
      <c r="O114" s="88">
        <f t="shared" si="192"/>
        <v>0</v>
      </c>
      <c r="P114" s="103"/>
      <c r="Q114" s="88">
        <f t="shared" ref="Q114:S114" si="233">TRUNC(P114*$H114,2)</f>
        <v>0</v>
      </c>
      <c r="R114" s="103"/>
      <c r="S114" s="88">
        <f t="shared" si="233"/>
        <v>0</v>
      </c>
      <c r="T114" s="103"/>
      <c r="U114" s="88">
        <f t="shared" ref="U114:W114" si="234">TRUNC(T114*$H114,2)</f>
        <v>0</v>
      </c>
      <c r="V114" s="103"/>
      <c r="W114" s="88">
        <f t="shared" si="234"/>
        <v>0</v>
      </c>
      <c r="X114" s="3">
        <v>12.5</v>
      </c>
      <c r="Y114" s="3">
        <v>25</v>
      </c>
      <c r="Z114" s="3">
        <v>5</v>
      </c>
      <c r="AA114" s="3">
        <v>705635.65017045464</v>
      </c>
      <c r="AB114">
        <f t="shared" si="218"/>
        <v>0.90909090909090906</v>
      </c>
    </row>
    <row r="115" spans="1:28" x14ac:dyDescent="0.25">
      <c r="A115" s="92" t="s">
        <v>322</v>
      </c>
      <c r="B115" s="4"/>
      <c r="C115" s="4"/>
      <c r="D115" s="4" t="s">
        <v>323</v>
      </c>
      <c r="E115" s="4"/>
      <c r="F115" s="10">
        <f t="shared" ref="F115:F127" si="235">X115/Y115*Z115</f>
        <v>0</v>
      </c>
      <c r="G115" s="4"/>
      <c r="H115" s="11">
        <f t="shared" si="214"/>
        <v>0</v>
      </c>
      <c r="I115" s="6">
        <f>SUM(I116:I126)</f>
        <v>3178.2699999999995</v>
      </c>
      <c r="J115" s="85">
        <f t="shared" si="215"/>
        <v>4.5041233379184437E-3</v>
      </c>
      <c r="K115" s="108"/>
      <c r="L115" s="116"/>
      <c r="M115" s="117"/>
      <c r="N115" s="116"/>
      <c r="O115" s="117"/>
      <c r="P115" s="116"/>
      <c r="Q115" s="117"/>
      <c r="R115" s="116"/>
      <c r="S115" s="117"/>
      <c r="T115" s="116"/>
      <c r="U115" s="117"/>
      <c r="V115" s="116"/>
      <c r="W115" s="117"/>
      <c r="Y115" s="3">
        <v>25</v>
      </c>
      <c r="Z115" s="3">
        <v>5</v>
      </c>
      <c r="AA115" s="3">
        <v>705635.65017045464</v>
      </c>
      <c r="AB115">
        <f t="shared" si="218"/>
        <v>0.90909090909090906</v>
      </c>
    </row>
    <row r="116" spans="1:28" ht="39.6" x14ac:dyDescent="0.25">
      <c r="A116" s="93" t="s">
        <v>324</v>
      </c>
      <c r="B116" s="8" t="s">
        <v>325</v>
      </c>
      <c r="C116" s="7" t="s">
        <v>26</v>
      </c>
      <c r="D116" s="7" t="s">
        <v>326</v>
      </c>
      <c r="E116" s="9" t="s">
        <v>208</v>
      </c>
      <c r="F116" s="10">
        <f>X116/Y116</f>
        <v>3</v>
      </c>
      <c r="G116" s="11">
        <v>11.62</v>
      </c>
      <c r="H116" s="11">
        <f t="shared" si="214"/>
        <v>14.524999999999999</v>
      </c>
      <c r="I116" s="11">
        <f t="shared" ref="I116:I126" si="236">F116*H116</f>
        <v>43.574999999999996</v>
      </c>
      <c r="J116" s="86">
        <f t="shared" si="215"/>
        <v>6.1752832342688385E-5</v>
      </c>
      <c r="K116" s="109"/>
      <c r="L116" s="103"/>
      <c r="M116" s="88">
        <f t="shared" ref="M116:O126" si="237">TRUNC(L116*$H116,2)</f>
        <v>0</v>
      </c>
      <c r="N116" s="103"/>
      <c r="O116" s="88">
        <f t="shared" si="237"/>
        <v>0</v>
      </c>
      <c r="P116" s="103"/>
      <c r="Q116" s="88">
        <f t="shared" ref="Q116:S116" si="238">TRUNC(P116*$H116,2)</f>
        <v>0</v>
      </c>
      <c r="R116" s="103">
        <v>75</v>
      </c>
      <c r="S116" s="88">
        <f t="shared" si="238"/>
        <v>1089.3699999999999</v>
      </c>
      <c r="T116" s="103"/>
      <c r="U116" s="88">
        <f t="shared" ref="U116:W116" si="239">TRUNC(T116*$H116,2)</f>
        <v>0</v>
      </c>
      <c r="V116" s="103"/>
      <c r="W116" s="88">
        <f t="shared" si="239"/>
        <v>0</v>
      </c>
      <c r="X116" s="3">
        <v>75</v>
      </c>
      <c r="Y116" s="3">
        <v>25</v>
      </c>
      <c r="Z116" s="3">
        <v>5</v>
      </c>
      <c r="AA116" s="3">
        <v>705635.65017045464</v>
      </c>
      <c r="AB116">
        <f t="shared" si="218"/>
        <v>0.90909090909090906</v>
      </c>
    </row>
    <row r="117" spans="1:28" ht="39.6" x14ac:dyDescent="0.25">
      <c r="A117" s="93" t="s">
        <v>327</v>
      </c>
      <c r="B117" s="8" t="s">
        <v>328</v>
      </c>
      <c r="C117" s="7" t="s">
        <v>26</v>
      </c>
      <c r="D117" s="7" t="s">
        <v>329</v>
      </c>
      <c r="E117" s="9" t="s">
        <v>208</v>
      </c>
      <c r="F117" s="10">
        <f>X117/Y117</f>
        <v>2</v>
      </c>
      <c r="G117" s="11">
        <v>17.28</v>
      </c>
      <c r="H117" s="11">
        <f t="shared" si="214"/>
        <v>21.6</v>
      </c>
      <c r="I117" s="11">
        <f t="shared" si="236"/>
        <v>43.2</v>
      </c>
      <c r="J117" s="86">
        <f t="shared" si="215"/>
        <v>6.1221396608241842E-5</v>
      </c>
      <c r="K117" s="109"/>
      <c r="L117" s="103"/>
      <c r="M117" s="88">
        <f t="shared" si="237"/>
        <v>0</v>
      </c>
      <c r="N117" s="103"/>
      <c r="O117" s="88">
        <f t="shared" si="237"/>
        <v>0</v>
      </c>
      <c r="P117" s="103"/>
      <c r="Q117" s="88">
        <f t="shared" ref="Q117:S117" si="240">TRUNC(P117*$H117,2)</f>
        <v>0</v>
      </c>
      <c r="R117" s="103">
        <v>50</v>
      </c>
      <c r="S117" s="88">
        <f t="shared" si="240"/>
        <v>1080</v>
      </c>
      <c r="T117" s="103"/>
      <c r="U117" s="88">
        <f t="shared" ref="U117:W117" si="241">TRUNC(T117*$H117,2)</f>
        <v>0</v>
      </c>
      <c r="V117" s="103"/>
      <c r="W117" s="88">
        <f t="shared" si="241"/>
        <v>0</v>
      </c>
      <c r="X117" s="3">
        <v>50</v>
      </c>
      <c r="Y117" s="3">
        <v>25</v>
      </c>
      <c r="Z117" s="3">
        <v>5</v>
      </c>
      <c r="AA117" s="3">
        <v>705635.65017045464</v>
      </c>
      <c r="AB117">
        <f t="shared" si="218"/>
        <v>0.90909090909090906</v>
      </c>
    </row>
    <row r="118" spans="1:28" ht="39.6" x14ac:dyDescent="0.25">
      <c r="A118" s="93" t="s">
        <v>330</v>
      </c>
      <c r="B118" s="8" t="s">
        <v>331</v>
      </c>
      <c r="C118" s="7" t="s">
        <v>26</v>
      </c>
      <c r="D118" s="7" t="s">
        <v>332</v>
      </c>
      <c r="E118" s="9" t="s">
        <v>208</v>
      </c>
      <c r="F118" s="10">
        <f>X118/Y118</f>
        <v>2</v>
      </c>
      <c r="G118" s="11">
        <v>11.38</v>
      </c>
      <c r="H118" s="11">
        <f t="shared" si="214"/>
        <v>14.225000000000001</v>
      </c>
      <c r="I118" s="11">
        <f t="shared" si="236"/>
        <v>28.450000000000003</v>
      </c>
      <c r="J118" s="86">
        <f t="shared" si="215"/>
        <v>4.0318257720011126E-5</v>
      </c>
      <c r="K118" s="109"/>
      <c r="L118" s="103"/>
      <c r="M118" s="88">
        <f t="shared" si="237"/>
        <v>0</v>
      </c>
      <c r="N118" s="103"/>
      <c r="O118" s="88">
        <f t="shared" si="237"/>
        <v>0</v>
      </c>
      <c r="P118" s="103"/>
      <c r="Q118" s="88">
        <f t="shared" ref="Q118:S118" si="242">TRUNC(P118*$H118,2)</f>
        <v>0</v>
      </c>
      <c r="R118" s="103">
        <v>50</v>
      </c>
      <c r="S118" s="88">
        <f t="shared" si="242"/>
        <v>711.25</v>
      </c>
      <c r="T118" s="103"/>
      <c r="U118" s="88">
        <f t="shared" ref="U118:W118" si="243">TRUNC(T118*$H118,2)</f>
        <v>0</v>
      </c>
      <c r="V118" s="103"/>
      <c r="W118" s="88">
        <f t="shared" si="243"/>
        <v>0</v>
      </c>
      <c r="X118" s="3">
        <v>50</v>
      </c>
      <c r="Y118" s="3">
        <v>25</v>
      </c>
      <c r="Z118" s="3">
        <v>5</v>
      </c>
      <c r="AA118" s="3">
        <v>705635.65017045464</v>
      </c>
      <c r="AB118">
        <f t="shared" si="218"/>
        <v>0.90909090909090906</v>
      </c>
    </row>
    <row r="119" spans="1:28" ht="39.6" x14ac:dyDescent="0.25">
      <c r="A119" s="93" t="s">
        <v>333</v>
      </c>
      <c r="B119" s="8" t="s">
        <v>334</v>
      </c>
      <c r="C119" s="7" t="s">
        <v>26</v>
      </c>
      <c r="D119" s="7" t="s">
        <v>335</v>
      </c>
      <c r="E119" s="9" t="s">
        <v>208</v>
      </c>
      <c r="F119" s="10">
        <f>X119/Y119</f>
        <v>9</v>
      </c>
      <c r="G119" s="11">
        <v>16.5</v>
      </c>
      <c r="H119" s="11">
        <f t="shared" si="214"/>
        <v>20.625</v>
      </c>
      <c r="I119" s="11">
        <f t="shared" si="236"/>
        <v>185.625</v>
      </c>
      <c r="J119" s="86">
        <f t="shared" si="215"/>
        <v>2.6306068855103918E-4</v>
      </c>
      <c r="K119" s="109"/>
      <c r="L119" s="103"/>
      <c r="M119" s="88">
        <f t="shared" si="237"/>
        <v>0</v>
      </c>
      <c r="N119" s="103"/>
      <c r="O119" s="88">
        <f t="shared" si="237"/>
        <v>0</v>
      </c>
      <c r="P119" s="103"/>
      <c r="Q119" s="88">
        <f t="shared" ref="Q119:S119" si="244">TRUNC(P119*$H119,2)</f>
        <v>0</v>
      </c>
      <c r="R119" s="103">
        <v>225</v>
      </c>
      <c r="S119" s="88">
        <f t="shared" si="244"/>
        <v>4640.62</v>
      </c>
      <c r="T119" s="103"/>
      <c r="U119" s="88">
        <f t="shared" ref="U119:W119" si="245">TRUNC(T119*$H119,2)</f>
        <v>0</v>
      </c>
      <c r="V119" s="103"/>
      <c r="W119" s="88">
        <f t="shared" si="245"/>
        <v>0</v>
      </c>
      <c r="X119" s="3">
        <v>225</v>
      </c>
      <c r="Y119" s="3">
        <v>25</v>
      </c>
      <c r="Z119" s="3">
        <v>5</v>
      </c>
      <c r="AA119" s="3">
        <v>705635.65017045464</v>
      </c>
      <c r="AB119">
        <f t="shared" si="218"/>
        <v>0.90909090909090906</v>
      </c>
    </row>
    <row r="120" spans="1:28" ht="39.6" x14ac:dyDescent="0.25">
      <c r="A120" s="93" t="s">
        <v>336</v>
      </c>
      <c r="B120" s="8" t="s">
        <v>337</v>
      </c>
      <c r="C120" s="7" t="s">
        <v>26</v>
      </c>
      <c r="D120" s="7" t="s">
        <v>338</v>
      </c>
      <c r="E120" s="9" t="s">
        <v>208</v>
      </c>
      <c r="F120" s="10">
        <f>X120/Y120*2</f>
        <v>2</v>
      </c>
      <c r="G120" s="11">
        <v>30.06</v>
      </c>
      <c r="H120" s="11">
        <f t="shared" si="214"/>
        <v>37.574999999999996</v>
      </c>
      <c r="I120" s="11">
        <f t="shared" si="236"/>
        <v>75.149999999999991</v>
      </c>
      <c r="J120" s="86">
        <f t="shared" si="215"/>
        <v>1.0649972118308737E-4</v>
      </c>
      <c r="K120" s="109"/>
      <c r="L120" s="103"/>
      <c r="M120" s="88">
        <f t="shared" si="237"/>
        <v>0</v>
      </c>
      <c r="N120" s="103"/>
      <c r="O120" s="88">
        <f t="shared" si="237"/>
        <v>0</v>
      </c>
      <c r="P120" s="103"/>
      <c r="Q120" s="88">
        <f t="shared" ref="Q120:S120" si="246">TRUNC(P120*$H120,2)</f>
        <v>0</v>
      </c>
      <c r="R120" s="103">
        <v>25</v>
      </c>
      <c r="S120" s="88">
        <f t="shared" si="246"/>
        <v>939.37</v>
      </c>
      <c r="T120" s="103"/>
      <c r="U120" s="88">
        <f t="shared" ref="U120:W120" si="247">TRUNC(T120*$H120,2)</f>
        <v>0</v>
      </c>
      <c r="V120" s="103"/>
      <c r="W120" s="88">
        <f t="shared" si="247"/>
        <v>0</v>
      </c>
      <c r="X120" s="3">
        <v>25</v>
      </c>
      <c r="Y120" s="3">
        <v>25</v>
      </c>
      <c r="Z120" s="3">
        <v>5</v>
      </c>
      <c r="AA120" s="3">
        <v>705635.65017045464</v>
      </c>
      <c r="AB120">
        <f t="shared" si="218"/>
        <v>0.90909090909090906</v>
      </c>
    </row>
    <row r="121" spans="1:28" ht="39.6" x14ac:dyDescent="0.25">
      <c r="A121" s="93" t="s">
        <v>339</v>
      </c>
      <c r="B121" s="8" t="s">
        <v>340</v>
      </c>
      <c r="C121" s="7" t="s">
        <v>26</v>
      </c>
      <c r="D121" s="7" t="s">
        <v>341</v>
      </c>
      <c r="E121" s="9" t="s">
        <v>29</v>
      </c>
      <c r="F121" s="10">
        <f>X121/Y121</f>
        <v>3.3</v>
      </c>
      <c r="G121" s="11">
        <v>24.36</v>
      </c>
      <c r="H121" s="11">
        <f t="shared" si="214"/>
        <v>30.45</v>
      </c>
      <c r="I121" s="11">
        <f t="shared" si="236"/>
        <v>100.48499999999999</v>
      </c>
      <c r="J121" s="86">
        <f t="shared" si="215"/>
        <v>1.4240351940229584E-4</v>
      </c>
      <c r="K121" s="109"/>
      <c r="L121" s="103"/>
      <c r="M121" s="88">
        <f t="shared" si="237"/>
        <v>0</v>
      </c>
      <c r="N121" s="103"/>
      <c r="O121" s="88">
        <f t="shared" si="237"/>
        <v>0</v>
      </c>
      <c r="P121" s="103"/>
      <c r="Q121" s="88">
        <f t="shared" ref="Q121:S121" si="248">TRUNC(P121*$H121,2)</f>
        <v>0</v>
      </c>
      <c r="R121" s="103">
        <v>82.5</v>
      </c>
      <c r="S121" s="88">
        <f t="shared" si="248"/>
        <v>2512.12</v>
      </c>
      <c r="T121" s="103"/>
      <c r="U121" s="88">
        <f t="shared" ref="U121:W121" si="249">TRUNC(T121*$H121,2)</f>
        <v>0</v>
      </c>
      <c r="V121" s="103"/>
      <c r="W121" s="88">
        <f t="shared" si="249"/>
        <v>0</v>
      </c>
      <c r="X121" s="3">
        <v>82.5</v>
      </c>
      <c r="Y121" s="3">
        <v>25</v>
      </c>
      <c r="Z121" s="3">
        <v>5</v>
      </c>
      <c r="AA121" s="3">
        <v>705635.65017045464</v>
      </c>
      <c r="AB121">
        <f t="shared" si="218"/>
        <v>0.90909090909090906</v>
      </c>
    </row>
    <row r="122" spans="1:28" ht="39.6" x14ac:dyDescent="0.25">
      <c r="A122" s="93" t="s">
        <v>342</v>
      </c>
      <c r="B122" s="8" t="s">
        <v>343</v>
      </c>
      <c r="C122" s="7" t="s">
        <v>26</v>
      </c>
      <c r="D122" s="7" t="s">
        <v>344</v>
      </c>
      <c r="E122" s="9" t="s">
        <v>29</v>
      </c>
      <c r="F122" s="10">
        <f>X122/Y122</f>
        <v>10.199999999999999</v>
      </c>
      <c r="G122" s="11">
        <v>30.64</v>
      </c>
      <c r="H122" s="11">
        <f t="shared" si="214"/>
        <v>38.299999999999997</v>
      </c>
      <c r="I122" s="11">
        <f t="shared" si="236"/>
        <v>390.65999999999997</v>
      </c>
      <c r="J122" s="86">
        <f t="shared" si="215"/>
        <v>5.5362849071703137E-4</v>
      </c>
      <c r="K122" s="109"/>
      <c r="L122" s="103"/>
      <c r="M122" s="88">
        <f t="shared" si="237"/>
        <v>0</v>
      </c>
      <c r="N122" s="103"/>
      <c r="O122" s="88">
        <f t="shared" si="237"/>
        <v>0</v>
      </c>
      <c r="P122" s="103"/>
      <c r="Q122" s="88">
        <f t="shared" ref="Q122:S122" si="250">TRUNC(P122*$H122,2)</f>
        <v>0</v>
      </c>
      <c r="R122" s="103">
        <v>255</v>
      </c>
      <c r="S122" s="88">
        <f t="shared" si="250"/>
        <v>9766.5</v>
      </c>
      <c r="T122" s="103"/>
      <c r="U122" s="88">
        <f t="shared" ref="U122:W122" si="251">TRUNC(T122*$H122,2)</f>
        <v>0</v>
      </c>
      <c r="V122" s="103"/>
      <c r="W122" s="88">
        <f t="shared" si="251"/>
        <v>0</v>
      </c>
      <c r="X122" s="3">
        <v>255</v>
      </c>
      <c r="Y122" s="3">
        <v>25</v>
      </c>
      <c r="Z122" s="3">
        <v>5</v>
      </c>
      <c r="AA122" s="3">
        <v>705635.65017045464</v>
      </c>
      <c r="AB122">
        <f t="shared" si="218"/>
        <v>0.90909090909090906</v>
      </c>
    </row>
    <row r="123" spans="1:28" ht="39.6" x14ac:dyDescent="0.25">
      <c r="A123" s="93" t="s">
        <v>345</v>
      </c>
      <c r="B123" s="8" t="s">
        <v>346</v>
      </c>
      <c r="C123" s="7" t="s">
        <v>26</v>
      </c>
      <c r="D123" s="7" t="s">
        <v>347</v>
      </c>
      <c r="E123" s="9" t="s">
        <v>29</v>
      </c>
      <c r="F123" s="10">
        <f>X123/Y123</f>
        <v>4</v>
      </c>
      <c r="G123" s="11">
        <v>14.61</v>
      </c>
      <c r="H123" s="11">
        <f t="shared" si="214"/>
        <v>18.262499999999999</v>
      </c>
      <c r="I123" s="11">
        <f t="shared" si="236"/>
        <v>73.05</v>
      </c>
      <c r="J123" s="86">
        <f t="shared" si="215"/>
        <v>1.0352368107018673E-4</v>
      </c>
      <c r="K123" s="109"/>
      <c r="L123" s="103"/>
      <c r="M123" s="88">
        <f t="shared" si="237"/>
        <v>0</v>
      </c>
      <c r="N123" s="103"/>
      <c r="O123" s="88">
        <f t="shared" si="237"/>
        <v>0</v>
      </c>
      <c r="P123" s="103"/>
      <c r="Q123" s="88">
        <f t="shared" ref="Q123:S123" si="252">TRUNC(P123*$H123,2)</f>
        <v>0</v>
      </c>
      <c r="R123" s="103">
        <v>100</v>
      </c>
      <c r="S123" s="88">
        <f t="shared" si="252"/>
        <v>1826.25</v>
      </c>
      <c r="T123" s="103"/>
      <c r="U123" s="88">
        <f t="shared" ref="U123:W123" si="253">TRUNC(T123*$H123,2)</f>
        <v>0</v>
      </c>
      <c r="V123" s="103"/>
      <c r="W123" s="88">
        <f t="shared" si="253"/>
        <v>0</v>
      </c>
      <c r="X123" s="3">
        <v>100</v>
      </c>
      <c r="Y123" s="3">
        <v>25</v>
      </c>
      <c r="Z123" s="3">
        <v>5</v>
      </c>
      <c r="AA123" s="3">
        <v>705635.65017045464</v>
      </c>
      <c r="AB123">
        <f t="shared" si="218"/>
        <v>0.90909090909090906</v>
      </c>
    </row>
    <row r="124" spans="1:28" ht="39.6" x14ac:dyDescent="0.25">
      <c r="A124" s="93" t="s">
        <v>348</v>
      </c>
      <c r="B124" s="8" t="s">
        <v>349</v>
      </c>
      <c r="C124" s="7" t="s">
        <v>26</v>
      </c>
      <c r="D124" s="7" t="s">
        <v>350</v>
      </c>
      <c r="E124" s="9" t="s">
        <v>29</v>
      </c>
      <c r="F124" s="10">
        <f>X124/Y124</f>
        <v>26.4</v>
      </c>
      <c r="G124" s="11">
        <v>42.65</v>
      </c>
      <c r="H124" s="11">
        <f t="shared" si="214"/>
        <v>53.3125</v>
      </c>
      <c r="I124" s="11">
        <f t="shared" si="236"/>
        <v>1407.4499999999998</v>
      </c>
      <c r="J124" s="86">
        <f t="shared" si="215"/>
        <v>1.9945845985247677E-3</v>
      </c>
      <c r="K124" s="109"/>
      <c r="L124" s="103"/>
      <c r="M124" s="88">
        <f t="shared" si="237"/>
        <v>0</v>
      </c>
      <c r="N124" s="103"/>
      <c r="O124" s="88">
        <f t="shared" si="237"/>
        <v>0</v>
      </c>
      <c r="P124" s="103"/>
      <c r="Q124" s="88">
        <f t="shared" ref="Q124:S124" si="254">TRUNC(P124*$H124,2)</f>
        <v>0</v>
      </c>
      <c r="R124" s="103">
        <v>660</v>
      </c>
      <c r="S124" s="88">
        <f t="shared" si="254"/>
        <v>35186.25</v>
      </c>
      <c r="T124" s="103"/>
      <c r="U124" s="88">
        <f t="shared" ref="U124:W124" si="255">TRUNC(T124*$H124,2)</f>
        <v>0</v>
      </c>
      <c r="V124" s="103"/>
      <c r="W124" s="88">
        <f t="shared" si="255"/>
        <v>0</v>
      </c>
      <c r="X124" s="3">
        <v>660</v>
      </c>
      <c r="Y124" s="3">
        <v>25</v>
      </c>
      <c r="Z124" s="3">
        <v>5</v>
      </c>
      <c r="AA124" s="3">
        <v>705635.65017045464</v>
      </c>
      <c r="AB124">
        <f t="shared" si="218"/>
        <v>0.90909090909090906</v>
      </c>
    </row>
    <row r="125" spans="1:28" ht="39.6" x14ac:dyDescent="0.25">
      <c r="A125" s="93" t="s">
        <v>351</v>
      </c>
      <c r="B125" s="8" t="s">
        <v>352</v>
      </c>
      <c r="C125" s="7" t="s">
        <v>26</v>
      </c>
      <c r="D125" s="7" t="s">
        <v>353</v>
      </c>
      <c r="E125" s="9" t="s">
        <v>208</v>
      </c>
      <c r="F125" s="10">
        <v>1</v>
      </c>
      <c r="G125" s="11">
        <v>643.37</v>
      </c>
      <c r="H125" s="11">
        <f t="shared" si="214"/>
        <v>804.21249999999998</v>
      </c>
      <c r="I125" s="11">
        <f t="shared" si="236"/>
        <v>804.21249999999998</v>
      </c>
      <c r="J125" s="86">
        <f t="shared" si="215"/>
        <v>1.1396993615695762E-3</v>
      </c>
      <c r="K125" s="109"/>
      <c r="L125" s="103"/>
      <c r="M125" s="88">
        <f t="shared" si="237"/>
        <v>0</v>
      </c>
      <c r="N125" s="103"/>
      <c r="O125" s="88">
        <f t="shared" si="237"/>
        <v>0</v>
      </c>
      <c r="P125" s="103"/>
      <c r="Q125" s="88">
        <f t="shared" ref="Q125:S125" si="256">TRUNC(P125*$H125,2)</f>
        <v>0</v>
      </c>
      <c r="R125" s="103">
        <v>125</v>
      </c>
      <c r="S125" s="88">
        <f t="shared" si="256"/>
        <v>100526.56</v>
      </c>
      <c r="T125" s="103"/>
      <c r="U125" s="88">
        <f t="shared" ref="U125:W125" si="257">TRUNC(T125*$H125,2)</f>
        <v>0</v>
      </c>
      <c r="V125" s="103"/>
      <c r="W125" s="88">
        <f t="shared" si="257"/>
        <v>0</v>
      </c>
      <c r="X125" s="3">
        <v>125</v>
      </c>
      <c r="Y125" s="3">
        <v>25</v>
      </c>
      <c r="Z125" s="3">
        <v>5</v>
      </c>
      <c r="AA125" s="3">
        <v>705635.65017045464</v>
      </c>
      <c r="AB125">
        <f t="shared" si="218"/>
        <v>0.90909090909090906</v>
      </c>
    </row>
    <row r="126" spans="1:28" ht="39.6" x14ac:dyDescent="0.25">
      <c r="A126" s="93" t="s">
        <v>354</v>
      </c>
      <c r="B126" s="8" t="s">
        <v>355</v>
      </c>
      <c r="C126" s="7" t="s">
        <v>26</v>
      </c>
      <c r="D126" s="7" t="s">
        <v>356</v>
      </c>
      <c r="E126" s="9" t="s">
        <v>208</v>
      </c>
      <c r="F126" s="10">
        <v>1</v>
      </c>
      <c r="G126" s="11">
        <v>21.13</v>
      </c>
      <c r="H126" s="11">
        <f t="shared" si="214"/>
        <v>26.412499999999998</v>
      </c>
      <c r="I126" s="11">
        <f t="shared" si="236"/>
        <v>26.412499999999998</v>
      </c>
      <c r="J126" s="86">
        <f t="shared" si="215"/>
        <v>3.7430790229518234E-5</v>
      </c>
      <c r="K126" s="109"/>
      <c r="L126" s="103"/>
      <c r="M126" s="88">
        <f t="shared" si="237"/>
        <v>0</v>
      </c>
      <c r="N126" s="103"/>
      <c r="O126" s="88">
        <f t="shared" si="237"/>
        <v>0</v>
      </c>
      <c r="P126" s="103"/>
      <c r="Q126" s="88">
        <f t="shared" ref="Q126:S126" si="258">TRUNC(P126*$H126,2)</f>
        <v>0</v>
      </c>
      <c r="R126" s="103">
        <v>25</v>
      </c>
      <c r="S126" s="88">
        <f t="shared" si="258"/>
        <v>660.31</v>
      </c>
      <c r="T126" s="103"/>
      <c r="U126" s="88">
        <f t="shared" ref="U126:W126" si="259">TRUNC(T126*$H126,2)</f>
        <v>0</v>
      </c>
      <c r="V126" s="103"/>
      <c r="W126" s="88">
        <f t="shared" si="259"/>
        <v>0</v>
      </c>
      <c r="X126" s="3">
        <v>25</v>
      </c>
      <c r="Y126" s="3">
        <v>25</v>
      </c>
      <c r="Z126" s="3">
        <v>5</v>
      </c>
      <c r="AA126" s="3">
        <v>705635.65017045464</v>
      </c>
      <c r="AB126">
        <f t="shared" si="218"/>
        <v>0.90909090909090906</v>
      </c>
    </row>
    <row r="127" spans="1:28" x14ac:dyDescent="0.25">
      <c r="A127" s="92" t="s">
        <v>357</v>
      </c>
      <c r="B127" s="4"/>
      <c r="C127" s="4"/>
      <c r="D127" s="4" t="s">
        <v>358</v>
      </c>
      <c r="E127" s="4"/>
      <c r="F127" s="10">
        <f t="shared" si="235"/>
        <v>0</v>
      </c>
      <c r="G127" s="4"/>
      <c r="H127" s="11">
        <f t="shared" si="214"/>
        <v>0</v>
      </c>
      <c r="I127" s="6">
        <f>SUM(I128:I129)</f>
        <v>1236.1125</v>
      </c>
      <c r="J127" s="85">
        <f t="shared" si="215"/>
        <v>1.7517716114561423E-3</v>
      </c>
      <c r="K127" s="108"/>
      <c r="L127" s="116"/>
      <c r="M127" s="117"/>
      <c r="N127" s="116"/>
      <c r="O127" s="117"/>
      <c r="P127" s="116"/>
      <c r="Q127" s="117"/>
      <c r="R127" s="116"/>
      <c r="S127" s="117"/>
      <c r="T127" s="116"/>
      <c r="U127" s="117"/>
      <c r="V127" s="116"/>
      <c r="W127" s="117"/>
      <c r="Y127" s="3">
        <v>25</v>
      </c>
      <c r="Z127" s="3">
        <v>5</v>
      </c>
      <c r="AA127" s="3">
        <v>705635.65017045464</v>
      </c>
      <c r="AB127">
        <f t="shared" si="218"/>
        <v>0.90909090909090906</v>
      </c>
    </row>
    <row r="128" spans="1:28" ht="52.8" x14ac:dyDescent="0.25">
      <c r="A128" s="93" t="s">
        <v>359</v>
      </c>
      <c r="B128" s="8" t="s">
        <v>360</v>
      </c>
      <c r="C128" s="7" t="s">
        <v>26</v>
      </c>
      <c r="D128" s="7" t="s">
        <v>361</v>
      </c>
      <c r="E128" s="9" t="s">
        <v>208</v>
      </c>
      <c r="F128" s="10">
        <v>1</v>
      </c>
      <c r="G128" s="11">
        <v>411.85</v>
      </c>
      <c r="H128" s="11">
        <f t="shared" si="214"/>
        <v>514.8125</v>
      </c>
      <c r="I128" s="11">
        <f t="shared" ref="I128:I129" si="260">F128*H128</f>
        <v>514.8125</v>
      </c>
      <c r="J128" s="86">
        <f t="shared" si="215"/>
        <v>7.2957269077269691E-4</v>
      </c>
      <c r="K128" s="109"/>
      <c r="L128" s="103"/>
      <c r="M128" s="88">
        <f t="shared" ref="M128:O129" si="261">TRUNC(L128*$H128,2)</f>
        <v>0</v>
      </c>
      <c r="N128" s="103"/>
      <c r="O128" s="88">
        <f t="shared" si="261"/>
        <v>0</v>
      </c>
      <c r="P128" s="103"/>
      <c r="Q128" s="88">
        <f t="shared" ref="Q128:S128" si="262">TRUNC(P128*$H128,2)</f>
        <v>0</v>
      </c>
      <c r="R128" s="103"/>
      <c r="S128" s="88">
        <f t="shared" si="262"/>
        <v>0</v>
      </c>
      <c r="T128" s="103"/>
      <c r="U128" s="88">
        <f t="shared" ref="U128:W128" si="263">TRUNC(T128*$H128,2)</f>
        <v>0</v>
      </c>
      <c r="V128" s="103"/>
      <c r="W128" s="88">
        <f t="shared" si="263"/>
        <v>0</v>
      </c>
      <c r="X128" s="3">
        <v>25</v>
      </c>
      <c r="Y128" s="3">
        <v>25</v>
      </c>
      <c r="Z128" s="3">
        <v>5</v>
      </c>
      <c r="AA128" s="3">
        <v>705635.65017045464</v>
      </c>
      <c r="AB128">
        <f t="shared" si="218"/>
        <v>0.90909090909090906</v>
      </c>
    </row>
    <row r="129" spans="1:28" ht="40.200000000000003" thickBot="1" x14ac:dyDescent="0.3">
      <c r="A129" s="93" t="s">
        <v>362</v>
      </c>
      <c r="B129" s="8" t="s">
        <v>363</v>
      </c>
      <c r="C129" s="7" t="s">
        <v>26</v>
      </c>
      <c r="D129" s="7" t="s">
        <v>364</v>
      </c>
      <c r="E129" s="9" t="s">
        <v>208</v>
      </c>
      <c r="F129" s="10">
        <v>1</v>
      </c>
      <c r="G129" s="11">
        <v>577.04</v>
      </c>
      <c r="H129" s="11">
        <f t="shared" si="214"/>
        <v>721.3</v>
      </c>
      <c r="I129" s="11">
        <f t="shared" si="260"/>
        <v>721.3</v>
      </c>
      <c r="J129" s="86">
        <f t="shared" si="215"/>
        <v>1.0221989206834453E-3</v>
      </c>
      <c r="K129" s="109"/>
      <c r="L129" s="103"/>
      <c r="M129" s="88">
        <f t="shared" si="261"/>
        <v>0</v>
      </c>
      <c r="N129" s="103"/>
      <c r="O129" s="88">
        <f t="shared" si="261"/>
        <v>0</v>
      </c>
      <c r="P129" s="103"/>
      <c r="Q129" s="88">
        <f t="shared" ref="Q129:S129" si="264">TRUNC(P129*$H129,2)</f>
        <v>0</v>
      </c>
      <c r="R129" s="103"/>
      <c r="S129" s="88">
        <f t="shared" si="264"/>
        <v>0</v>
      </c>
      <c r="T129" s="103"/>
      <c r="U129" s="88">
        <f t="shared" ref="U129:W129" si="265">TRUNC(T129*$H129,2)</f>
        <v>0</v>
      </c>
      <c r="V129" s="103"/>
      <c r="W129" s="88">
        <f t="shared" si="265"/>
        <v>0</v>
      </c>
      <c r="X129" s="3">
        <v>25</v>
      </c>
      <c r="Y129" s="3">
        <v>25</v>
      </c>
      <c r="Z129" s="3">
        <v>5</v>
      </c>
      <c r="AA129" s="3">
        <v>705635.65017045464</v>
      </c>
      <c r="AB129">
        <f t="shared" si="218"/>
        <v>0.90909090909090906</v>
      </c>
    </row>
    <row r="130" spans="1:28" ht="14.4" hidden="1" thickBot="1" x14ac:dyDescent="0.3">
      <c r="A130" s="95"/>
      <c r="B130" s="96"/>
      <c r="C130" s="96"/>
      <c r="D130" s="96"/>
      <c r="E130" s="96"/>
      <c r="F130" s="97"/>
      <c r="G130" s="96"/>
      <c r="H130" s="96"/>
      <c r="I130" s="96"/>
      <c r="J130" s="96"/>
      <c r="K130" s="111"/>
      <c r="L130" s="103"/>
      <c r="M130" s="88"/>
      <c r="N130" s="103"/>
      <c r="O130" s="88"/>
      <c r="P130" s="103"/>
      <c r="Q130" s="88"/>
      <c r="R130" s="103"/>
      <c r="S130" s="88"/>
      <c r="T130" s="103"/>
      <c r="U130" s="88"/>
      <c r="V130" s="103"/>
      <c r="W130" s="88"/>
      <c r="Y130" s="3">
        <v>25</v>
      </c>
      <c r="Z130" s="3">
        <v>5</v>
      </c>
      <c r="AB130">
        <f t="shared" si="218"/>
        <v>0.90909090909090906</v>
      </c>
    </row>
    <row r="131" spans="1:28" ht="14.4" hidden="1" thickBot="1" x14ac:dyDescent="0.3">
      <c r="A131" s="280"/>
      <c r="B131" s="281"/>
      <c r="C131" s="281"/>
      <c r="D131" s="99"/>
      <c r="E131" s="98"/>
      <c r="F131" s="282" t="s">
        <v>365</v>
      </c>
      <c r="G131" s="281"/>
      <c r="H131" s="283">
        <v>2710706.23</v>
      </c>
      <c r="I131" s="281"/>
      <c r="J131" s="281"/>
      <c r="K131" s="112"/>
      <c r="L131" s="103"/>
      <c r="M131" s="88"/>
      <c r="N131" s="103"/>
      <c r="O131" s="88"/>
      <c r="P131" s="103"/>
      <c r="Q131" s="88"/>
      <c r="R131" s="103"/>
      <c r="S131" s="88"/>
      <c r="T131" s="103"/>
      <c r="U131" s="88"/>
      <c r="V131" s="103"/>
      <c r="W131" s="88"/>
      <c r="Y131" s="3">
        <v>25</v>
      </c>
      <c r="Z131" s="3">
        <v>5</v>
      </c>
      <c r="AB131">
        <f t="shared" si="218"/>
        <v>0.90909090909090906</v>
      </c>
    </row>
    <row r="132" spans="1:28" ht="14.4" hidden="1" thickBot="1" x14ac:dyDescent="0.3">
      <c r="A132" s="280"/>
      <c r="B132" s="281"/>
      <c r="C132" s="281"/>
      <c r="D132" s="99"/>
      <c r="E132" s="98"/>
      <c r="F132" s="282" t="s">
        <v>366</v>
      </c>
      <c r="G132" s="281"/>
      <c r="H132" s="283">
        <v>555722.74</v>
      </c>
      <c r="I132" s="281"/>
      <c r="J132" s="281"/>
      <c r="K132" s="112"/>
      <c r="L132" s="104"/>
      <c r="M132" s="89"/>
      <c r="N132" s="104"/>
      <c r="O132" s="89"/>
      <c r="P132" s="104"/>
      <c r="Q132" s="89"/>
      <c r="R132" s="104"/>
      <c r="S132" s="89"/>
      <c r="T132" s="104"/>
      <c r="U132" s="89"/>
      <c r="V132" s="104"/>
      <c r="W132" s="89"/>
      <c r="Y132" s="3">
        <v>25</v>
      </c>
      <c r="Z132" s="3">
        <v>5</v>
      </c>
      <c r="AB132">
        <f t="shared" si="218"/>
        <v>0.90909090909090906</v>
      </c>
    </row>
    <row r="133" spans="1:28" ht="14.4" thickBot="1" x14ac:dyDescent="0.3">
      <c r="A133" s="284"/>
      <c r="B133" s="285"/>
      <c r="C133" s="285"/>
      <c r="D133" s="101"/>
      <c r="E133" s="100"/>
      <c r="F133" s="273" t="s">
        <v>367</v>
      </c>
      <c r="G133" s="274"/>
      <c r="H133" s="192"/>
      <c r="I133" s="193">
        <f>I5</f>
        <v>119599.470648125</v>
      </c>
      <c r="J133" s="199">
        <f>I133/164883.11</f>
        <v>0.72535913865358925</v>
      </c>
      <c r="K133" s="113"/>
      <c r="L133" s="105"/>
      <c r="M133" s="90">
        <f>SUM(M7:M132)</f>
        <v>432831.88</v>
      </c>
      <c r="N133" s="105"/>
      <c r="O133" s="90">
        <f>SUM(O7:O132)</f>
        <v>761568.07000000007</v>
      </c>
      <c r="P133" s="105"/>
      <c r="Q133" s="90">
        <f>SUM(Q7:Q132)</f>
        <v>1137529.47</v>
      </c>
      <c r="R133" s="105"/>
      <c r="S133" s="90">
        <f>SUM(S7:S132)</f>
        <v>158938.59999999998</v>
      </c>
      <c r="T133" s="105"/>
      <c r="U133" s="90">
        <f>SUM(U7:U132)</f>
        <v>0</v>
      </c>
      <c r="V133" s="105"/>
      <c r="W133" s="90">
        <f>SUM(W7:W132)</f>
        <v>0</v>
      </c>
      <c r="X133" s="3">
        <f>M133/I133</f>
        <v>3.6190116699884043</v>
      </c>
      <c r="Y133" s="3">
        <v>25</v>
      </c>
      <c r="Z133" s="3">
        <v>5</v>
      </c>
    </row>
    <row r="134" spans="1:28" x14ac:dyDescent="0.25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</row>
    <row r="135" spans="1:28" x14ac:dyDescent="0.25">
      <c r="A135" s="275"/>
      <c r="B135" s="276"/>
      <c r="C135" s="276"/>
      <c r="D135" s="276"/>
      <c r="E135" s="276"/>
      <c r="F135" s="276"/>
      <c r="G135" s="276"/>
      <c r="H135" s="276"/>
      <c r="I135" s="276"/>
      <c r="J135" s="276"/>
    </row>
    <row r="137" spans="1:28" x14ac:dyDescent="0.25">
      <c r="I137" s="67">
        <f>I133/Z133</f>
        <v>23919.894129625001</v>
      </c>
    </row>
  </sheetData>
  <mergeCells count="41">
    <mergeCell ref="F133:G133"/>
    <mergeCell ref="A135:J135"/>
    <mergeCell ref="A3:J3"/>
    <mergeCell ref="A131:C131"/>
    <mergeCell ref="F131:G131"/>
    <mergeCell ref="H131:J131"/>
    <mergeCell ref="A132:C132"/>
    <mergeCell ref="F132:G132"/>
    <mergeCell ref="H132:J132"/>
    <mergeCell ref="A133:C133"/>
    <mergeCell ref="R5:S6"/>
    <mergeCell ref="L1:M1"/>
    <mergeCell ref="L5:M6"/>
    <mergeCell ref="N1:O1"/>
    <mergeCell ref="N2:O2"/>
    <mergeCell ref="N3:O3"/>
    <mergeCell ref="N5:O6"/>
    <mergeCell ref="P1:Q1"/>
    <mergeCell ref="P2:Q2"/>
    <mergeCell ref="P3:Q3"/>
    <mergeCell ref="P5:Q6"/>
    <mergeCell ref="L3:M3"/>
    <mergeCell ref="V5:W6"/>
    <mergeCell ref="T1:U1"/>
    <mergeCell ref="T2:U2"/>
    <mergeCell ref="T3:U3"/>
    <mergeCell ref="T5:U6"/>
    <mergeCell ref="B2:C2"/>
    <mergeCell ref="L2:M2"/>
    <mergeCell ref="V1:W1"/>
    <mergeCell ref="V2:W2"/>
    <mergeCell ref="V3:W3"/>
    <mergeCell ref="E1:F1"/>
    <mergeCell ref="G1:H1"/>
    <mergeCell ref="I1:J1"/>
    <mergeCell ref="E2:F2"/>
    <mergeCell ref="G2:H2"/>
    <mergeCell ref="I2:J2"/>
    <mergeCell ref="R1:S1"/>
    <mergeCell ref="R2:S2"/>
    <mergeCell ref="R3:S3"/>
  </mergeCells>
  <pageMargins left="0.51181102362204722" right="0.51181102362204722" top="0.35433070866141736" bottom="0.39370078740157483" header="0.15748031496062992" footer="0.11811023622047245"/>
  <pageSetup paperSize="9" scale="77" fitToHeight="0" orientation="landscape" r:id="rId1"/>
  <headerFooter>
    <oddHeader>&amp;L &amp;C &amp;R</oddHeader>
    <oddFooter xml:space="preserve">&amp;L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020D5-8093-4EF8-B597-672387135A74}">
  <sheetPr>
    <pageSetUpPr fitToPage="1"/>
  </sheetPr>
  <dimension ref="A1:AC136"/>
  <sheetViews>
    <sheetView tabSelected="1" showWhiteSpace="0" view="pageBreakPreview" topLeftCell="A122" zoomScaleNormal="100" zoomScaleSheetLayoutView="100" workbookViewId="0">
      <selection activeCell="F129" sqref="F129"/>
    </sheetView>
  </sheetViews>
  <sheetFormatPr defaultRowHeight="13.8" x14ac:dyDescent="0.25"/>
  <cols>
    <col min="1" max="2" width="10" bestFit="1" customWidth="1"/>
    <col min="3" max="3" width="6.3984375" bestFit="1" customWidth="1"/>
    <col min="4" max="4" width="61" customWidth="1"/>
    <col min="5" max="5" width="8" bestFit="1" customWidth="1"/>
    <col min="6" max="6" width="56" style="3" customWidth="1"/>
    <col min="7" max="8" width="13" hidden="1" customWidth="1"/>
    <col min="9" max="9" width="14.09765625" hidden="1" customWidth="1"/>
    <col min="10" max="10" width="13" hidden="1" customWidth="1"/>
    <col min="11" max="11" width="1.19921875" hidden="1" customWidth="1"/>
    <col min="12" max="12" width="8.296875" style="82" hidden="1" customWidth="1"/>
    <col min="13" max="13" width="18.796875" style="83" hidden="1" customWidth="1"/>
    <col min="14" max="14" width="8.296875" style="82" hidden="1" customWidth="1"/>
    <col min="15" max="15" width="20.59765625" style="83" hidden="1" customWidth="1"/>
    <col min="16" max="16" width="7.8984375" style="82" hidden="1" customWidth="1"/>
    <col min="17" max="17" width="18.5" style="83" hidden="1" customWidth="1"/>
    <col min="18" max="18" width="0" style="82" hidden="1" customWidth="1"/>
    <col min="19" max="19" width="16.8984375" style="83" hidden="1" customWidth="1"/>
    <col min="20" max="20" width="0" style="82" hidden="1" customWidth="1"/>
    <col min="21" max="21" width="14.59765625" style="83" hidden="1" customWidth="1"/>
    <col min="22" max="22" width="0" style="82" hidden="1" customWidth="1"/>
    <col min="23" max="23" width="12.19921875" style="83" hidden="1" customWidth="1"/>
    <col min="24" max="24" width="12.19921875" style="83" customWidth="1"/>
    <col min="25" max="25" width="10" style="3" bestFit="1" customWidth="1"/>
    <col min="26" max="26" width="11.09765625" style="3" bestFit="1" customWidth="1"/>
    <col min="27" max="27" width="8.796875" style="3"/>
    <col min="28" max="28" width="11.09765625" style="3" bestFit="1" customWidth="1"/>
  </cols>
  <sheetData>
    <row r="1" spans="1:29" ht="14.4" thickBot="1" x14ac:dyDescent="0.3">
      <c r="A1" s="194"/>
      <c r="B1" s="195"/>
      <c r="C1" s="195"/>
      <c r="D1" s="197" t="s">
        <v>462</v>
      </c>
      <c r="E1" s="265" t="s">
        <v>0</v>
      </c>
      <c r="F1" s="265"/>
      <c r="G1" s="265" t="s">
        <v>1</v>
      </c>
      <c r="H1" s="265"/>
      <c r="I1" s="265" t="s">
        <v>2</v>
      </c>
      <c r="J1" s="265"/>
      <c r="K1" s="15"/>
      <c r="L1" s="261"/>
      <c r="M1" s="262"/>
      <c r="N1" s="261"/>
      <c r="O1" s="262"/>
      <c r="P1" s="261"/>
      <c r="Q1" s="262"/>
      <c r="R1" s="261"/>
      <c r="S1" s="262"/>
      <c r="T1" s="261"/>
      <c r="U1" s="262"/>
      <c r="V1" s="261"/>
      <c r="W1" s="262"/>
      <c r="X1" s="322"/>
    </row>
    <row r="2" spans="1:29" ht="53.4" customHeight="1" thickBot="1" x14ac:dyDescent="0.3">
      <c r="A2" s="196"/>
      <c r="B2" s="257"/>
      <c r="C2" s="258"/>
      <c r="D2" s="200" t="s">
        <v>461</v>
      </c>
      <c r="E2" s="266" t="s">
        <v>452</v>
      </c>
      <c r="F2" s="267"/>
      <c r="G2" s="268">
        <v>25</v>
      </c>
      <c r="H2" s="268"/>
      <c r="I2" s="267" t="s">
        <v>3</v>
      </c>
      <c r="J2" s="267"/>
      <c r="K2" s="114"/>
      <c r="L2" s="259"/>
      <c r="M2" s="260"/>
      <c r="N2" s="259"/>
      <c r="O2" s="260"/>
      <c r="P2" s="259"/>
      <c r="Q2" s="260"/>
      <c r="R2" s="259"/>
      <c r="S2" s="260"/>
      <c r="T2" s="259"/>
      <c r="U2" s="260"/>
      <c r="V2" s="259"/>
      <c r="W2" s="260"/>
      <c r="X2" s="322"/>
    </row>
    <row r="3" spans="1:29" ht="14.4" thickBot="1" x14ac:dyDescent="0.3">
      <c r="A3" s="277" t="s">
        <v>463</v>
      </c>
      <c r="B3" s="278"/>
      <c r="C3" s="278"/>
      <c r="D3" s="278"/>
      <c r="E3" s="278"/>
      <c r="F3" s="278"/>
      <c r="G3" s="278"/>
      <c r="H3" s="278"/>
      <c r="I3" s="278"/>
      <c r="J3" s="279"/>
      <c r="K3" s="106"/>
      <c r="L3" s="263" t="s">
        <v>402</v>
      </c>
      <c r="M3" s="264"/>
      <c r="N3" s="263" t="s">
        <v>402</v>
      </c>
      <c r="O3" s="264"/>
      <c r="P3" s="263" t="s">
        <v>402</v>
      </c>
      <c r="Q3" s="264"/>
      <c r="R3" s="263" t="s">
        <v>402</v>
      </c>
      <c r="S3" s="264"/>
      <c r="T3" s="263" t="s">
        <v>402</v>
      </c>
      <c r="U3" s="264"/>
      <c r="V3" s="263" t="s">
        <v>402</v>
      </c>
      <c r="W3" s="264"/>
      <c r="X3" s="327"/>
    </row>
    <row r="4" spans="1:29" ht="28.2" thickBot="1" x14ac:dyDescent="0.3">
      <c r="A4" s="91" t="s">
        <v>4</v>
      </c>
      <c r="B4" s="17" t="s">
        <v>5</v>
      </c>
      <c r="C4" s="16" t="s">
        <v>6</v>
      </c>
      <c r="D4" s="16" t="s">
        <v>7</v>
      </c>
      <c r="E4" s="18" t="s">
        <v>8</v>
      </c>
      <c r="F4" s="326" t="s">
        <v>490</v>
      </c>
      <c r="G4" s="17" t="s">
        <v>10</v>
      </c>
      <c r="H4" s="17" t="s">
        <v>11</v>
      </c>
      <c r="I4" s="17" t="s">
        <v>12</v>
      </c>
      <c r="J4" s="84" t="s">
        <v>13</v>
      </c>
      <c r="K4" s="107"/>
      <c r="L4" s="102" t="s">
        <v>400</v>
      </c>
      <c r="M4" s="87" t="s">
        <v>401</v>
      </c>
      <c r="N4" s="102" t="s">
        <v>400</v>
      </c>
      <c r="O4" s="87" t="s">
        <v>401</v>
      </c>
      <c r="P4" s="102" t="s">
        <v>400</v>
      </c>
      <c r="Q4" s="87" t="s">
        <v>401</v>
      </c>
      <c r="R4" s="102" t="s">
        <v>400</v>
      </c>
      <c r="S4" s="87" t="s">
        <v>401</v>
      </c>
      <c r="T4" s="102" t="s">
        <v>400</v>
      </c>
      <c r="U4" s="87" t="s">
        <v>401</v>
      </c>
      <c r="V4" s="102" t="s">
        <v>400</v>
      </c>
      <c r="W4" s="87" t="s">
        <v>401</v>
      </c>
      <c r="X4" s="323" t="s">
        <v>491</v>
      </c>
    </row>
    <row r="5" spans="1:29" x14ac:dyDescent="0.25">
      <c r="A5" s="92" t="s">
        <v>14</v>
      </c>
      <c r="B5" s="4"/>
      <c r="C5" s="4"/>
      <c r="D5" s="4" t="s">
        <v>460</v>
      </c>
      <c r="E5" s="4"/>
      <c r="F5" s="5"/>
      <c r="G5" s="4"/>
      <c r="H5" s="4"/>
      <c r="I5" s="6" t="e">
        <f>SUM(I6+I8+I10+I12+I21+I25+I33+I37+I42+I48+I53+I56+I58+I67+I74+I95+I115+I127)</f>
        <v>#VALUE!</v>
      </c>
      <c r="J5" s="85">
        <v>1</v>
      </c>
      <c r="K5" s="108"/>
      <c r="L5" s="269" t="s">
        <v>403</v>
      </c>
      <c r="M5" s="270"/>
      <c r="N5" s="269" t="s">
        <v>404</v>
      </c>
      <c r="O5" s="270"/>
      <c r="P5" s="269" t="s">
        <v>406</v>
      </c>
      <c r="Q5" s="270"/>
      <c r="R5" s="269" t="s">
        <v>407</v>
      </c>
      <c r="S5" s="270"/>
      <c r="T5" s="269" t="s">
        <v>408</v>
      </c>
      <c r="U5" s="270"/>
      <c r="V5" s="269" t="s">
        <v>405</v>
      </c>
      <c r="W5" s="270"/>
      <c r="X5" s="324"/>
    </row>
    <row r="6" spans="1:29" x14ac:dyDescent="0.25">
      <c r="A6" s="92" t="s">
        <v>15</v>
      </c>
      <c r="B6" s="4"/>
      <c r="C6" s="4"/>
      <c r="D6" s="4" t="s">
        <v>16</v>
      </c>
      <c r="E6" s="4"/>
      <c r="F6" s="5"/>
      <c r="G6" s="4"/>
      <c r="H6" s="4"/>
      <c r="I6" s="6" t="e">
        <f>SUM(I7)</f>
        <v>#VALUE!</v>
      </c>
      <c r="J6" s="85" t="e">
        <f>I6/I5</f>
        <v>#VALUE!</v>
      </c>
      <c r="K6" s="108"/>
      <c r="L6" s="271"/>
      <c r="M6" s="272"/>
      <c r="N6" s="271"/>
      <c r="O6" s="272"/>
      <c r="P6" s="271"/>
      <c r="Q6" s="272"/>
      <c r="R6" s="271"/>
      <c r="S6" s="272"/>
      <c r="T6" s="271"/>
      <c r="U6" s="272"/>
      <c r="V6" s="271"/>
      <c r="W6" s="272"/>
      <c r="X6" s="324"/>
    </row>
    <row r="7" spans="1:29" x14ac:dyDescent="0.25">
      <c r="A7" s="93" t="s">
        <v>17</v>
      </c>
      <c r="B7" s="8" t="s">
        <v>18</v>
      </c>
      <c r="C7" s="7" t="s">
        <v>19</v>
      </c>
      <c r="D7" s="7" t="s">
        <v>20</v>
      </c>
      <c r="E7" s="9" t="s">
        <v>21</v>
      </c>
      <c r="F7" s="204" t="s">
        <v>492</v>
      </c>
      <c r="G7" s="11">
        <f>110000*0.04</f>
        <v>4400</v>
      </c>
      <c r="H7" s="11">
        <f>G7*1.25</f>
        <v>5500</v>
      </c>
      <c r="I7" s="11" t="e">
        <f>F7*H7</f>
        <v>#VALUE!</v>
      </c>
      <c r="J7" s="86" t="e">
        <f>I7/I5</f>
        <v>#VALUE!</v>
      </c>
      <c r="K7" s="109"/>
      <c r="L7" s="103">
        <v>0.14000000000000001</v>
      </c>
      <c r="M7" s="88">
        <f>TRUNC(L7*$H7,2)</f>
        <v>770</v>
      </c>
      <c r="N7" s="103"/>
      <c r="O7" s="88">
        <f>TRUNC(N7*$H7,2)</f>
        <v>0</v>
      </c>
      <c r="P7" s="103"/>
      <c r="Q7" s="88">
        <f>TRUNC(P7*$H7,2)</f>
        <v>0</v>
      </c>
      <c r="R7" s="103"/>
      <c r="S7" s="88">
        <f>TRUNC(R7*$H7,2)</f>
        <v>0</v>
      </c>
      <c r="T7" s="103"/>
      <c r="U7" s="88">
        <f>TRUNC(T7*$H7,2)</f>
        <v>0</v>
      </c>
      <c r="V7" s="103"/>
      <c r="W7" s="88">
        <f>TRUNC(V7*$H7,2)</f>
        <v>0</v>
      </c>
      <c r="X7" s="10">
        <v>1</v>
      </c>
    </row>
    <row r="8" spans="1:29" x14ac:dyDescent="0.25">
      <c r="A8" s="92" t="s">
        <v>22</v>
      </c>
      <c r="B8" s="4"/>
      <c r="C8" s="4"/>
      <c r="D8" s="4" t="s">
        <v>23</v>
      </c>
      <c r="E8" s="4"/>
      <c r="F8" s="5"/>
      <c r="G8" s="4"/>
      <c r="H8" s="4"/>
      <c r="I8" s="6" t="e">
        <f>SUM(I9:I9)</f>
        <v>#VALUE!</v>
      </c>
      <c r="J8" s="85" t="e">
        <f>I8/I5</f>
        <v>#VALUE!</v>
      </c>
      <c r="K8" s="108"/>
      <c r="L8" s="116"/>
      <c r="M8" s="117"/>
      <c r="N8" s="116"/>
      <c r="O8" s="117"/>
      <c r="P8" s="116"/>
      <c r="Q8" s="117"/>
      <c r="R8" s="116"/>
      <c r="S8" s="117"/>
      <c r="T8" s="116"/>
      <c r="U8" s="117"/>
      <c r="V8" s="116"/>
      <c r="W8" s="117"/>
      <c r="X8" s="5"/>
    </row>
    <row r="9" spans="1:29" ht="26.4" x14ac:dyDescent="0.25">
      <c r="A9" s="93" t="s">
        <v>24</v>
      </c>
      <c r="B9" s="8" t="s">
        <v>25</v>
      </c>
      <c r="C9" s="7" t="s">
        <v>26</v>
      </c>
      <c r="D9" s="7" t="s">
        <v>27</v>
      </c>
      <c r="E9" s="9" t="s">
        <v>28</v>
      </c>
      <c r="F9" s="204" t="s">
        <v>464</v>
      </c>
      <c r="G9" s="11">
        <v>498.3</v>
      </c>
      <c r="H9" s="11">
        <f>G9*1.25</f>
        <v>622.875</v>
      </c>
      <c r="I9" s="11" t="e">
        <f t="shared" ref="I9" si="0">F9*H9</f>
        <v>#VALUE!</v>
      </c>
      <c r="J9" s="86" t="e">
        <f>I9/I5</f>
        <v>#VALUE!</v>
      </c>
      <c r="K9" s="109"/>
      <c r="L9" s="103">
        <v>6.48</v>
      </c>
      <c r="M9" s="88">
        <f t="shared" ref="M9:O9" si="1">TRUNC(L9*$H9,2)</f>
        <v>4036.23</v>
      </c>
      <c r="N9" s="103"/>
      <c r="O9" s="88">
        <f t="shared" si="1"/>
        <v>0</v>
      </c>
      <c r="P9" s="103"/>
      <c r="Q9" s="88">
        <f t="shared" ref="Q9:S9" si="2">TRUNC(P9*$H9,2)</f>
        <v>0</v>
      </c>
      <c r="R9" s="103"/>
      <c r="S9" s="88">
        <f t="shared" si="2"/>
        <v>0</v>
      </c>
      <c r="T9" s="103"/>
      <c r="U9" s="88">
        <f t="shared" ref="U9:W9" si="3">TRUNC(T9*$H9,2)</f>
        <v>0</v>
      </c>
      <c r="V9" s="103"/>
      <c r="W9" s="88">
        <f t="shared" si="3"/>
        <v>0</v>
      </c>
      <c r="X9" s="10">
        <f>2*1</f>
        <v>2</v>
      </c>
    </row>
    <row r="10" spans="1:29" x14ac:dyDescent="0.25">
      <c r="A10" s="92" t="s">
        <v>30</v>
      </c>
      <c r="B10" s="4"/>
      <c r="C10" s="4"/>
      <c r="D10" s="4" t="s">
        <v>31</v>
      </c>
      <c r="E10" s="4"/>
      <c r="F10" s="10">
        <f t="shared" ref="F10:F62" si="4">Y10/Z10*AA10</f>
        <v>0</v>
      </c>
      <c r="G10" s="4"/>
      <c r="H10" s="11">
        <f t="shared" ref="H10:H73" si="5">G10*1.25</f>
        <v>0</v>
      </c>
      <c r="I10" s="6" t="e">
        <f>SUM(I11)</f>
        <v>#VALUE!</v>
      </c>
      <c r="J10" s="85" t="e">
        <f>I10/AB10</f>
        <v>#VALUE!</v>
      </c>
      <c r="K10" s="108"/>
      <c r="L10" s="116"/>
      <c r="M10" s="117"/>
      <c r="N10" s="116"/>
      <c r="O10" s="117"/>
      <c r="P10" s="116"/>
      <c r="Q10" s="117"/>
      <c r="R10" s="116"/>
      <c r="S10" s="117"/>
      <c r="T10" s="116"/>
      <c r="U10" s="117"/>
      <c r="V10" s="116"/>
      <c r="W10" s="117"/>
      <c r="X10" s="10"/>
      <c r="Z10" s="3">
        <v>25</v>
      </c>
      <c r="AA10" s="3">
        <v>5</v>
      </c>
      <c r="AB10" s="3">
        <v>705635.65017045464</v>
      </c>
      <c r="AC10">
        <f t="shared" ref="AC10:AC73" si="6">50/55</f>
        <v>0.90909090909090906</v>
      </c>
    </row>
    <row r="11" spans="1:29" ht="39.6" x14ac:dyDescent="0.25">
      <c r="A11" s="93" t="s">
        <v>32</v>
      </c>
      <c r="B11" s="8" t="s">
        <v>33</v>
      </c>
      <c r="C11" s="7" t="s">
        <v>26</v>
      </c>
      <c r="D11" s="7" t="s">
        <v>34</v>
      </c>
      <c r="E11" s="9" t="s">
        <v>29</v>
      </c>
      <c r="F11" s="204" t="s">
        <v>493</v>
      </c>
      <c r="G11" s="11">
        <v>130.33000000000001</v>
      </c>
      <c r="H11" s="11">
        <f t="shared" si="5"/>
        <v>162.91250000000002</v>
      </c>
      <c r="I11" s="11" t="e">
        <f>F11*H11</f>
        <v>#VALUE!</v>
      </c>
      <c r="J11" s="86" t="e">
        <f>I11/AB11</f>
        <v>#VALUE!</v>
      </c>
      <c r="K11" s="109"/>
      <c r="L11" s="103">
        <v>650</v>
      </c>
      <c r="M11" s="88">
        <f>TRUNC(L11*$H11,2)</f>
        <v>105893.12</v>
      </c>
      <c r="N11" s="103"/>
      <c r="O11" s="88">
        <f>TRUNC(N11*$H11,2)</f>
        <v>0</v>
      </c>
      <c r="P11" s="103"/>
      <c r="Q11" s="88">
        <f>TRUNC(P11*$H11,2)</f>
        <v>0</v>
      </c>
      <c r="R11" s="103"/>
      <c r="S11" s="88">
        <f>TRUNC(R11*$H11,2)</f>
        <v>0</v>
      </c>
      <c r="T11" s="103"/>
      <c r="U11" s="88">
        <f>TRUNC(T11*$H11,2)</f>
        <v>0</v>
      </c>
      <c r="V11" s="103"/>
      <c r="W11" s="88">
        <f>TRUNC(V11*$H11,2)</f>
        <v>0</v>
      </c>
      <c r="X11" s="10">
        <f>7*2</f>
        <v>14</v>
      </c>
      <c r="Y11" s="3">
        <v>650</v>
      </c>
      <c r="Z11" s="3">
        <v>25</v>
      </c>
      <c r="AA11" s="3">
        <v>5</v>
      </c>
      <c r="AB11" s="3">
        <v>705635.65017045464</v>
      </c>
      <c r="AC11">
        <f t="shared" si="6"/>
        <v>0.90909090909090906</v>
      </c>
    </row>
    <row r="12" spans="1:29" x14ac:dyDescent="0.25">
      <c r="A12" s="92" t="s">
        <v>35</v>
      </c>
      <c r="B12" s="4"/>
      <c r="C12" s="4"/>
      <c r="D12" s="4" t="s">
        <v>36</v>
      </c>
      <c r="E12" s="4"/>
      <c r="F12" s="10">
        <f t="shared" si="4"/>
        <v>0</v>
      </c>
      <c r="G12" s="4"/>
      <c r="H12" s="11">
        <f t="shared" si="5"/>
        <v>0</v>
      </c>
      <c r="I12" s="6" t="e">
        <f>SUM(I13:I20)</f>
        <v>#VALUE!</v>
      </c>
      <c r="J12" s="85" t="e">
        <f>I12/AB12</f>
        <v>#VALUE!</v>
      </c>
      <c r="K12" s="108"/>
      <c r="L12" s="116"/>
      <c r="M12" s="117"/>
      <c r="N12" s="116"/>
      <c r="O12" s="117"/>
      <c r="P12" s="116"/>
      <c r="Q12" s="117"/>
      <c r="R12" s="116"/>
      <c r="S12" s="117"/>
      <c r="T12" s="116"/>
      <c r="U12" s="117"/>
      <c r="V12" s="116"/>
      <c r="W12" s="117"/>
      <c r="X12" s="10"/>
      <c r="Z12" s="3">
        <v>25</v>
      </c>
      <c r="AA12" s="3">
        <v>5</v>
      </c>
      <c r="AB12" s="3">
        <v>705635.65017045464</v>
      </c>
      <c r="AC12">
        <f t="shared" si="6"/>
        <v>0.90909090909090906</v>
      </c>
    </row>
    <row r="13" spans="1:29" ht="26.4" x14ac:dyDescent="0.25">
      <c r="A13" s="93" t="s">
        <v>37</v>
      </c>
      <c r="B13" s="8" t="s">
        <v>38</v>
      </c>
      <c r="C13" s="7" t="s">
        <v>26</v>
      </c>
      <c r="D13" s="7" t="s">
        <v>39</v>
      </c>
      <c r="E13" s="9" t="s">
        <v>40</v>
      </c>
      <c r="F13" s="204" t="s">
        <v>465</v>
      </c>
      <c r="G13" s="11">
        <v>111.12</v>
      </c>
      <c r="H13" s="11">
        <f t="shared" si="5"/>
        <v>138.9</v>
      </c>
      <c r="I13" s="11" t="e">
        <f t="shared" ref="I13:I20" si="7">F13*H13</f>
        <v>#VALUE!</v>
      </c>
      <c r="J13" s="86" t="e">
        <f>I13/AB13</f>
        <v>#VALUE!</v>
      </c>
      <c r="K13" s="109"/>
      <c r="L13" s="103">
        <v>42.25</v>
      </c>
      <c r="M13" s="88">
        <f t="shared" ref="M13:O20" si="8">TRUNC(L13*$H13,2)</f>
        <v>5868.52</v>
      </c>
      <c r="N13" s="103"/>
      <c r="O13" s="88">
        <f t="shared" si="8"/>
        <v>0</v>
      </c>
      <c r="P13" s="103"/>
      <c r="Q13" s="88">
        <f t="shared" ref="Q13:S20" si="9">TRUNC(P13*$H13,2)</f>
        <v>0</v>
      </c>
      <c r="R13" s="103"/>
      <c r="S13" s="88">
        <f t="shared" si="9"/>
        <v>0</v>
      </c>
      <c r="T13" s="103"/>
      <c r="U13" s="88">
        <f t="shared" ref="U13:W20" si="10">TRUNC(T13*$H13,2)</f>
        <v>0</v>
      </c>
      <c r="V13" s="103"/>
      <c r="W13" s="88">
        <f t="shared" si="10"/>
        <v>0</v>
      </c>
      <c r="X13" s="10">
        <f>8.65+4.54*2*0.3*0.25</f>
        <v>9.3309999999999995</v>
      </c>
      <c r="Y13" s="3">
        <v>42.25</v>
      </c>
      <c r="Z13" s="3">
        <v>25</v>
      </c>
      <c r="AA13" s="3">
        <v>5</v>
      </c>
      <c r="AB13" s="3">
        <v>705635.65017045464</v>
      </c>
      <c r="AC13">
        <f t="shared" si="6"/>
        <v>0.90909090909090906</v>
      </c>
    </row>
    <row r="14" spans="1:29" ht="26.4" x14ac:dyDescent="0.25">
      <c r="A14" s="93" t="s">
        <v>41</v>
      </c>
      <c r="B14" s="8" t="s">
        <v>42</v>
      </c>
      <c r="C14" s="7" t="s">
        <v>26</v>
      </c>
      <c r="D14" s="7" t="s">
        <v>43</v>
      </c>
      <c r="E14" s="9" t="s">
        <v>28</v>
      </c>
      <c r="F14" s="204" t="s">
        <v>466</v>
      </c>
      <c r="G14" s="11">
        <v>48.02</v>
      </c>
      <c r="H14" s="11">
        <f t="shared" si="5"/>
        <v>60.025000000000006</v>
      </c>
      <c r="I14" s="11" t="e">
        <f t="shared" si="7"/>
        <v>#VALUE!</v>
      </c>
      <c r="J14" s="86" t="e">
        <f>I14/AB14</f>
        <v>#VALUE!</v>
      </c>
      <c r="K14" s="109"/>
      <c r="L14" s="103">
        <v>422.25</v>
      </c>
      <c r="M14" s="88">
        <f t="shared" si="8"/>
        <v>25345.55</v>
      </c>
      <c r="N14" s="103"/>
      <c r="O14" s="88">
        <f t="shared" si="8"/>
        <v>0</v>
      </c>
      <c r="P14" s="103"/>
      <c r="Q14" s="88">
        <f t="shared" si="9"/>
        <v>0</v>
      </c>
      <c r="R14" s="103"/>
      <c r="S14" s="88">
        <f t="shared" si="9"/>
        <v>0</v>
      </c>
      <c r="T14" s="103"/>
      <c r="U14" s="88">
        <f t="shared" si="10"/>
        <v>0</v>
      </c>
      <c r="V14" s="103"/>
      <c r="W14" s="88">
        <f t="shared" si="10"/>
        <v>0</v>
      </c>
      <c r="X14" s="10">
        <f>8.65+4.54*2*0.3</f>
        <v>11.374000000000001</v>
      </c>
      <c r="Y14" s="3">
        <v>422.25</v>
      </c>
      <c r="Z14" s="3">
        <v>25</v>
      </c>
      <c r="AA14" s="3">
        <v>5</v>
      </c>
      <c r="AB14" s="3">
        <v>705635.65017045464</v>
      </c>
      <c r="AC14">
        <f t="shared" si="6"/>
        <v>0.90909090909090906</v>
      </c>
    </row>
    <row r="15" spans="1:29" ht="52.8" x14ac:dyDescent="0.25">
      <c r="A15" s="93" t="s">
        <v>44</v>
      </c>
      <c r="B15" s="8" t="s">
        <v>45</v>
      </c>
      <c r="C15" s="7" t="s">
        <v>26</v>
      </c>
      <c r="D15" s="7" t="s">
        <v>46</v>
      </c>
      <c r="E15" s="9" t="s">
        <v>28</v>
      </c>
      <c r="F15" s="204" t="s">
        <v>467</v>
      </c>
      <c r="G15" s="11">
        <v>162.57</v>
      </c>
      <c r="H15" s="11">
        <f t="shared" si="5"/>
        <v>203.21249999999998</v>
      </c>
      <c r="I15" s="11" t="e">
        <f t="shared" si="7"/>
        <v>#VALUE!</v>
      </c>
      <c r="J15" s="86" t="e">
        <f>I15/AB15</f>
        <v>#VALUE!</v>
      </c>
      <c r="K15" s="109"/>
      <c r="L15" s="103">
        <v>508.75</v>
      </c>
      <c r="M15" s="88">
        <f t="shared" si="8"/>
        <v>103384.35</v>
      </c>
      <c r="N15" s="103"/>
      <c r="O15" s="88">
        <f t="shared" si="8"/>
        <v>0</v>
      </c>
      <c r="P15" s="103"/>
      <c r="Q15" s="88">
        <f t="shared" si="9"/>
        <v>0</v>
      </c>
      <c r="R15" s="103"/>
      <c r="S15" s="88">
        <f t="shared" si="9"/>
        <v>0</v>
      </c>
      <c r="T15" s="103"/>
      <c r="U15" s="88">
        <f t="shared" si="10"/>
        <v>0</v>
      </c>
      <c r="V15" s="103"/>
      <c r="W15" s="88">
        <f t="shared" si="10"/>
        <v>0</v>
      </c>
      <c r="X15" s="10">
        <f>8.65+4.54*2*0.15*0.25</f>
        <v>8.9905000000000008</v>
      </c>
      <c r="Y15" s="3">
        <v>508.75</v>
      </c>
      <c r="Z15" s="3">
        <v>25</v>
      </c>
      <c r="AA15" s="3">
        <v>5</v>
      </c>
      <c r="AB15" s="3">
        <v>705635.65017045464</v>
      </c>
      <c r="AC15">
        <f t="shared" si="6"/>
        <v>0.90909090909090906</v>
      </c>
    </row>
    <row r="16" spans="1:29" ht="39.6" x14ac:dyDescent="0.25">
      <c r="A16" s="93" t="s">
        <v>47</v>
      </c>
      <c r="B16" s="8" t="s">
        <v>48</v>
      </c>
      <c r="C16" s="7" t="s">
        <v>26</v>
      </c>
      <c r="D16" s="7" t="s">
        <v>49</v>
      </c>
      <c r="E16" s="9" t="s">
        <v>28</v>
      </c>
      <c r="F16" s="204" t="s">
        <v>468</v>
      </c>
      <c r="G16" s="11">
        <v>75.599999999999994</v>
      </c>
      <c r="H16" s="11">
        <f t="shared" si="5"/>
        <v>94.5</v>
      </c>
      <c r="I16" s="11" t="e">
        <f t="shared" si="7"/>
        <v>#VALUE!</v>
      </c>
      <c r="J16" s="86" t="e">
        <f>I16/AB16</f>
        <v>#VALUE!</v>
      </c>
      <c r="K16" s="109"/>
      <c r="L16" s="103">
        <v>609.75</v>
      </c>
      <c r="M16" s="88">
        <f t="shared" si="8"/>
        <v>57621.37</v>
      </c>
      <c r="N16" s="103"/>
      <c r="O16" s="88">
        <f t="shared" si="8"/>
        <v>0</v>
      </c>
      <c r="P16" s="103"/>
      <c r="Q16" s="88">
        <f t="shared" si="9"/>
        <v>0</v>
      </c>
      <c r="R16" s="103"/>
      <c r="S16" s="88">
        <f t="shared" si="9"/>
        <v>0</v>
      </c>
      <c r="T16" s="103"/>
      <c r="U16" s="88">
        <f t="shared" si="10"/>
        <v>0</v>
      </c>
      <c r="V16" s="103"/>
      <c r="W16" s="88">
        <f t="shared" si="10"/>
        <v>0</v>
      </c>
      <c r="X16" s="10">
        <f>8.65+4.54*2*0.25*2</f>
        <v>13.190000000000001</v>
      </c>
      <c r="Y16" s="3">
        <v>609.75</v>
      </c>
      <c r="Z16" s="3">
        <v>25</v>
      </c>
      <c r="AA16" s="3">
        <v>5</v>
      </c>
      <c r="AB16" s="3">
        <v>705635.65017045464</v>
      </c>
      <c r="AC16">
        <f t="shared" si="6"/>
        <v>0.90909090909090906</v>
      </c>
    </row>
    <row r="17" spans="1:29" ht="26.4" x14ac:dyDescent="0.25">
      <c r="A17" s="93" t="s">
        <v>50</v>
      </c>
      <c r="B17" s="8">
        <v>104919</v>
      </c>
      <c r="C17" s="7" t="s">
        <v>26</v>
      </c>
      <c r="D17" s="7" t="s">
        <v>457</v>
      </c>
      <c r="E17" s="9" t="s">
        <v>51</v>
      </c>
      <c r="F17" s="204" t="s">
        <v>469</v>
      </c>
      <c r="G17" s="11">
        <v>11.92</v>
      </c>
      <c r="H17" s="11">
        <f t="shared" si="5"/>
        <v>14.9</v>
      </c>
      <c r="I17" s="11" t="e">
        <f t="shared" si="7"/>
        <v>#VALUE!</v>
      </c>
      <c r="J17" s="86" t="e">
        <f>I17/AB17</f>
        <v>#VALUE!</v>
      </c>
      <c r="K17" s="109"/>
      <c r="L17" s="103">
        <v>1887</v>
      </c>
      <c r="M17" s="88">
        <f t="shared" si="8"/>
        <v>28116.3</v>
      </c>
      <c r="N17" s="103"/>
      <c r="O17" s="88">
        <f t="shared" si="8"/>
        <v>0</v>
      </c>
      <c r="P17" s="103"/>
      <c r="Q17" s="88">
        <f t="shared" si="9"/>
        <v>0</v>
      </c>
      <c r="R17" s="103"/>
      <c r="S17" s="88">
        <f t="shared" si="9"/>
        <v>0</v>
      </c>
      <c r="T17" s="103"/>
      <c r="U17" s="88">
        <f t="shared" si="10"/>
        <v>0</v>
      </c>
      <c r="V17" s="103"/>
      <c r="W17" s="88">
        <f t="shared" si="10"/>
        <v>0</v>
      </c>
      <c r="X17" s="10">
        <f>26.38*4.05*0.617</f>
        <v>65.919662999999986</v>
      </c>
      <c r="Y17" s="3">
        <v>1887</v>
      </c>
      <c r="Z17" s="3">
        <v>25</v>
      </c>
      <c r="AA17" s="3">
        <v>5</v>
      </c>
      <c r="AB17" s="3">
        <v>705635.65017045464</v>
      </c>
      <c r="AC17">
        <f t="shared" si="6"/>
        <v>0.90909090909090906</v>
      </c>
    </row>
    <row r="18" spans="1:29" ht="26.4" x14ac:dyDescent="0.25">
      <c r="A18" s="93" t="s">
        <v>52</v>
      </c>
      <c r="B18" s="8" t="s">
        <v>53</v>
      </c>
      <c r="C18" s="7" t="s">
        <v>26</v>
      </c>
      <c r="D18" s="7" t="s">
        <v>54</v>
      </c>
      <c r="E18" s="9" t="s">
        <v>51</v>
      </c>
      <c r="F18" s="204" t="s">
        <v>470</v>
      </c>
      <c r="G18" s="11">
        <v>14.76</v>
      </c>
      <c r="H18" s="11">
        <f t="shared" si="5"/>
        <v>18.45</v>
      </c>
      <c r="I18" s="11" t="e">
        <f t="shared" si="7"/>
        <v>#VALUE!</v>
      </c>
      <c r="J18" s="86" t="e">
        <f>I18/AB18</f>
        <v>#VALUE!</v>
      </c>
      <c r="K18" s="109"/>
      <c r="L18" s="103">
        <v>298.25</v>
      </c>
      <c r="M18" s="88">
        <f t="shared" si="8"/>
        <v>5502.71</v>
      </c>
      <c r="N18" s="103"/>
      <c r="O18" s="88">
        <f t="shared" si="8"/>
        <v>0</v>
      </c>
      <c r="P18" s="103"/>
      <c r="Q18" s="88">
        <f t="shared" si="9"/>
        <v>0</v>
      </c>
      <c r="R18" s="103"/>
      <c r="S18" s="88">
        <f t="shared" si="9"/>
        <v>0</v>
      </c>
      <c r="T18" s="103"/>
      <c r="U18" s="88">
        <f t="shared" si="10"/>
        <v>0</v>
      </c>
      <c r="V18" s="103"/>
      <c r="W18" s="88">
        <f t="shared" si="10"/>
        <v>0</v>
      </c>
      <c r="X18" s="10">
        <f>26.38*2.05*0.245</f>
        <v>13.249354999999998</v>
      </c>
      <c r="Y18" s="3">
        <v>298.25</v>
      </c>
      <c r="Z18" s="3">
        <v>25</v>
      </c>
      <c r="AA18" s="3">
        <v>5</v>
      </c>
      <c r="AB18" s="3">
        <v>705635.65017045464</v>
      </c>
      <c r="AC18">
        <f t="shared" si="6"/>
        <v>0.90909090909090906</v>
      </c>
    </row>
    <row r="19" spans="1:29" ht="26.4" x14ac:dyDescent="0.25">
      <c r="A19" s="93" t="s">
        <v>55</v>
      </c>
      <c r="B19" s="8" t="s">
        <v>56</v>
      </c>
      <c r="C19" s="7" t="s">
        <v>26</v>
      </c>
      <c r="D19" s="7" t="s">
        <v>57</v>
      </c>
      <c r="E19" s="9" t="s">
        <v>51</v>
      </c>
      <c r="F19" s="204" t="s">
        <v>471</v>
      </c>
      <c r="G19" s="11">
        <v>16.260000000000002</v>
      </c>
      <c r="H19" s="11">
        <f t="shared" si="5"/>
        <v>20.325000000000003</v>
      </c>
      <c r="I19" s="11" t="e">
        <f t="shared" si="7"/>
        <v>#VALUE!</v>
      </c>
      <c r="J19" s="86" t="e">
        <f>I19/AB19</f>
        <v>#VALUE!</v>
      </c>
      <c r="K19" s="109"/>
      <c r="L19" s="103">
        <v>831.5</v>
      </c>
      <c r="M19" s="88">
        <f t="shared" si="8"/>
        <v>16900.23</v>
      </c>
      <c r="N19" s="103"/>
      <c r="O19" s="88">
        <f t="shared" si="8"/>
        <v>0</v>
      </c>
      <c r="P19" s="103"/>
      <c r="Q19" s="88">
        <f t="shared" si="9"/>
        <v>0</v>
      </c>
      <c r="R19" s="103"/>
      <c r="S19" s="88">
        <f t="shared" si="9"/>
        <v>0</v>
      </c>
      <c r="T19" s="103"/>
      <c r="U19" s="88">
        <f t="shared" si="10"/>
        <v>0</v>
      </c>
      <c r="V19" s="103"/>
      <c r="W19" s="88">
        <f t="shared" si="10"/>
        <v>0</v>
      </c>
      <c r="X19" s="10">
        <f>26.38/0.15*0.8*0.154</f>
        <v>21.666773333333335</v>
      </c>
      <c r="Y19" s="3">
        <v>831.5</v>
      </c>
      <c r="Z19" s="3">
        <v>25</v>
      </c>
      <c r="AA19" s="3">
        <v>5</v>
      </c>
      <c r="AB19" s="3">
        <v>705635.65017045464</v>
      </c>
      <c r="AC19">
        <f t="shared" si="6"/>
        <v>0.90909090909090906</v>
      </c>
    </row>
    <row r="20" spans="1:29" ht="26.4" x14ac:dyDescent="0.25">
      <c r="A20" s="93" t="s">
        <v>58</v>
      </c>
      <c r="B20" s="8" t="s">
        <v>59</v>
      </c>
      <c r="C20" s="7" t="s">
        <v>19</v>
      </c>
      <c r="D20" s="7" t="s">
        <v>60</v>
      </c>
      <c r="E20" s="9" t="s">
        <v>61</v>
      </c>
      <c r="F20" s="204" t="s">
        <v>472</v>
      </c>
      <c r="G20" s="11">
        <v>761.55</v>
      </c>
      <c r="H20" s="11">
        <f t="shared" si="5"/>
        <v>951.9375</v>
      </c>
      <c r="I20" s="11" t="e">
        <f t="shared" si="7"/>
        <v>#VALUE!</v>
      </c>
      <c r="J20" s="86" t="e">
        <f>I20/AB20</f>
        <v>#VALUE!</v>
      </c>
      <c r="K20" s="109"/>
      <c r="L20" s="103">
        <v>42.75</v>
      </c>
      <c r="M20" s="88">
        <f t="shared" si="8"/>
        <v>40695.32</v>
      </c>
      <c r="N20" s="103"/>
      <c r="O20" s="88">
        <f t="shared" si="8"/>
        <v>0</v>
      </c>
      <c r="P20" s="103"/>
      <c r="Q20" s="88">
        <f t="shared" si="9"/>
        <v>0</v>
      </c>
      <c r="R20" s="103"/>
      <c r="S20" s="88">
        <f t="shared" si="9"/>
        <v>0</v>
      </c>
      <c r="T20" s="103"/>
      <c r="U20" s="88">
        <f t="shared" si="10"/>
        <v>0</v>
      </c>
      <c r="V20" s="103"/>
      <c r="W20" s="88">
        <f t="shared" si="10"/>
        <v>0</v>
      </c>
      <c r="X20" s="10">
        <f>26.38*0.15*0.25</f>
        <v>0.98924999999999996</v>
      </c>
      <c r="Y20" s="3">
        <v>42.75</v>
      </c>
      <c r="Z20" s="3">
        <v>25</v>
      </c>
      <c r="AA20" s="3">
        <v>5</v>
      </c>
      <c r="AB20" s="3">
        <v>705635.65017045464</v>
      </c>
      <c r="AC20">
        <f t="shared" si="6"/>
        <v>0.90909090909090906</v>
      </c>
    </row>
    <row r="21" spans="1:29" x14ac:dyDescent="0.25">
      <c r="A21" s="92" t="s">
        <v>62</v>
      </c>
      <c r="B21" s="4"/>
      <c r="C21" s="4"/>
      <c r="D21" s="4" t="s">
        <v>63</v>
      </c>
      <c r="E21" s="4"/>
      <c r="F21" s="10">
        <f t="shared" ref="F21" si="11">Y21/Z21*AA21*AC21</f>
        <v>0</v>
      </c>
      <c r="G21" s="4"/>
      <c r="H21" s="11">
        <f t="shared" si="5"/>
        <v>0</v>
      </c>
      <c r="I21" s="6" t="e">
        <f>SUM(I22:I24)</f>
        <v>#VALUE!</v>
      </c>
      <c r="J21" s="85" t="e">
        <f>I21/AB21</f>
        <v>#VALUE!</v>
      </c>
      <c r="K21" s="108"/>
      <c r="L21" s="116"/>
      <c r="M21" s="117"/>
      <c r="N21" s="116"/>
      <c r="O21" s="117"/>
      <c r="P21" s="116"/>
      <c r="Q21" s="117"/>
      <c r="R21" s="116"/>
      <c r="S21" s="117"/>
      <c r="T21" s="116"/>
      <c r="U21" s="117"/>
      <c r="V21" s="116"/>
      <c r="W21" s="117"/>
      <c r="X21" s="10"/>
      <c r="Z21" s="3">
        <v>25</v>
      </c>
      <c r="AA21" s="3">
        <v>5</v>
      </c>
      <c r="AB21" s="3">
        <v>705635.65017045464</v>
      </c>
      <c r="AC21">
        <f t="shared" si="6"/>
        <v>0.90909090909090906</v>
      </c>
    </row>
    <row r="22" spans="1:29" ht="39.6" x14ac:dyDescent="0.25">
      <c r="A22" s="93" t="s">
        <v>64</v>
      </c>
      <c r="B22" s="8" t="s">
        <v>65</v>
      </c>
      <c r="C22" s="7" t="s">
        <v>26</v>
      </c>
      <c r="D22" s="7" t="s">
        <v>66</v>
      </c>
      <c r="E22" s="9" t="s">
        <v>28</v>
      </c>
      <c r="F22" s="204" t="s">
        <v>473</v>
      </c>
      <c r="G22" s="11">
        <v>5.58</v>
      </c>
      <c r="H22" s="11">
        <f t="shared" si="5"/>
        <v>6.9749999999999996</v>
      </c>
      <c r="I22" s="11" t="e">
        <f t="shared" ref="I22:I24" si="12">F22*H22</f>
        <v>#VALUE!</v>
      </c>
      <c r="J22" s="86" t="e">
        <f>I22/AB22</f>
        <v>#VALUE!</v>
      </c>
      <c r="K22" s="109"/>
      <c r="L22" s="103"/>
      <c r="M22" s="88">
        <f t="shared" ref="M22:O24" si="13">TRUNC(L22*$H22,2)</f>
        <v>0</v>
      </c>
      <c r="N22" s="103">
        <v>785.75</v>
      </c>
      <c r="O22" s="88">
        <f t="shared" si="13"/>
        <v>5480.6</v>
      </c>
      <c r="P22" s="103"/>
      <c r="Q22" s="88">
        <f t="shared" ref="Q22:S24" si="14">TRUNC(P22*$H22,2)</f>
        <v>0</v>
      </c>
      <c r="R22" s="103"/>
      <c r="S22" s="88">
        <f t="shared" si="14"/>
        <v>0</v>
      </c>
      <c r="T22" s="103"/>
      <c r="U22" s="88">
        <f t="shared" ref="U22:W24" si="15">TRUNC(T22*$H22,2)</f>
        <v>0</v>
      </c>
      <c r="V22" s="103"/>
      <c r="W22" s="88">
        <f t="shared" si="15"/>
        <v>0</v>
      </c>
      <c r="X22" s="10">
        <f>26.38*0.25*2</f>
        <v>13.19</v>
      </c>
      <c r="Y22" s="3">
        <v>785.75</v>
      </c>
      <c r="Z22" s="3">
        <v>25</v>
      </c>
      <c r="AA22" s="3">
        <v>5</v>
      </c>
      <c r="AB22" s="3">
        <v>705635.65017045464</v>
      </c>
      <c r="AC22">
        <f t="shared" si="6"/>
        <v>0.90909090909090906</v>
      </c>
    </row>
    <row r="23" spans="1:29" ht="26.4" x14ac:dyDescent="0.25">
      <c r="A23" s="93" t="s">
        <v>67</v>
      </c>
      <c r="B23" s="8" t="s">
        <v>68</v>
      </c>
      <c r="C23" s="7" t="s">
        <v>26</v>
      </c>
      <c r="D23" s="7" t="s">
        <v>69</v>
      </c>
      <c r="E23" s="9" t="s">
        <v>28</v>
      </c>
      <c r="F23" s="10" t="str">
        <f>F22</f>
        <v>26,38*0,25*2</v>
      </c>
      <c r="G23" s="11">
        <v>55.47</v>
      </c>
      <c r="H23" s="11">
        <f t="shared" si="5"/>
        <v>69.337500000000006</v>
      </c>
      <c r="I23" s="11" t="e">
        <f t="shared" si="12"/>
        <v>#VALUE!</v>
      </c>
      <c r="J23" s="86" t="e">
        <f>I23/AB23</f>
        <v>#VALUE!</v>
      </c>
      <c r="K23" s="109"/>
      <c r="L23" s="103"/>
      <c r="M23" s="88">
        <f t="shared" si="13"/>
        <v>0</v>
      </c>
      <c r="N23" s="103">
        <v>785.75</v>
      </c>
      <c r="O23" s="88">
        <f t="shared" si="13"/>
        <v>54481.94</v>
      </c>
      <c r="P23" s="103"/>
      <c r="Q23" s="88">
        <f t="shared" si="14"/>
        <v>0</v>
      </c>
      <c r="R23" s="103"/>
      <c r="S23" s="88">
        <f t="shared" si="14"/>
        <v>0</v>
      </c>
      <c r="T23" s="103"/>
      <c r="U23" s="88">
        <f t="shared" si="15"/>
        <v>0</v>
      </c>
      <c r="V23" s="103"/>
      <c r="W23" s="88">
        <f t="shared" si="15"/>
        <v>0</v>
      </c>
      <c r="X23" s="10">
        <f>X22</f>
        <v>13.19</v>
      </c>
      <c r="Y23" s="3">
        <v>785.75</v>
      </c>
      <c r="Z23" s="3">
        <v>25</v>
      </c>
      <c r="AA23" s="3">
        <v>5</v>
      </c>
      <c r="AB23" s="3">
        <v>705635.65017045464</v>
      </c>
      <c r="AC23">
        <f t="shared" si="6"/>
        <v>0.90909090909090906</v>
      </c>
    </row>
    <row r="24" spans="1:29" ht="26.4" x14ac:dyDescent="0.25">
      <c r="A24" s="93" t="s">
        <v>70</v>
      </c>
      <c r="B24" s="8" t="s">
        <v>71</v>
      </c>
      <c r="C24" s="7" t="s">
        <v>26</v>
      </c>
      <c r="D24" s="7" t="s">
        <v>72</v>
      </c>
      <c r="E24" s="9" t="s">
        <v>28</v>
      </c>
      <c r="F24" s="10" t="str">
        <f>F22</f>
        <v>26,38*0,25*2</v>
      </c>
      <c r="G24" s="11">
        <v>39.4</v>
      </c>
      <c r="H24" s="11">
        <f t="shared" si="5"/>
        <v>49.25</v>
      </c>
      <c r="I24" s="11" t="e">
        <f t="shared" si="12"/>
        <v>#VALUE!</v>
      </c>
      <c r="J24" s="86" t="e">
        <f>I24/AB24</f>
        <v>#VALUE!</v>
      </c>
      <c r="K24" s="109"/>
      <c r="L24" s="103">
        <v>785.75</v>
      </c>
      <c r="M24" s="88">
        <f t="shared" si="13"/>
        <v>38698.18</v>
      </c>
      <c r="N24" s="103"/>
      <c r="O24" s="88">
        <f t="shared" si="13"/>
        <v>0</v>
      </c>
      <c r="P24" s="103"/>
      <c r="Q24" s="88">
        <f t="shared" si="14"/>
        <v>0</v>
      </c>
      <c r="R24" s="103"/>
      <c r="S24" s="88">
        <f t="shared" si="14"/>
        <v>0</v>
      </c>
      <c r="T24" s="103"/>
      <c r="U24" s="88">
        <f t="shared" si="15"/>
        <v>0</v>
      </c>
      <c r="V24" s="103"/>
      <c r="W24" s="88">
        <f t="shared" si="15"/>
        <v>0</v>
      </c>
      <c r="X24" s="10">
        <f>X22</f>
        <v>13.19</v>
      </c>
      <c r="Y24" s="3">
        <v>785.75</v>
      </c>
      <c r="Z24" s="3">
        <v>25</v>
      </c>
      <c r="AA24" s="3">
        <v>5</v>
      </c>
      <c r="AB24" s="3">
        <v>705635.65017045464</v>
      </c>
      <c r="AC24">
        <f t="shared" si="6"/>
        <v>0.90909090909090906</v>
      </c>
    </row>
    <row r="25" spans="1:29" x14ac:dyDescent="0.25">
      <c r="A25" s="92" t="s">
        <v>73</v>
      </c>
      <c r="B25" s="4"/>
      <c r="C25" s="4"/>
      <c r="D25" s="4" t="s">
        <v>74</v>
      </c>
      <c r="E25" s="4"/>
      <c r="F25" s="10">
        <f t="shared" si="4"/>
        <v>0</v>
      </c>
      <c r="G25" s="4"/>
      <c r="H25" s="11">
        <f t="shared" si="5"/>
        <v>0</v>
      </c>
      <c r="I25" s="6" t="e">
        <f>SUM(I26:I32)</f>
        <v>#VALUE!</v>
      </c>
      <c r="J25" s="85" t="e">
        <f>I25/AB25</f>
        <v>#VALUE!</v>
      </c>
      <c r="K25" s="108"/>
      <c r="L25" s="116"/>
      <c r="M25" s="117"/>
      <c r="N25" s="116"/>
      <c r="O25" s="117"/>
      <c r="P25" s="116"/>
      <c r="Q25" s="117"/>
      <c r="R25" s="116"/>
      <c r="S25" s="117"/>
      <c r="T25" s="116"/>
      <c r="U25" s="117"/>
      <c r="V25" s="116"/>
      <c r="W25" s="117"/>
      <c r="X25" s="10"/>
      <c r="Z25" s="3">
        <v>25</v>
      </c>
      <c r="AA25" s="3">
        <v>5</v>
      </c>
      <c r="AB25" s="3">
        <v>705635.65017045464</v>
      </c>
      <c r="AC25">
        <f t="shared" si="6"/>
        <v>0.90909090909090906</v>
      </c>
    </row>
    <row r="26" spans="1:29" ht="39.6" x14ac:dyDescent="0.25">
      <c r="A26" s="93" t="s">
        <v>75</v>
      </c>
      <c r="B26" s="8" t="s">
        <v>76</v>
      </c>
      <c r="C26" s="7" t="s">
        <v>26</v>
      </c>
      <c r="D26" s="7" t="s">
        <v>77</v>
      </c>
      <c r="E26" s="9" t="s">
        <v>28</v>
      </c>
      <c r="F26" s="204" t="s">
        <v>474</v>
      </c>
      <c r="G26" s="11">
        <v>71.95</v>
      </c>
      <c r="H26" s="11">
        <f t="shared" si="5"/>
        <v>89.9375</v>
      </c>
      <c r="I26" s="11" t="e">
        <f t="shared" ref="I26:I32" si="16">F26*H26</f>
        <v>#VALUE!</v>
      </c>
      <c r="J26" s="86" t="e">
        <f>I26/AB26</f>
        <v>#VALUE!</v>
      </c>
      <c r="K26" s="109"/>
      <c r="L26" s="103"/>
      <c r="M26" s="88">
        <f t="shared" ref="M26:O32" si="17">TRUNC(L26*$H26,2)</f>
        <v>0</v>
      </c>
      <c r="N26" s="103">
        <v>507.75</v>
      </c>
      <c r="O26" s="88">
        <f t="shared" si="17"/>
        <v>45665.760000000002</v>
      </c>
      <c r="P26" s="103"/>
      <c r="Q26" s="88">
        <f t="shared" ref="Q26:S32" si="18">TRUNC(P26*$H26,2)</f>
        <v>0</v>
      </c>
      <c r="R26" s="103"/>
      <c r="S26" s="88">
        <f t="shared" si="18"/>
        <v>0</v>
      </c>
      <c r="T26" s="103"/>
      <c r="U26" s="88">
        <f t="shared" ref="U26:W32" si="19">TRUNC(T26*$H26,2)</f>
        <v>0</v>
      </c>
      <c r="V26" s="103"/>
      <c r="W26" s="88">
        <f t="shared" si="19"/>
        <v>0</v>
      </c>
      <c r="X26" s="10">
        <f>5*0.3*2*3+3.3*0.3*3+3.2*0.3*2*5+2.7*0.3*2*1</f>
        <v>23.19</v>
      </c>
      <c r="Y26" s="3">
        <v>507.75</v>
      </c>
      <c r="Z26" s="3">
        <v>25</v>
      </c>
      <c r="AA26" s="3">
        <v>5</v>
      </c>
      <c r="AB26" s="3">
        <v>705635.65017045464</v>
      </c>
      <c r="AC26">
        <f t="shared" si="6"/>
        <v>0.90909090909090906</v>
      </c>
    </row>
    <row r="27" spans="1:29" ht="26.4" x14ac:dyDescent="0.25">
      <c r="A27" s="118" t="s">
        <v>78</v>
      </c>
      <c r="B27" s="119" t="s">
        <v>79</v>
      </c>
      <c r="C27" s="120" t="s">
        <v>19</v>
      </c>
      <c r="D27" s="120" t="s">
        <v>80</v>
      </c>
      <c r="E27" s="121" t="s">
        <v>81</v>
      </c>
      <c r="F27" s="204" t="s">
        <v>475</v>
      </c>
      <c r="G27" s="122">
        <v>65.569999999999993</v>
      </c>
      <c r="H27" s="11">
        <f t="shared" si="5"/>
        <v>81.962499999999991</v>
      </c>
      <c r="I27" s="11" t="e">
        <f t="shared" si="16"/>
        <v>#VALUE!</v>
      </c>
      <c r="J27" s="86" t="e">
        <f>I27/AB27</f>
        <v>#VALUE!</v>
      </c>
      <c r="K27" s="115"/>
      <c r="L27" s="123"/>
      <c r="M27" s="124">
        <f t="shared" si="17"/>
        <v>0</v>
      </c>
      <c r="N27" s="123">
        <v>581.75</v>
      </c>
      <c r="O27" s="124">
        <f t="shared" si="17"/>
        <v>47681.68</v>
      </c>
      <c r="P27" s="123"/>
      <c r="Q27" s="124">
        <f t="shared" si="18"/>
        <v>0</v>
      </c>
      <c r="R27" s="123"/>
      <c r="S27" s="124">
        <f t="shared" si="18"/>
        <v>0</v>
      </c>
      <c r="T27" s="123"/>
      <c r="U27" s="124">
        <f t="shared" si="19"/>
        <v>0</v>
      </c>
      <c r="V27" s="123"/>
      <c r="W27" s="124">
        <f t="shared" si="19"/>
        <v>0</v>
      </c>
      <c r="X27" s="10">
        <f>(8.65+4.54*2+13.4+5.79)*0.25*2+(13.4+5.79+4.54*2)*0.2*2</f>
        <v>29.768000000000001</v>
      </c>
      <c r="Y27" s="3">
        <v>581.75</v>
      </c>
      <c r="Z27" s="3">
        <v>25</v>
      </c>
      <c r="AA27" s="3">
        <v>5</v>
      </c>
      <c r="AB27" s="3">
        <v>705635.65017045464</v>
      </c>
      <c r="AC27">
        <f t="shared" si="6"/>
        <v>0.90909090909090906</v>
      </c>
    </row>
    <row r="28" spans="1:29" ht="39.6" x14ac:dyDescent="0.25">
      <c r="A28" s="118" t="s">
        <v>82</v>
      </c>
      <c r="B28" s="119" t="s">
        <v>83</v>
      </c>
      <c r="C28" s="120" t="s">
        <v>26</v>
      </c>
      <c r="D28" s="120" t="s">
        <v>84</v>
      </c>
      <c r="E28" s="121" t="s">
        <v>28</v>
      </c>
      <c r="F28" s="204" t="s">
        <v>476</v>
      </c>
      <c r="G28" s="122">
        <v>132.93</v>
      </c>
      <c r="H28" s="11">
        <f t="shared" si="5"/>
        <v>166.16250000000002</v>
      </c>
      <c r="I28" s="11" t="e">
        <f t="shared" si="16"/>
        <v>#VALUE!</v>
      </c>
      <c r="J28" s="86" t="e">
        <f>I28/AB28</f>
        <v>#VALUE!</v>
      </c>
      <c r="K28" s="115"/>
      <c r="L28" s="123"/>
      <c r="M28" s="124">
        <f t="shared" si="17"/>
        <v>0</v>
      </c>
      <c r="N28" s="123">
        <v>128.25</v>
      </c>
      <c r="O28" s="124">
        <f t="shared" si="17"/>
        <v>21310.34</v>
      </c>
      <c r="P28" s="123"/>
      <c r="Q28" s="124">
        <f t="shared" si="18"/>
        <v>0</v>
      </c>
      <c r="R28" s="123"/>
      <c r="S28" s="124">
        <f t="shared" si="18"/>
        <v>0</v>
      </c>
      <c r="T28" s="123"/>
      <c r="U28" s="124">
        <f t="shared" si="19"/>
        <v>0</v>
      </c>
      <c r="V28" s="123"/>
      <c r="W28" s="124">
        <f t="shared" si="19"/>
        <v>0</v>
      </c>
      <c r="X28" s="10">
        <f>4.54*0.25*2</f>
        <v>2.27</v>
      </c>
      <c r="Y28" s="3">
        <v>128.25</v>
      </c>
      <c r="Z28" s="3">
        <v>25</v>
      </c>
      <c r="AA28" s="3">
        <v>5</v>
      </c>
      <c r="AB28" s="3">
        <v>705635.65017045464</v>
      </c>
      <c r="AC28">
        <f t="shared" si="6"/>
        <v>0.90909090909090906</v>
      </c>
    </row>
    <row r="29" spans="1:29" ht="39.6" x14ac:dyDescent="0.25">
      <c r="A29" s="93" t="s">
        <v>85</v>
      </c>
      <c r="B29" s="8" t="s">
        <v>86</v>
      </c>
      <c r="C29" s="7" t="s">
        <v>26</v>
      </c>
      <c r="D29" s="7" t="s">
        <v>87</v>
      </c>
      <c r="E29" s="9" t="s">
        <v>51</v>
      </c>
      <c r="F29" s="204" t="s">
        <v>477</v>
      </c>
      <c r="G29" s="11">
        <v>13.38</v>
      </c>
      <c r="H29" s="11">
        <f t="shared" si="5"/>
        <v>16.725000000000001</v>
      </c>
      <c r="I29" s="11" t="e">
        <f t="shared" si="16"/>
        <v>#VALUE!</v>
      </c>
      <c r="J29" s="86" t="e">
        <f>I29/AB29</f>
        <v>#VALUE!</v>
      </c>
      <c r="K29" s="109"/>
      <c r="L29" s="103"/>
      <c r="M29" s="88">
        <f t="shared" si="17"/>
        <v>0</v>
      </c>
      <c r="N29" s="103">
        <v>1688.75</v>
      </c>
      <c r="O29" s="88">
        <f t="shared" si="17"/>
        <v>28244.34</v>
      </c>
      <c r="P29" s="103"/>
      <c r="Q29" s="88">
        <f t="shared" si="18"/>
        <v>0</v>
      </c>
      <c r="R29" s="103"/>
      <c r="S29" s="88">
        <f t="shared" si="18"/>
        <v>0</v>
      </c>
      <c r="T29" s="103"/>
      <c r="U29" s="88">
        <f t="shared" si="19"/>
        <v>0</v>
      </c>
      <c r="V29" s="103"/>
      <c r="W29" s="88">
        <f t="shared" si="19"/>
        <v>0</v>
      </c>
      <c r="X29" s="10">
        <f>((8.65+4.54*2+13.4+5.79)/0.15*0.78*0.154)+((13.4+5.79+4.54*2)/0.15*0.7*0.154)+((4.54)/0.15*0.78*0.154)+(43.6/0.15*1*0.154)</f>
        <v>98.280541333333332</v>
      </c>
      <c r="Y29" s="3">
        <v>1688.75</v>
      </c>
      <c r="Z29" s="3">
        <v>25</v>
      </c>
      <c r="AA29" s="3">
        <v>5</v>
      </c>
      <c r="AB29" s="3">
        <v>705635.65017045464</v>
      </c>
      <c r="AC29">
        <f t="shared" si="6"/>
        <v>0.90909090909090906</v>
      </c>
    </row>
    <row r="30" spans="1:29" ht="39.6" x14ac:dyDescent="0.25">
      <c r="A30" s="93" t="s">
        <v>88</v>
      </c>
      <c r="B30" s="8" t="s">
        <v>89</v>
      </c>
      <c r="C30" s="7" t="s">
        <v>26</v>
      </c>
      <c r="D30" s="7" t="s">
        <v>90</v>
      </c>
      <c r="E30" s="9" t="s">
        <v>51</v>
      </c>
      <c r="F30" s="204" t="s">
        <v>478</v>
      </c>
      <c r="G30" s="11">
        <v>10.029999999999999</v>
      </c>
      <c r="H30" s="11">
        <f t="shared" si="5"/>
        <v>12.5375</v>
      </c>
      <c r="I30" s="11" t="e">
        <f t="shared" si="16"/>
        <v>#VALUE!</v>
      </c>
      <c r="J30" s="86" t="e">
        <f>I30/AB30</f>
        <v>#VALUE!</v>
      </c>
      <c r="K30" s="109"/>
      <c r="L30" s="103"/>
      <c r="M30" s="88">
        <f t="shared" si="17"/>
        <v>0</v>
      </c>
      <c r="N30" s="103">
        <v>2432.25</v>
      </c>
      <c r="O30" s="88">
        <f t="shared" si="17"/>
        <v>30494.33</v>
      </c>
      <c r="P30" s="103"/>
      <c r="Q30" s="88">
        <f t="shared" si="18"/>
        <v>0</v>
      </c>
      <c r="R30" s="103"/>
      <c r="S30" s="88">
        <f t="shared" si="18"/>
        <v>0</v>
      </c>
      <c r="T30" s="103"/>
      <c r="U30" s="88">
        <f t="shared" si="19"/>
        <v>0</v>
      </c>
      <c r="V30" s="103"/>
      <c r="W30" s="88">
        <f t="shared" si="19"/>
        <v>0</v>
      </c>
      <c r="X30" s="10">
        <f>43.6*4.05*0.617</f>
        <v>108.94985999999999</v>
      </c>
      <c r="Y30" s="3">
        <v>2432.25</v>
      </c>
      <c r="Z30" s="3">
        <v>25</v>
      </c>
      <c r="AA30" s="3">
        <v>5</v>
      </c>
      <c r="AB30" s="3">
        <v>705635.65017045464</v>
      </c>
      <c r="AC30">
        <f t="shared" si="6"/>
        <v>0.90909090909090906</v>
      </c>
    </row>
    <row r="31" spans="1:29" ht="26.4" x14ac:dyDescent="0.25">
      <c r="A31" s="93" t="s">
        <v>91</v>
      </c>
      <c r="B31" s="8" t="s">
        <v>92</v>
      </c>
      <c r="C31" s="7" t="s">
        <v>19</v>
      </c>
      <c r="D31" s="7" t="s">
        <v>93</v>
      </c>
      <c r="E31" s="9" t="s">
        <v>61</v>
      </c>
      <c r="F31" s="204" t="s">
        <v>479</v>
      </c>
      <c r="G31" s="11">
        <v>985.52</v>
      </c>
      <c r="H31" s="11">
        <f t="shared" si="5"/>
        <v>1231.9000000000001</v>
      </c>
      <c r="I31" s="11" t="e">
        <f t="shared" si="16"/>
        <v>#VALUE!</v>
      </c>
      <c r="J31" s="86" t="e">
        <f>I31/AB31</f>
        <v>#VALUE!</v>
      </c>
      <c r="K31" s="109"/>
      <c r="L31" s="103"/>
      <c r="M31" s="88">
        <f t="shared" si="17"/>
        <v>0</v>
      </c>
      <c r="N31" s="103">
        <v>35.5</v>
      </c>
      <c r="O31" s="88">
        <f t="shared" si="17"/>
        <v>43732.45</v>
      </c>
      <c r="P31" s="103"/>
      <c r="Q31" s="88">
        <f t="shared" si="18"/>
        <v>0</v>
      </c>
      <c r="R31" s="103"/>
      <c r="S31" s="88">
        <f t="shared" si="18"/>
        <v>0</v>
      </c>
      <c r="T31" s="103"/>
      <c r="U31" s="88">
        <f t="shared" si="19"/>
        <v>0</v>
      </c>
      <c r="V31" s="103"/>
      <c r="W31" s="88">
        <f t="shared" si="19"/>
        <v>0</v>
      </c>
      <c r="X31" s="204">
        <f>43.6*0.15*0.3</f>
        <v>1.962</v>
      </c>
      <c r="Y31" s="3">
        <v>35.5</v>
      </c>
      <c r="Z31" s="3">
        <v>25</v>
      </c>
      <c r="AA31" s="3">
        <v>5</v>
      </c>
      <c r="AB31" s="3">
        <v>705635.65017045464</v>
      </c>
      <c r="AC31">
        <f t="shared" si="6"/>
        <v>0.90909090909090906</v>
      </c>
    </row>
    <row r="32" spans="1:29" ht="39.6" x14ac:dyDescent="0.25">
      <c r="A32" s="93" t="s">
        <v>94</v>
      </c>
      <c r="B32" s="8" t="s">
        <v>95</v>
      </c>
      <c r="C32" s="7" t="s">
        <v>19</v>
      </c>
      <c r="D32" s="7" t="s">
        <v>96</v>
      </c>
      <c r="E32" s="9" t="s">
        <v>61</v>
      </c>
      <c r="F32" s="204" t="s">
        <v>480</v>
      </c>
      <c r="G32" s="11">
        <v>1003.15</v>
      </c>
      <c r="H32" s="11">
        <f t="shared" si="5"/>
        <v>1253.9375</v>
      </c>
      <c r="I32" s="11" t="e">
        <f t="shared" si="16"/>
        <v>#VALUE!</v>
      </c>
      <c r="J32" s="86" t="e">
        <f>I32/AB32</f>
        <v>#VALUE!</v>
      </c>
      <c r="K32" s="109"/>
      <c r="L32" s="103"/>
      <c r="M32" s="88">
        <f t="shared" si="17"/>
        <v>0</v>
      </c>
      <c r="N32" s="103">
        <v>35</v>
      </c>
      <c r="O32" s="88">
        <f t="shared" si="17"/>
        <v>43887.81</v>
      </c>
      <c r="P32" s="103"/>
      <c r="Q32" s="88">
        <f t="shared" si="18"/>
        <v>0</v>
      </c>
      <c r="R32" s="103"/>
      <c r="S32" s="88">
        <f t="shared" si="18"/>
        <v>0</v>
      </c>
      <c r="T32" s="103"/>
      <c r="U32" s="88">
        <f t="shared" si="19"/>
        <v>0</v>
      </c>
      <c r="V32" s="103"/>
      <c r="W32" s="88">
        <f t="shared" si="19"/>
        <v>0</v>
      </c>
      <c r="X32" s="10">
        <f>(4.54+8.65+4.54*2+13.4+5.79)*0.12*0.25+(13.4+5.79+4.54*2)*0.12*0.2</f>
        <v>1.9222800000000002</v>
      </c>
      <c r="Y32" s="3">
        <v>35</v>
      </c>
      <c r="Z32" s="3">
        <v>25</v>
      </c>
      <c r="AA32" s="3">
        <v>5</v>
      </c>
      <c r="AB32" s="3">
        <v>705635.65017045464</v>
      </c>
      <c r="AC32">
        <f t="shared" si="6"/>
        <v>0.90909090909090906</v>
      </c>
    </row>
    <row r="33" spans="1:29" x14ac:dyDescent="0.25">
      <c r="A33" s="92" t="s">
        <v>97</v>
      </c>
      <c r="B33" s="4"/>
      <c r="C33" s="4"/>
      <c r="D33" s="4" t="s">
        <v>98</v>
      </c>
      <c r="E33" s="4"/>
      <c r="F33" s="10">
        <f t="shared" si="4"/>
        <v>0</v>
      </c>
      <c r="G33" s="4"/>
      <c r="H33" s="11">
        <f t="shared" si="5"/>
        <v>0</v>
      </c>
      <c r="I33" s="6" t="e">
        <f>SUM(I34:I36)</f>
        <v>#VALUE!</v>
      </c>
      <c r="J33" s="85" t="e">
        <f>I33/AB33</f>
        <v>#VALUE!</v>
      </c>
      <c r="K33" s="108"/>
      <c r="L33" s="116"/>
      <c r="M33" s="117"/>
      <c r="N33" s="116"/>
      <c r="O33" s="117"/>
      <c r="P33" s="116"/>
      <c r="Q33" s="117"/>
      <c r="R33" s="116"/>
      <c r="S33" s="117"/>
      <c r="T33" s="116"/>
      <c r="U33" s="117"/>
      <c r="V33" s="116"/>
      <c r="W33" s="117"/>
      <c r="X33" s="10"/>
      <c r="Z33" s="3">
        <v>25</v>
      </c>
      <c r="AA33" s="3">
        <v>5</v>
      </c>
      <c r="AB33" s="3">
        <v>705635.65017045464</v>
      </c>
      <c r="AC33">
        <f t="shared" si="6"/>
        <v>0.90909090909090906</v>
      </c>
    </row>
    <row r="34" spans="1:29" ht="39.6" x14ac:dyDescent="0.25">
      <c r="A34" s="93" t="s">
        <v>99</v>
      </c>
      <c r="B34" s="8" t="s">
        <v>100</v>
      </c>
      <c r="C34" s="7" t="s">
        <v>26</v>
      </c>
      <c r="D34" s="7" t="s">
        <v>101</v>
      </c>
      <c r="E34" s="9" t="s">
        <v>28</v>
      </c>
      <c r="F34" s="204" t="s">
        <v>481</v>
      </c>
      <c r="G34" s="11">
        <v>105.67</v>
      </c>
      <c r="H34" s="11">
        <f t="shared" si="5"/>
        <v>132.08750000000001</v>
      </c>
      <c r="I34" s="11" t="e">
        <f t="shared" ref="I34:I36" si="20">F34*H34</f>
        <v>#VALUE!</v>
      </c>
      <c r="J34" s="86" t="e">
        <f>I34/AB34</f>
        <v>#VALUE!</v>
      </c>
      <c r="K34" s="109"/>
      <c r="L34" s="103"/>
      <c r="M34" s="88">
        <f t="shared" ref="M34:O36" si="21">TRUNC(L34*$H34,2)</f>
        <v>0</v>
      </c>
      <c r="N34" s="103">
        <v>3060.25</v>
      </c>
      <c r="O34" s="88">
        <f t="shared" si="21"/>
        <v>404220.77</v>
      </c>
      <c r="P34" s="103"/>
      <c r="Q34" s="88">
        <f t="shared" ref="Q34:S36" si="22">TRUNC(P34*$H34,2)</f>
        <v>0</v>
      </c>
      <c r="R34" s="103"/>
      <c r="S34" s="88">
        <f t="shared" si="22"/>
        <v>0</v>
      </c>
      <c r="T34" s="103"/>
      <c r="U34" s="88">
        <f t="shared" ref="U34:W36" si="23">TRUNC(T34*$H34,2)</f>
        <v>0</v>
      </c>
      <c r="V34" s="103"/>
      <c r="W34" s="88">
        <f t="shared" si="23"/>
        <v>0</v>
      </c>
      <c r="X34" s="10">
        <f>(8.65+3.84)*3.3+(4.54+5)+(4.54*2.47)+(13.4+5.79)*2.2+4.54*1.8</f>
        <v>112.3608</v>
      </c>
      <c r="Y34" s="3">
        <v>3060.25</v>
      </c>
      <c r="Z34" s="3">
        <v>25</v>
      </c>
      <c r="AA34" s="3">
        <v>5</v>
      </c>
      <c r="AB34" s="3">
        <v>705635.65017045464</v>
      </c>
      <c r="AC34">
        <f t="shared" si="6"/>
        <v>0.90909090909090906</v>
      </c>
    </row>
    <row r="35" spans="1:29" ht="26.4" x14ac:dyDescent="0.25">
      <c r="A35" s="93" t="s">
        <v>102</v>
      </c>
      <c r="B35" s="8" t="s">
        <v>103</v>
      </c>
      <c r="C35" s="7" t="s">
        <v>26</v>
      </c>
      <c r="D35" s="7" t="s">
        <v>104</v>
      </c>
      <c r="E35" s="9" t="s">
        <v>29</v>
      </c>
      <c r="F35" s="204" t="s">
        <v>482</v>
      </c>
      <c r="G35" s="11">
        <v>56.1</v>
      </c>
      <c r="H35" s="11">
        <f t="shared" si="5"/>
        <v>70.125</v>
      </c>
      <c r="I35" s="11" t="e">
        <f t="shared" si="20"/>
        <v>#VALUE!</v>
      </c>
      <c r="J35" s="86" t="e">
        <f>I35/AB35</f>
        <v>#VALUE!</v>
      </c>
      <c r="K35" s="109"/>
      <c r="L35" s="103"/>
      <c r="M35" s="88">
        <f t="shared" si="21"/>
        <v>0</v>
      </c>
      <c r="N35" s="103">
        <v>357.5</v>
      </c>
      <c r="O35" s="88">
        <f t="shared" si="21"/>
        <v>25069.68</v>
      </c>
      <c r="P35" s="103"/>
      <c r="Q35" s="88">
        <f t="shared" si="22"/>
        <v>0</v>
      </c>
      <c r="R35" s="103"/>
      <c r="S35" s="88">
        <f t="shared" si="22"/>
        <v>0</v>
      </c>
      <c r="T35" s="103"/>
      <c r="U35" s="88">
        <f t="shared" si="23"/>
        <v>0</v>
      </c>
      <c r="V35" s="103"/>
      <c r="W35" s="88">
        <f t="shared" si="23"/>
        <v>0</v>
      </c>
      <c r="X35" s="10">
        <f>2*1.2+1.5*2+1.5</f>
        <v>6.9</v>
      </c>
      <c r="Y35" s="3">
        <v>357.5</v>
      </c>
      <c r="Z35" s="3">
        <v>25</v>
      </c>
      <c r="AA35" s="3">
        <v>5</v>
      </c>
      <c r="AB35" s="3">
        <v>705635.65017045464</v>
      </c>
      <c r="AC35">
        <f t="shared" si="6"/>
        <v>0.90909090909090906</v>
      </c>
    </row>
    <row r="36" spans="1:29" ht="26.4" x14ac:dyDescent="0.25">
      <c r="A36" s="93" t="s">
        <v>105</v>
      </c>
      <c r="B36" s="8" t="s">
        <v>106</v>
      </c>
      <c r="C36" s="7" t="s">
        <v>26</v>
      </c>
      <c r="D36" s="7" t="s">
        <v>107</v>
      </c>
      <c r="E36" s="9" t="s">
        <v>29</v>
      </c>
      <c r="F36" s="204" t="s">
        <v>483</v>
      </c>
      <c r="G36" s="11">
        <v>43.56</v>
      </c>
      <c r="H36" s="11">
        <f t="shared" si="5"/>
        <v>54.45</v>
      </c>
      <c r="I36" s="11" t="e">
        <f t="shared" si="20"/>
        <v>#VALUE!</v>
      </c>
      <c r="J36" s="86" t="e">
        <f>I36/AB36</f>
        <v>#VALUE!</v>
      </c>
      <c r="K36" s="109"/>
      <c r="L36" s="103"/>
      <c r="M36" s="88">
        <f t="shared" si="21"/>
        <v>0</v>
      </c>
      <c r="N36" s="103">
        <v>207.5</v>
      </c>
      <c r="O36" s="88">
        <f t="shared" si="21"/>
        <v>11298.37</v>
      </c>
      <c r="P36" s="103"/>
      <c r="Q36" s="88">
        <f t="shared" si="22"/>
        <v>0</v>
      </c>
      <c r="R36" s="103"/>
      <c r="S36" s="88">
        <f t="shared" si="22"/>
        <v>0</v>
      </c>
      <c r="T36" s="103"/>
      <c r="U36" s="88">
        <f t="shared" si="23"/>
        <v>0</v>
      </c>
      <c r="V36" s="103"/>
      <c r="W36" s="88">
        <f t="shared" si="23"/>
        <v>0</v>
      </c>
      <c r="X36" s="10">
        <f>1.5+2</f>
        <v>3.5</v>
      </c>
      <c r="Y36" s="3">
        <v>207.5</v>
      </c>
      <c r="Z36" s="3">
        <v>25</v>
      </c>
      <c r="AA36" s="3">
        <v>5</v>
      </c>
      <c r="AB36" s="3">
        <v>705635.65017045464</v>
      </c>
      <c r="AC36">
        <f t="shared" si="6"/>
        <v>0.90909090909090906</v>
      </c>
    </row>
    <row r="37" spans="1:29" x14ac:dyDescent="0.25">
      <c r="A37" s="92" t="s">
        <v>108</v>
      </c>
      <c r="B37" s="4"/>
      <c r="C37" s="4"/>
      <c r="D37" s="4" t="s">
        <v>109</v>
      </c>
      <c r="E37" s="4"/>
      <c r="F37" s="10">
        <f t="shared" si="4"/>
        <v>0</v>
      </c>
      <c r="G37" s="4"/>
      <c r="H37" s="11">
        <f t="shared" si="5"/>
        <v>0</v>
      </c>
      <c r="I37" s="6" t="e">
        <f>SUM(I38:I41)</f>
        <v>#VALUE!</v>
      </c>
      <c r="J37" s="85" t="e">
        <f>I37/AB37</f>
        <v>#VALUE!</v>
      </c>
      <c r="K37" s="108"/>
      <c r="L37" s="116"/>
      <c r="M37" s="117"/>
      <c r="N37" s="116"/>
      <c r="O37" s="117"/>
      <c r="P37" s="116"/>
      <c r="Q37" s="117"/>
      <c r="R37" s="116"/>
      <c r="S37" s="117"/>
      <c r="T37" s="116"/>
      <c r="U37" s="117"/>
      <c r="V37" s="116"/>
      <c r="W37" s="117"/>
      <c r="X37" s="10"/>
      <c r="Z37" s="3">
        <v>25</v>
      </c>
      <c r="AA37" s="3">
        <v>5</v>
      </c>
      <c r="AB37" s="3">
        <v>705635.65017045464</v>
      </c>
      <c r="AC37">
        <f t="shared" si="6"/>
        <v>0.90909090909090906</v>
      </c>
    </row>
    <row r="38" spans="1:29" ht="26.4" x14ac:dyDescent="0.25">
      <c r="A38" s="93" t="s">
        <v>110</v>
      </c>
      <c r="B38" s="8" t="s">
        <v>111</v>
      </c>
      <c r="C38" s="7" t="s">
        <v>19</v>
      </c>
      <c r="D38" s="7" t="s">
        <v>112</v>
      </c>
      <c r="E38" s="9" t="s">
        <v>81</v>
      </c>
      <c r="F38" s="204" t="s">
        <v>484</v>
      </c>
      <c r="G38" s="11">
        <v>792.31</v>
      </c>
      <c r="H38" s="11">
        <f t="shared" si="5"/>
        <v>990.38749999999993</v>
      </c>
      <c r="I38" s="11" t="e">
        <f t="shared" ref="I38:I41" si="24">F38*H38</f>
        <v>#VALUE!</v>
      </c>
      <c r="J38" s="86" t="e">
        <f>I38/AB38</f>
        <v>#VALUE!</v>
      </c>
      <c r="K38" s="109"/>
      <c r="L38" s="103"/>
      <c r="M38" s="88">
        <f t="shared" ref="M38:O41" si="25">TRUNC(L38*$H38,2)</f>
        <v>0</v>
      </c>
      <c r="N38" s="103"/>
      <c r="O38" s="88">
        <f t="shared" si="25"/>
        <v>0</v>
      </c>
      <c r="P38" s="103"/>
      <c r="Q38" s="88">
        <f t="shared" ref="Q38:S41" si="26">TRUNC(P38*$H38,2)</f>
        <v>0</v>
      </c>
      <c r="R38" s="103"/>
      <c r="S38" s="88">
        <f t="shared" si="26"/>
        <v>0</v>
      </c>
      <c r="T38" s="103"/>
      <c r="U38" s="88">
        <f t="shared" ref="U38:W41" si="27">TRUNC(T38*$H38,2)</f>
        <v>0</v>
      </c>
      <c r="V38" s="103"/>
      <c r="W38" s="88">
        <f t="shared" si="27"/>
        <v>0</v>
      </c>
      <c r="X38" s="10">
        <f>1.5*1+1*0.8</f>
        <v>2.2999999999999998</v>
      </c>
      <c r="Y38" s="3">
        <v>148.5</v>
      </c>
      <c r="Z38" s="3">
        <v>25</v>
      </c>
      <c r="AA38" s="3">
        <v>5</v>
      </c>
      <c r="AB38" s="3">
        <v>705635.65017045464</v>
      </c>
      <c r="AC38">
        <f t="shared" si="6"/>
        <v>0.90909090909090906</v>
      </c>
    </row>
    <row r="39" spans="1:29" ht="26.4" x14ac:dyDescent="0.25">
      <c r="A39" s="93" t="s">
        <v>113</v>
      </c>
      <c r="B39" s="8" t="s">
        <v>114</v>
      </c>
      <c r="C39" s="7" t="s">
        <v>26</v>
      </c>
      <c r="D39" s="7" t="s">
        <v>115</v>
      </c>
      <c r="E39" s="9" t="s">
        <v>28</v>
      </c>
      <c r="F39" s="204" t="s">
        <v>485</v>
      </c>
      <c r="G39" s="11">
        <v>686.88</v>
      </c>
      <c r="H39" s="11">
        <f t="shared" si="5"/>
        <v>858.6</v>
      </c>
      <c r="I39" s="11" t="e">
        <f t="shared" si="24"/>
        <v>#VALUE!</v>
      </c>
      <c r="J39" s="86" t="e">
        <f>I39/AB39</f>
        <v>#VALUE!</v>
      </c>
      <c r="K39" s="109"/>
      <c r="L39" s="103"/>
      <c r="M39" s="88">
        <f t="shared" si="25"/>
        <v>0</v>
      </c>
      <c r="N39" s="103"/>
      <c r="O39" s="88">
        <f t="shared" si="25"/>
        <v>0</v>
      </c>
      <c r="P39" s="103"/>
      <c r="Q39" s="88">
        <f t="shared" si="26"/>
        <v>0</v>
      </c>
      <c r="R39" s="103"/>
      <c r="S39" s="88">
        <f t="shared" si="26"/>
        <v>0</v>
      </c>
      <c r="T39" s="103"/>
      <c r="U39" s="88">
        <f t="shared" si="27"/>
        <v>0</v>
      </c>
      <c r="V39" s="103"/>
      <c r="W39" s="88">
        <f t="shared" si="27"/>
        <v>0</v>
      </c>
      <c r="X39" s="10">
        <f>0.8*2.1*2+1*2.1</f>
        <v>5.4600000000000009</v>
      </c>
      <c r="Y39" s="3">
        <v>210</v>
      </c>
      <c r="Z39" s="3">
        <v>25</v>
      </c>
      <c r="AA39" s="3">
        <v>5</v>
      </c>
      <c r="AB39" s="3">
        <v>705635.65017045464</v>
      </c>
      <c r="AC39">
        <f t="shared" si="6"/>
        <v>0.90909090909090906</v>
      </c>
    </row>
    <row r="40" spans="1:29" ht="52.8" x14ac:dyDescent="0.25">
      <c r="A40" s="94" t="s">
        <v>117</v>
      </c>
      <c r="B40" s="198">
        <v>3080</v>
      </c>
      <c r="C40" s="12" t="s">
        <v>26</v>
      </c>
      <c r="D40" s="12" t="s">
        <v>118</v>
      </c>
      <c r="E40" s="13" t="s">
        <v>116</v>
      </c>
      <c r="F40" s="10">
        <v>3</v>
      </c>
      <c r="G40" s="14">
        <v>74.48</v>
      </c>
      <c r="H40" s="11">
        <f t="shared" si="5"/>
        <v>93.100000000000009</v>
      </c>
      <c r="I40" s="11">
        <f t="shared" si="24"/>
        <v>279.3</v>
      </c>
      <c r="J40" s="86">
        <f>I40/AB40</f>
        <v>3.9581333501578585E-4</v>
      </c>
      <c r="K40" s="110"/>
      <c r="L40" s="103"/>
      <c r="M40" s="88">
        <f t="shared" si="25"/>
        <v>0</v>
      </c>
      <c r="N40" s="103"/>
      <c r="O40" s="88">
        <f t="shared" si="25"/>
        <v>0</v>
      </c>
      <c r="P40" s="103"/>
      <c r="Q40" s="88">
        <f t="shared" si="26"/>
        <v>0</v>
      </c>
      <c r="R40" s="103"/>
      <c r="S40" s="88">
        <f t="shared" si="26"/>
        <v>0</v>
      </c>
      <c r="T40" s="103"/>
      <c r="U40" s="88">
        <f t="shared" si="27"/>
        <v>0</v>
      </c>
      <c r="V40" s="103"/>
      <c r="W40" s="88">
        <f t="shared" si="27"/>
        <v>0</v>
      </c>
      <c r="X40" s="10">
        <v>3</v>
      </c>
      <c r="Y40" s="3">
        <v>100</v>
      </c>
      <c r="Z40" s="3">
        <v>25</v>
      </c>
      <c r="AA40" s="3">
        <v>5</v>
      </c>
      <c r="AB40" s="3">
        <v>705635.65017045464</v>
      </c>
      <c r="AC40">
        <f t="shared" si="6"/>
        <v>0.90909090909090906</v>
      </c>
    </row>
    <row r="41" spans="1:29" ht="26.4" x14ac:dyDescent="0.25">
      <c r="A41" s="93" t="s">
        <v>119</v>
      </c>
      <c r="B41" s="8" t="s">
        <v>120</v>
      </c>
      <c r="C41" s="7" t="s">
        <v>26</v>
      </c>
      <c r="D41" s="7" t="s">
        <v>121</v>
      </c>
      <c r="E41" s="9" t="s">
        <v>29</v>
      </c>
      <c r="F41" s="204" t="s">
        <v>486</v>
      </c>
      <c r="G41" s="11">
        <v>139.15</v>
      </c>
      <c r="H41" s="11">
        <f t="shared" si="5"/>
        <v>173.9375</v>
      </c>
      <c r="I41" s="11" t="e">
        <f t="shared" si="24"/>
        <v>#VALUE!</v>
      </c>
      <c r="J41" s="86" t="e">
        <f>I41/AB41</f>
        <v>#VALUE!</v>
      </c>
      <c r="K41" s="109"/>
      <c r="L41" s="103"/>
      <c r="M41" s="88">
        <f t="shared" si="25"/>
        <v>0</v>
      </c>
      <c r="N41" s="103"/>
      <c r="O41" s="88">
        <f t="shared" si="25"/>
        <v>0</v>
      </c>
      <c r="P41" s="103"/>
      <c r="Q41" s="88">
        <f t="shared" si="26"/>
        <v>0</v>
      </c>
      <c r="R41" s="103"/>
      <c r="S41" s="88">
        <f t="shared" si="26"/>
        <v>0</v>
      </c>
      <c r="T41" s="103"/>
      <c r="U41" s="88">
        <f t="shared" si="27"/>
        <v>0</v>
      </c>
      <c r="V41" s="103"/>
      <c r="W41" s="88">
        <f t="shared" si="27"/>
        <v>0</v>
      </c>
      <c r="X41" s="10">
        <f>0.8*2+1+1.5</f>
        <v>4.0999999999999996</v>
      </c>
      <c r="Y41" s="3">
        <v>157.5</v>
      </c>
      <c r="Z41" s="3">
        <v>25</v>
      </c>
      <c r="AA41" s="3">
        <v>5</v>
      </c>
      <c r="AB41" s="3">
        <v>705635.65017045464</v>
      </c>
      <c r="AC41">
        <f t="shared" si="6"/>
        <v>0.90909090909090906</v>
      </c>
    </row>
    <row r="42" spans="1:29" x14ac:dyDescent="0.25">
      <c r="A42" s="92" t="s">
        <v>122</v>
      </c>
      <c r="B42" s="4"/>
      <c r="C42" s="4"/>
      <c r="D42" s="4" t="s">
        <v>123</v>
      </c>
      <c r="E42" s="4"/>
      <c r="F42" s="10">
        <f t="shared" si="4"/>
        <v>0</v>
      </c>
      <c r="G42" s="4"/>
      <c r="H42" s="11">
        <f t="shared" si="5"/>
        <v>0</v>
      </c>
      <c r="I42" s="6" t="e">
        <f>SUM(I43:I47)</f>
        <v>#VALUE!</v>
      </c>
      <c r="J42" s="85" t="e">
        <f>I42/AB42</f>
        <v>#VALUE!</v>
      </c>
      <c r="K42" s="108"/>
      <c r="L42" s="116"/>
      <c r="M42" s="117"/>
      <c r="N42" s="116"/>
      <c r="O42" s="117"/>
      <c r="P42" s="116"/>
      <c r="Q42" s="117"/>
      <c r="R42" s="116"/>
      <c r="S42" s="117"/>
      <c r="T42" s="116"/>
      <c r="U42" s="117"/>
      <c r="V42" s="116"/>
      <c r="W42" s="117"/>
      <c r="X42" s="10"/>
      <c r="Z42" s="3">
        <v>25</v>
      </c>
      <c r="AA42" s="3">
        <v>5</v>
      </c>
      <c r="AB42" s="3">
        <v>705635.65017045464</v>
      </c>
      <c r="AC42">
        <f t="shared" si="6"/>
        <v>0.90909090909090906</v>
      </c>
    </row>
    <row r="43" spans="1:29" ht="39.6" x14ac:dyDescent="0.25">
      <c r="A43" s="93" t="s">
        <v>124</v>
      </c>
      <c r="B43" s="8" t="s">
        <v>125</v>
      </c>
      <c r="C43" s="7" t="s">
        <v>26</v>
      </c>
      <c r="D43" s="7" t="s">
        <v>126</v>
      </c>
      <c r="E43" s="9" t="s">
        <v>28</v>
      </c>
      <c r="F43" s="204" t="s">
        <v>487</v>
      </c>
      <c r="G43" s="11">
        <v>63.65</v>
      </c>
      <c r="H43" s="11">
        <f t="shared" si="5"/>
        <v>79.5625</v>
      </c>
      <c r="I43" s="11" t="e">
        <f t="shared" ref="I43:I47" si="28">F43*H43</f>
        <v>#VALUE!</v>
      </c>
      <c r="J43" s="86" t="e">
        <f>I43/AB43</f>
        <v>#VALUE!</v>
      </c>
      <c r="K43" s="109"/>
      <c r="L43" s="103"/>
      <c r="M43" s="88">
        <f t="shared" ref="M43:O47" si="29">TRUNC(L43*$H43,2)</f>
        <v>0</v>
      </c>
      <c r="N43" s="103"/>
      <c r="O43" s="88">
        <f t="shared" si="29"/>
        <v>0</v>
      </c>
      <c r="P43" s="103">
        <v>1877</v>
      </c>
      <c r="Q43" s="88">
        <f t="shared" ref="Q43:S47" si="30">TRUNC(P43*$H43,2)</f>
        <v>149338.81</v>
      </c>
      <c r="R43" s="103"/>
      <c r="S43" s="88">
        <f t="shared" si="30"/>
        <v>0</v>
      </c>
      <c r="T43" s="103"/>
      <c r="U43" s="88">
        <f t="shared" ref="U43:W47" si="31">TRUNC(T43*$H43,2)</f>
        <v>0</v>
      </c>
      <c r="V43" s="103"/>
      <c r="W43" s="88">
        <f t="shared" si="31"/>
        <v>0</v>
      </c>
      <c r="X43" s="10">
        <f>22.64</f>
        <v>22.64</v>
      </c>
      <c r="Y43" s="3">
        <f>4.57*4.95</f>
        <v>22.621500000000001</v>
      </c>
      <c r="Z43" s="3">
        <v>25</v>
      </c>
      <c r="AA43" s="3">
        <v>5</v>
      </c>
      <c r="AB43" s="3">
        <v>705635.65017045464</v>
      </c>
      <c r="AC43">
        <f t="shared" si="6"/>
        <v>0.90909090909090906</v>
      </c>
    </row>
    <row r="44" spans="1:29" ht="52.8" x14ac:dyDescent="0.25">
      <c r="A44" s="93" t="s">
        <v>124</v>
      </c>
      <c r="B44" s="8">
        <v>92580</v>
      </c>
      <c r="C44" s="7" t="s">
        <v>26</v>
      </c>
      <c r="D44" s="7" t="s">
        <v>458</v>
      </c>
      <c r="E44" s="9" t="s">
        <v>28</v>
      </c>
      <c r="F44" s="204" t="s">
        <v>488</v>
      </c>
      <c r="G44" s="11">
        <v>48.28</v>
      </c>
      <c r="H44" s="11">
        <f t="shared" si="5"/>
        <v>60.35</v>
      </c>
      <c r="I44" s="11" t="e">
        <f t="shared" si="28"/>
        <v>#VALUE!</v>
      </c>
      <c r="J44" s="86" t="e">
        <f>I44/AB44</f>
        <v>#VALUE!</v>
      </c>
      <c r="K44" s="109"/>
      <c r="L44" s="103"/>
      <c r="M44" s="88">
        <f t="shared" si="29"/>
        <v>0</v>
      </c>
      <c r="N44" s="103"/>
      <c r="O44" s="88">
        <f t="shared" si="29"/>
        <v>0</v>
      </c>
      <c r="P44" s="103">
        <v>1877</v>
      </c>
      <c r="Q44" s="88">
        <f t="shared" si="30"/>
        <v>113276.95</v>
      </c>
      <c r="R44" s="103"/>
      <c r="S44" s="88">
        <f t="shared" si="30"/>
        <v>0</v>
      </c>
      <c r="T44" s="103"/>
      <c r="U44" s="88">
        <f t="shared" si="31"/>
        <v>0</v>
      </c>
      <c r="V44" s="103"/>
      <c r="W44" s="88">
        <f t="shared" si="31"/>
        <v>0</v>
      </c>
      <c r="X44" s="10">
        <f>38.83</f>
        <v>38.83</v>
      </c>
      <c r="Y44" s="204">
        <f>8.65*4.49</f>
        <v>38.838500000000003</v>
      </c>
      <c r="Z44" s="3">
        <v>25</v>
      </c>
      <c r="AA44" s="3">
        <v>5</v>
      </c>
      <c r="AB44" s="3">
        <v>705635.65017045464</v>
      </c>
      <c r="AC44">
        <f t="shared" si="6"/>
        <v>0.90909090909090906</v>
      </c>
    </row>
    <row r="45" spans="1:29" ht="26.4" x14ac:dyDescent="0.25">
      <c r="A45" s="93" t="s">
        <v>127</v>
      </c>
      <c r="B45" s="8" t="s">
        <v>128</v>
      </c>
      <c r="C45" s="7" t="s">
        <v>26</v>
      </c>
      <c r="D45" s="7" t="s">
        <v>129</v>
      </c>
      <c r="E45" s="9" t="s">
        <v>28</v>
      </c>
      <c r="F45" s="204" t="s">
        <v>487</v>
      </c>
      <c r="G45" s="11">
        <v>61.73</v>
      </c>
      <c r="H45" s="11">
        <f t="shared" si="5"/>
        <v>77.162499999999994</v>
      </c>
      <c r="I45" s="11" t="e">
        <f t="shared" si="28"/>
        <v>#VALUE!</v>
      </c>
      <c r="J45" s="86" t="e">
        <f>I45/AB45</f>
        <v>#VALUE!</v>
      </c>
      <c r="K45" s="109"/>
      <c r="L45" s="103"/>
      <c r="M45" s="88">
        <f t="shared" si="29"/>
        <v>0</v>
      </c>
      <c r="N45" s="103"/>
      <c r="O45" s="88">
        <f t="shared" si="29"/>
        <v>0</v>
      </c>
      <c r="P45" s="103">
        <v>1877</v>
      </c>
      <c r="Q45" s="88">
        <f t="shared" si="30"/>
        <v>144834.01</v>
      </c>
      <c r="R45" s="103"/>
      <c r="S45" s="88">
        <f t="shared" si="30"/>
        <v>0</v>
      </c>
      <c r="T45" s="103"/>
      <c r="U45" s="88">
        <f t="shared" si="31"/>
        <v>0</v>
      </c>
      <c r="V45" s="103"/>
      <c r="W45" s="88">
        <f t="shared" si="31"/>
        <v>0</v>
      </c>
      <c r="X45" s="10">
        <f>22.64</f>
        <v>22.64</v>
      </c>
      <c r="Y45" s="3">
        <v>1877</v>
      </c>
      <c r="Z45" s="3">
        <v>25</v>
      </c>
      <c r="AA45" s="3">
        <v>5</v>
      </c>
      <c r="AB45" s="3">
        <v>705635.65017045464</v>
      </c>
      <c r="AC45">
        <f t="shared" si="6"/>
        <v>0.90909090909090906</v>
      </c>
    </row>
    <row r="46" spans="1:29" ht="26.4" x14ac:dyDescent="0.25">
      <c r="A46" s="93" t="s">
        <v>127</v>
      </c>
      <c r="B46" s="8">
        <v>94218</v>
      </c>
      <c r="C46" s="7" t="s">
        <v>26</v>
      </c>
      <c r="D46" s="7" t="s">
        <v>459</v>
      </c>
      <c r="E46" s="9" t="s">
        <v>28</v>
      </c>
      <c r="F46" s="204" t="s">
        <v>488</v>
      </c>
      <c r="G46" s="11">
        <v>158.99</v>
      </c>
      <c r="H46" s="11">
        <f t="shared" si="5"/>
        <v>198.73750000000001</v>
      </c>
      <c r="I46" s="11" t="e">
        <f t="shared" si="28"/>
        <v>#VALUE!</v>
      </c>
      <c r="J46" s="86" t="e">
        <f>I46/AB46</f>
        <v>#VALUE!</v>
      </c>
      <c r="K46" s="109"/>
      <c r="L46" s="103"/>
      <c r="M46" s="88">
        <f t="shared" si="29"/>
        <v>0</v>
      </c>
      <c r="N46" s="103"/>
      <c r="O46" s="88">
        <f t="shared" si="29"/>
        <v>0</v>
      </c>
      <c r="P46" s="103">
        <v>1877</v>
      </c>
      <c r="Q46" s="88">
        <f t="shared" si="30"/>
        <v>373030.28</v>
      </c>
      <c r="R46" s="103"/>
      <c r="S46" s="88">
        <f t="shared" si="30"/>
        <v>0</v>
      </c>
      <c r="T46" s="103"/>
      <c r="U46" s="88">
        <f t="shared" si="31"/>
        <v>0</v>
      </c>
      <c r="V46" s="103"/>
      <c r="W46" s="88">
        <f t="shared" si="31"/>
        <v>0</v>
      </c>
      <c r="X46" s="10">
        <v>38.83</v>
      </c>
      <c r="Y46" s="3">
        <v>1877</v>
      </c>
      <c r="Z46" s="3">
        <v>25</v>
      </c>
      <c r="AA46" s="3">
        <v>5</v>
      </c>
      <c r="AB46" s="3">
        <v>705635.65017045464</v>
      </c>
      <c r="AC46">
        <f t="shared" si="6"/>
        <v>0.90909090909090906</v>
      </c>
    </row>
    <row r="47" spans="1:29" ht="39.6" x14ac:dyDescent="0.25">
      <c r="A47" s="93" t="s">
        <v>130</v>
      </c>
      <c r="B47" s="8" t="s">
        <v>131</v>
      </c>
      <c r="C47" s="7" t="s">
        <v>26</v>
      </c>
      <c r="D47" s="7" t="s">
        <v>132</v>
      </c>
      <c r="E47" s="9" t="s">
        <v>28</v>
      </c>
      <c r="F47" s="204" t="s">
        <v>489</v>
      </c>
      <c r="G47" s="11">
        <v>10.029999999999999</v>
      </c>
      <c r="H47" s="11">
        <f t="shared" si="5"/>
        <v>12.5375</v>
      </c>
      <c r="I47" s="11" t="e">
        <f t="shared" si="28"/>
        <v>#VALUE!</v>
      </c>
      <c r="J47" s="86" t="e">
        <f>I47/AB47</f>
        <v>#VALUE!</v>
      </c>
      <c r="K47" s="109"/>
      <c r="L47" s="103"/>
      <c r="M47" s="88">
        <f t="shared" si="29"/>
        <v>0</v>
      </c>
      <c r="N47" s="103"/>
      <c r="O47" s="88">
        <f t="shared" si="29"/>
        <v>0</v>
      </c>
      <c r="P47" s="103">
        <v>1830</v>
      </c>
      <c r="Q47" s="88">
        <f t="shared" si="30"/>
        <v>22943.62</v>
      </c>
      <c r="R47" s="103"/>
      <c r="S47" s="88">
        <f t="shared" si="30"/>
        <v>0</v>
      </c>
      <c r="T47" s="103"/>
      <c r="U47" s="88">
        <f t="shared" si="31"/>
        <v>0</v>
      </c>
      <c r="V47" s="103"/>
      <c r="W47" s="88">
        <f t="shared" si="31"/>
        <v>0</v>
      </c>
      <c r="X47" s="10">
        <f>X43*2</f>
        <v>45.28</v>
      </c>
      <c r="Y47" s="3">
        <v>1830</v>
      </c>
      <c r="Z47" s="3">
        <v>25</v>
      </c>
      <c r="AA47" s="3">
        <v>5</v>
      </c>
      <c r="AB47" s="3">
        <v>705635.65017045464</v>
      </c>
      <c r="AC47">
        <f t="shared" si="6"/>
        <v>0.90909090909090906</v>
      </c>
    </row>
    <row r="48" spans="1:29" x14ac:dyDescent="0.25">
      <c r="A48" s="92" t="s">
        <v>133</v>
      </c>
      <c r="B48" s="4"/>
      <c r="C48" s="4"/>
      <c r="D48" s="4" t="s">
        <v>134</v>
      </c>
      <c r="E48" s="4"/>
      <c r="F48" s="10">
        <f t="shared" si="4"/>
        <v>0</v>
      </c>
      <c r="G48" s="4"/>
      <c r="H48" s="11">
        <f t="shared" si="5"/>
        <v>0</v>
      </c>
      <c r="I48" s="6" t="e">
        <f>SUM(I49:I52)</f>
        <v>#VALUE!</v>
      </c>
      <c r="J48" s="85" t="e">
        <f>I48/AB48</f>
        <v>#VALUE!</v>
      </c>
      <c r="K48" s="108"/>
      <c r="L48" s="116"/>
      <c r="M48" s="117"/>
      <c r="N48" s="116"/>
      <c r="O48" s="117"/>
      <c r="P48" s="116"/>
      <c r="Q48" s="117"/>
      <c r="R48" s="116"/>
      <c r="S48" s="117"/>
      <c r="T48" s="116"/>
      <c r="U48" s="117"/>
      <c r="V48" s="116"/>
      <c r="W48" s="117"/>
      <c r="X48" s="10"/>
      <c r="Z48" s="3">
        <v>25</v>
      </c>
      <c r="AA48" s="3">
        <v>5</v>
      </c>
      <c r="AB48" s="3">
        <v>705635.65017045464</v>
      </c>
      <c r="AC48">
        <f t="shared" si="6"/>
        <v>0.90909090909090906</v>
      </c>
    </row>
    <row r="49" spans="1:29" ht="39.6" x14ac:dyDescent="0.25">
      <c r="A49" s="93" t="s">
        <v>135</v>
      </c>
      <c r="B49" s="8" t="s">
        <v>136</v>
      </c>
      <c r="C49" s="7" t="s">
        <v>26</v>
      </c>
      <c r="D49" s="7" t="s">
        <v>137</v>
      </c>
      <c r="E49" s="9" t="s">
        <v>28</v>
      </c>
      <c r="F49" s="204" t="s">
        <v>499</v>
      </c>
      <c r="G49" s="11">
        <v>5.01</v>
      </c>
      <c r="H49" s="11">
        <f t="shared" si="5"/>
        <v>6.2624999999999993</v>
      </c>
      <c r="I49" s="11" t="e">
        <f t="shared" ref="I49:I52" si="32">F49*H49</f>
        <v>#VALUE!</v>
      </c>
      <c r="J49" s="86" t="e">
        <f>I49/AB49</f>
        <v>#VALUE!</v>
      </c>
      <c r="K49" s="109"/>
      <c r="L49" s="103"/>
      <c r="M49" s="88">
        <f t="shared" ref="M49:O52" si="33">TRUNC(L49*$H49,2)</f>
        <v>0</v>
      </c>
      <c r="N49" s="103"/>
      <c r="O49" s="88">
        <f t="shared" si="33"/>
        <v>0</v>
      </c>
      <c r="P49" s="103">
        <v>3016.25</v>
      </c>
      <c r="Q49" s="88">
        <f t="shared" ref="Q49:S52" si="34">TRUNC(P49*$H49,2)</f>
        <v>18889.259999999998</v>
      </c>
      <c r="R49" s="103"/>
      <c r="S49" s="88">
        <f t="shared" si="34"/>
        <v>0</v>
      </c>
      <c r="T49" s="103"/>
      <c r="U49" s="88">
        <f t="shared" ref="U49:W52" si="35">TRUNC(T49*$H49,2)</f>
        <v>0</v>
      </c>
      <c r="V49" s="103"/>
      <c r="W49" s="88">
        <f t="shared" si="35"/>
        <v>0</v>
      </c>
      <c r="X49" s="10">
        <f>4.69*2.7+13.4*3.2+4.45*5*2+3.84*3.3*2+8.65*3.3+3.84*3.2</f>
        <v>166.22</v>
      </c>
      <c r="Y49" s="3">
        <v>3016.25</v>
      </c>
      <c r="Z49" s="3">
        <v>25</v>
      </c>
      <c r="AA49" s="3">
        <v>5</v>
      </c>
      <c r="AB49" s="3">
        <v>705635.65017045464</v>
      </c>
      <c r="AC49">
        <f t="shared" si="6"/>
        <v>0.90909090909090906</v>
      </c>
    </row>
    <row r="50" spans="1:29" ht="39.6" x14ac:dyDescent="0.25">
      <c r="A50" s="93" t="s">
        <v>138</v>
      </c>
      <c r="B50" s="8" t="s">
        <v>139</v>
      </c>
      <c r="C50" s="7" t="s">
        <v>26</v>
      </c>
      <c r="D50" s="7" t="s">
        <v>140</v>
      </c>
      <c r="E50" s="9" t="s">
        <v>28</v>
      </c>
      <c r="F50" s="204" t="s">
        <v>498</v>
      </c>
      <c r="G50" s="11">
        <v>28.19</v>
      </c>
      <c r="H50" s="11">
        <f t="shared" si="5"/>
        <v>35.237500000000004</v>
      </c>
      <c r="I50" s="11" t="e">
        <f t="shared" si="32"/>
        <v>#VALUE!</v>
      </c>
      <c r="J50" s="86" t="e">
        <f>I50/AB50</f>
        <v>#VALUE!</v>
      </c>
      <c r="K50" s="109"/>
      <c r="L50" s="103"/>
      <c r="M50" s="88">
        <f t="shared" si="33"/>
        <v>0</v>
      </c>
      <c r="N50" s="103"/>
      <c r="O50" s="88">
        <f t="shared" si="33"/>
        <v>0</v>
      </c>
      <c r="P50" s="103">
        <v>585</v>
      </c>
      <c r="Q50" s="88">
        <f t="shared" si="34"/>
        <v>20613.93</v>
      </c>
      <c r="R50" s="103"/>
      <c r="S50" s="88">
        <f t="shared" si="34"/>
        <v>0</v>
      </c>
      <c r="T50" s="103"/>
      <c r="U50" s="88">
        <f t="shared" si="35"/>
        <v>0</v>
      </c>
      <c r="V50" s="103"/>
      <c r="W50" s="88">
        <f t="shared" si="35"/>
        <v>0</v>
      </c>
      <c r="X50" s="10">
        <f>(4.45+4.54)*2.3</f>
        <v>20.677</v>
      </c>
      <c r="Y50" s="3">
        <v>585</v>
      </c>
      <c r="Z50" s="3">
        <v>25</v>
      </c>
      <c r="AA50" s="3">
        <v>5</v>
      </c>
      <c r="AB50" s="3">
        <v>705635.65017045464</v>
      </c>
      <c r="AC50">
        <f t="shared" si="6"/>
        <v>0.90909090909090906</v>
      </c>
    </row>
    <row r="51" spans="1:29" ht="39.6" x14ac:dyDescent="0.25">
      <c r="A51" s="93" t="s">
        <v>141</v>
      </c>
      <c r="B51" s="8" t="s">
        <v>142</v>
      </c>
      <c r="C51" s="7" t="s">
        <v>26</v>
      </c>
      <c r="D51" s="7" t="s">
        <v>143</v>
      </c>
      <c r="E51" s="9" t="s">
        <v>28</v>
      </c>
      <c r="F51" s="204" t="s">
        <v>500</v>
      </c>
      <c r="G51" s="11">
        <v>26.17</v>
      </c>
      <c r="H51" s="11">
        <f t="shared" si="5"/>
        <v>32.712500000000006</v>
      </c>
      <c r="I51" s="11" t="e">
        <f t="shared" si="32"/>
        <v>#VALUE!</v>
      </c>
      <c r="J51" s="86" t="e">
        <f>I51/AB51</f>
        <v>#VALUE!</v>
      </c>
      <c r="K51" s="109"/>
      <c r="L51" s="103"/>
      <c r="M51" s="88">
        <f t="shared" si="33"/>
        <v>0</v>
      </c>
      <c r="N51" s="103"/>
      <c r="O51" s="88">
        <f t="shared" si="33"/>
        <v>0</v>
      </c>
      <c r="P51" s="103">
        <v>2431.25</v>
      </c>
      <c r="Q51" s="88">
        <f t="shared" si="34"/>
        <v>79532.259999999995</v>
      </c>
      <c r="R51" s="103"/>
      <c r="S51" s="88">
        <f t="shared" si="34"/>
        <v>0</v>
      </c>
      <c r="T51" s="103"/>
      <c r="U51" s="88">
        <f t="shared" si="35"/>
        <v>0</v>
      </c>
      <c r="V51" s="103"/>
      <c r="W51" s="88">
        <f t="shared" si="35"/>
        <v>0</v>
      </c>
      <c r="X51" s="10">
        <f>X49-((4.45+4.54)*2.3)</f>
        <v>145.54300000000001</v>
      </c>
      <c r="Y51" s="3">
        <v>2431.25</v>
      </c>
      <c r="Z51" s="3">
        <v>25</v>
      </c>
      <c r="AA51" s="3">
        <v>5</v>
      </c>
      <c r="AB51" s="3">
        <v>705635.65017045464</v>
      </c>
      <c r="AC51">
        <f t="shared" si="6"/>
        <v>0.90909090909090906</v>
      </c>
    </row>
    <row r="52" spans="1:29" ht="39.6" x14ac:dyDescent="0.25">
      <c r="A52" s="93" t="s">
        <v>144</v>
      </c>
      <c r="B52" s="8" t="s">
        <v>145</v>
      </c>
      <c r="C52" s="7" t="s">
        <v>26</v>
      </c>
      <c r="D52" s="7" t="s">
        <v>146</v>
      </c>
      <c r="E52" s="9" t="s">
        <v>28</v>
      </c>
      <c r="F52" s="204" t="s">
        <v>501</v>
      </c>
      <c r="G52" s="11">
        <v>68.53</v>
      </c>
      <c r="H52" s="11">
        <f t="shared" si="5"/>
        <v>85.662499999999994</v>
      </c>
      <c r="I52" s="11" t="e">
        <f t="shared" si="32"/>
        <v>#VALUE!</v>
      </c>
      <c r="J52" s="86" t="e">
        <f>I52/AB52</f>
        <v>#VALUE!</v>
      </c>
      <c r="K52" s="109"/>
      <c r="L52" s="103"/>
      <c r="M52" s="88">
        <f t="shared" si="33"/>
        <v>0</v>
      </c>
      <c r="N52" s="103"/>
      <c r="O52" s="88">
        <f t="shared" si="33"/>
        <v>0</v>
      </c>
      <c r="P52" s="103">
        <v>336</v>
      </c>
      <c r="Q52" s="88">
        <f t="shared" si="34"/>
        <v>28782.6</v>
      </c>
      <c r="R52" s="103"/>
      <c r="S52" s="88">
        <f t="shared" si="34"/>
        <v>0</v>
      </c>
      <c r="T52" s="103"/>
      <c r="U52" s="88">
        <f t="shared" si="35"/>
        <v>0</v>
      </c>
      <c r="V52" s="103"/>
      <c r="W52" s="88">
        <f t="shared" si="35"/>
        <v>0</v>
      </c>
      <c r="X52" s="10">
        <f>(4.45+4.54+1.95)*2.3</f>
        <v>25.161999999999995</v>
      </c>
      <c r="Y52" s="3">
        <v>336</v>
      </c>
      <c r="Z52" s="3">
        <v>25</v>
      </c>
      <c r="AA52" s="3">
        <v>5</v>
      </c>
      <c r="AB52" s="3">
        <v>705635.65017045464</v>
      </c>
      <c r="AC52">
        <f t="shared" si="6"/>
        <v>0.90909090909090906</v>
      </c>
    </row>
    <row r="53" spans="1:29" x14ac:dyDescent="0.25">
      <c r="A53" s="92" t="s">
        <v>147</v>
      </c>
      <c r="B53" s="4"/>
      <c r="C53" s="4"/>
      <c r="D53" s="4" t="s">
        <v>148</v>
      </c>
      <c r="E53" s="4"/>
      <c r="F53" s="10">
        <f t="shared" si="4"/>
        <v>0</v>
      </c>
      <c r="G53" s="4"/>
      <c r="H53" s="11">
        <f t="shared" si="5"/>
        <v>0</v>
      </c>
      <c r="I53" s="6" t="e">
        <f>SUM(I54:I55)</f>
        <v>#VALUE!</v>
      </c>
      <c r="J53" s="85" t="e">
        <f>I53/AB53</f>
        <v>#VALUE!</v>
      </c>
      <c r="K53" s="108"/>
      <c r="L53" s="116"/>
      <c r="M53" s="117"/>
      <c r="N53" s="116"/>
      <c r="O53" s="117"/>
      <c r="P53" s="116"/>
      <c r="Q53" s="117"/>
      <c r="R53" s="116"/>
      <c r="S53" s="117"/>
      <c r="T53" s="116"/>
      <c r="U53" s="117"/>
      <c r="V53" s="116"/>
      <c r="W53" s="117"/>
      <c r="X53" s="10"/>
      <c r="Z53" s="3">
        <v>25</v>
      </c>
      <c r="AA53" s="3">
        <v>5</v>
      </c>
      <c r="AB53" s="3">
        <v>705635.65017045464</v>
      </c>
      <c r="AC53">
        <f t="shared" si="6"/>
        <v>0.90909090909090906</v>
      </c>
    </row>
    <row r="54" spans="1:29" ht="39.6" x14ac:dyDescent="0.25">
      <c r="A54" s="93" t="s">
        <v>149</v>
      </c>
      <c r="B54" s="8" t="s">
        <v>150</v>
      </c>
      <c r="C54" s="7" t="s">
        <v>26</v>
      </c>
      <c r="D54" s="7" t="s">
        <v>151</v>
      </c>
      <c r="E54" s="9" t="s">
        <v>28</v>
      </c>
      <c r="F54" s="204" t="s">
        <v>502</v>
      </c>
      <c r="G54" s="11">
        <v>8.7799999999999994</v>
      </c>
      <c r="H54" s="11">
        <f t="shared" si="5"/>
        <v>10.975</v>
      </c>
      <c r="I54" s="11" t="e">
        <f t="shared" ref="I54:I55" si="36">F54*H54</f>
        <v>#VALUE!</v>
      </c>
      <c r="J54" s="86" t="e">
        <f>I54/AB54</f>
        <v>#VALUE!</v>
      </c>
      <c r="K54" s="109"/>
      <c r="L54" s="103"/>
      <c r="M54" s="88">
        <f t="shared" ref="M54:O55" si="37">TRUNC(L54*$H54,2)</f>
        <v>0</v>
      </c>
      <c r="N54" s="103"/>
      <c r="O54" s="88">
        <f t="shared" si="37"/>
        <v>0</v>
      </c>
      <c r="P54" s="103">
        <v>2151.75</v>
      </c>
      <c r="Q54" s="88">
        <f t="shared" ref="Q54:S55" si="38">TRUNC(P54*$H54,2)</f>
        <v>23615.45</v>
      </c>
      <c r="R54" s="103"/>
      <c r="S54" s="88">
        <f t="shared" si="38"/>
        <v>0</v>
      </c>
      <c r="T54" s="103"/>
      <c r="U54" s="88">
        <f t="shared" ref="U54:W55" si="39">TRUNC(T54*$H54,2)</f>
        <v>0</v>
      </c>
      <c r="V54" s="103"/>
      <c r="W54" s="88">
        <f t="shared" si="39"/>
        <v>0</v>
      </c>
      <c r="X54" s="10">
        <f>4.69*2.7+13.4*3.2+5.79*3.2+1.65*3.2+4.54*1.8*2</f>
        <v>95.695000000000022</v>
      </c>
      <c r="Y54" s="3">
        <v>2151.75</v>
      </c>
      <c r="Z54" s="3">
        <v>25</v>
      </c>
      <c r="AA54" s="3">
        <v>5</v>
      </c>
      <c r="AB54" s="3">
        <v>705635.65017045464</v>
      </c>
      <c r="AC54">
        <f t="shared" si="6"/>
        <v>0.90909090909090906</v>
      </c>
    </row>
    <row r="55" spans="1:29" ht="52.8" x14ac:dyDescent="0.25">
      <c r="A55" s="93" t="s">
        <v>152</v>
      </c>
      <c r="B55" s="8" t="s">
        <v>153</v>
      </c>
      <c r="C55" s="7" t="s">
        <v>26</v>
      </c>
      <c r="D55" s="7" t="s">
        <v>154</v>
      </c>
      <c r="E55" s="9" t="s">
        <v>28</v>
      </c>
      <c r="F55" s="10" t="str">
        <f>F54</f>
        <v>4,69*2,7+13,4*3,2+5,79*3,2+1,65*3,2+4,54*1,8*2</v>
      </c>
      <c r="G55" s="11">
        <v>60.48</v>
      </c>
      <c r="H55" s="11">
        <f t="shared" si="5"/>
        <v>75.599999999999994</v>
      </c>
      <c r="I55" s="11" t="e">
        <f t="shared" si="36"/>
        <v>#VALUE!</v>
      </c>
      <c r="J55" s="86" t="e">
        <f>I55/AB55</f>
        <v>#VALUE!</v>
      </c>
      <c r="K55" s="109"/>
      <c r="L55" s="103"/>
      <c r="M55" s="88">
        <f t="shared" si="37"/>
        <v>0</v>
      </c>
      <c r="N55" s="103"/>
      <c r="O55" s="88">
        <f t="shared" si="37"/>
        <v>0</v>
      </c>
      <c r="P55" s="103">
        <v>2151.75</v>
      </c>
      <c r="Q55" s="88">
        <f t="shared" si="38"/>
        <v>162672.29999999999</v>
      </c>
      <c r="R55" s="103"/>
      <c r="S55" s="88">
        <f t="shared" si="38"/>
        <v>0</v>
      </c>
      <c r="T55" s="103"/>
      <c r="U55" s="88">
        <f t="shared" si="39"/>
        <v>0</v>
      </c>
      <c r="V55" s="103"/>
      <c r="W55" s="88">
        <f t="shared" si="39"/>
        <v>0</v>
      </c>
      <c r="X55" s="10">
        <f>X54</f>
        <v>95.695000000000022</v>
      </c>
      <c r="Y55" s="3">
        <v>2151.75</v>
      </c>
      <c r="Z55" s="3">
        <v>25</v>
      </c>
      <c r="AA55" s="3">
        <v>5</v>
      </c>
      <c r="AB55" s="3">
        <v>705635.65017045464</v>
      </c>
      <c r="AC55">
        <f t="shared" si="6"/>
        <v>0.90909090909090906</v>
      </c>
    </row>
    <row r="56" spans="1:29" x14ac:dyDescent="0.25">
      <c r="A56" s="92" t="s">
        <v>155</v>
      </c>
      <c r="B56" s="4"/>
      <c r="C56" s="4"/>
      <c r="D56" s="4" t="s">
        <v>156</v>
      </c>
      <c r="E56" s="4"/>
      <c r="F56" s="10">
        <f t="shared" ref="F56" si="40">Y56/Z56*AA56*AC56</f>
        <v>0</v>
      </c>
      <c r="G56" s="4"/>
      <c r="H56" s="11">
        <f t="shared" si="5"/>
        <v>0</v>
      </c>
      <c r="I56" s="6" t="e">
        <f>SUM(I57)</f>
        <v>#VALUE!</v>
      </c>
      <c r="J56" s="85" t="e">
        <f>I56/AB56</f>
        <v>#VALUE!</v>
      </c>
      <c r="K56" s="108"/>
      <c r="L56" s="116"/>
      <c r="M56" s="117"/>
      <c r="N56" s="116"/>
      <c r="O56" s="117"/>
      <c r="P56" s="116"/>
      <c r="Q56" s="117"/>
      <c r="R56" s="116"/>
      <c r="S56" s="117"/>
      <c r="T56" s="116"/>
      <c r="U56" s="117"/>
      <c r="V56" s="116"/>
      <c r="W56" s="117"/>
      <c r="X56" s="10"/>
      <c r="Z56" s="3">
        <v>25</v>
      </c>
      <c r="AA56" s="3">
        <v>5</v>
      </c>
      <c r="AB56" s="3">
        <v>705635.65017045464</v>
      </c>
      <c r="AC56">
        <f t="shared" si="6"/>
        <v>0.90909090909090906</v>
      </c>
    </row>
    <row r="57" spans="1:29" ht="26.4" x14ac:dyDescent="0.25">
      <c r="A57" s="93" t="s">
        <v>157</v>
      </c>
      <c r="B57" s="8" t="s">
        <v>158</v>
      </c>
      <c r="C57" s="7" t="s">
        <v>26</v>
      </c>
      <c r="D57" s="7" t="s">
        <v>159</v>
      </c>
      <c r="E57" s="9" t="s">
        <v>28</v>
      </c>
      <c r="F57" s="204" t="s">
        <v>497</v>
      </c>
      <c r="G57" s="11">
        <v>58.12</v>
      </c>
      <c r="H57" s="11">
        <f t="shared" si="5"/>
        <v>72.649999999999991</v>
      </c>
      <c r="I57" s="11" t="e">
        <f>F57*H57</f>
        <v>#VALUE!</v>
      </c>
      <c r="J57" s="86" t="e">
        <f>I57/AB57</f>
        <v>#VALUE!</v>
      </c>
      <c r="K57" s="109"/>
      <c r="L57" s="103"/>
      <c r="M57" s="88">
        <f>TRUNC(L57*$H57,2)</f>
        <v>0</v>
      </c>
      <c r="N57" s="103"/>
      <c r="O57" s="88">
        <f>TRUNC(N57*$H57,2)</f>
        <v>0</v>
      </c>
      <c r="P57" s="103"/>
      <c r="Q57" s="88">
        <f>TRUNC(P57*$H57,2)</f>
        <v>0</v>
      </c>
      <c r="R57" s="103"/>
      <c r="S57" s="88">
        <f>TRUNC(R57*$H57,2)</f>
        <v>0</v>
      </c>
      <c r="T57" s="103"/>
      <c r="U57" s="88">
        <f>TRUNC(T57*$H57,2)</f>
        <v>0</v>
      </c>
      <c r="V57" s="103"/>
      <c r="W57" s="88">
        <f>TRUNC(V57*$H57,2)</f>
        <v>0</v>
      </c>
      <c r="X57" s="10">
        <f>22.64+38.83</f>
        <v>61.47</v>
      </c>
      <c r="Y57" s="3">
        <v>924.25</v>
      </c>
      <c r="Z57" s="3">
        <v>25</v>
      </c>
      <c r="AA57" s="3">
        <v>5</v>
      </c>
      <c r="AB57" s="3">
        <v>705635.65017045464</v>
      </c>
      <c r="AC57">
        <f t="shared" si="6"/>
        <v>0.90909090909090906</v>
      </c>
    </row>
    <row r="58" spans="1:29" x14ac:dyDescent="0.25">
      <c r="A58" s="92" t="s">
        <v>160</v>
      </c>
      <c r="B58" s="4"/>
      <c r="C58" s="4"/>
      <c r="D58" s="4" t="s">
        <v>161</v>
      </c>
      <c r="E58" s="4"/>
      <c r="F58" s="10">
        <f t="shared" si="4"/>
        <v>0</v>
      </c>
      <c r="G58" s="4"/>
      <c r="H58" s="11"/>
      <c r="I58" s="6" t="e">
        <f>SUM(I59+I62+I65)</f>
        <v>#VALUE!</v>
      </c>
      <c r="J58" s="85" t="e">
        <f>I58/AB58</f>
        <v>#VALUE!</v>
      </c>
      <c r="K58" s="108"/>
      <c r="L58" s="116"/>
      <c r="M58" s="117"/>
      <c r="N58" s="116"/>
      <c r="O58" s="117"/>
      <c r="P58" s="116"/>
      <c r="Q58" s="117"/>
      <c r="R58" s="116"/>
      <c r="S58" s="117"/>
      <c r="T58" s="116"/>
      <c r="U58" s="117"/>
      <c r="V58" s="116"/>
      <c r="W58" s="117"/>
      <c r="X58" s="10"/>
      <c r="Z58" s="3">
        <v>25</v>
      </c>
      <c r="AA58" s="3">
        <v>5</v>
      </c>
      <c r="AB58" s="3">
        <v>705635.65017045464</v>
      </c>
      <c r="AC58">
        <f t="shared" si="6"/>
        <v>0.90909090909090906</v>
      </c>
    </row>
    <row r="59" spans="1:29" x14ac:dyDescent="0.25">
      <c r="A59" s="92" t="s">
        <v>162</v>
      </c>
      <c r="B59" s="4"/>
      <c r="C59" s="4"/>
      <c r="D59" s="4" t="s">
        <v>163</v>
      </c>
      <c r="E59" s="4"/>
      <c r="F59" s="10">
        <f t="shared" si="4"/>
        <v>0</v>
      </c>
      <c r="G59" s="4"/>
      <c r="H59" s="11"/>
      <c r="I59" s="6" t="e">
        <f>SUM(I60:I61)</f>
        <v>#VALUE!</v>
      </c>
      <c r="J59" s="85" t="e">
        <f>I59/AB59</f>
        <v>#VALUE!</v>
      </c>
      <c r="K59" s="108"/>
      <c r="L59" s="116"/>
      <c r="M59" s="117"/>
      <c r="N59" s="116"/>
      <c r="O59" s="117"/>
      <c r="P59" s="116"/>
      <c r="Q59" s="117"/>
      <c r="R59" s="116"/>
      <c r="S59" s="117"/>
      <c r="T59" s="116"/>
      <c r="U59" s="117"/>
      <c r="V59" s="116"/>
      <c r="W59" s="117"/>
      <c r="X59" s="10"/>
      <c r="Z59" s="3">
        <v>25</v>
      </c>
      <c r="AA59" s="3">
        <v>5</v>
      </c>
      <c r="AB59" s="3">
        <v>705635.65017045464</v>
      </c>
      <c r="AC59">
        <f t="shared" si="6"/>
        <v>0.90909090909090906</v>
      </c>
    </row>
    <row r="60" spans="1:29" ht="26.4" x14ac:dyDescent="0.25">
      <c r="A60" s="93" t="s">
        <v>164</v>
      </c>
      <c r="B60" s="8" t="s">
        <v>165</v>
      </c>
      <c r="C60" s="7" t="s">
        <v>26</v>
      </c>
      <c r="D60" s="7" t="s">
        <v>166</v>
      </c>
      <c r="E60" s="9" t="s">
        <v>28</v>
      </c>
      <c r="F60" s="204" t="str">
        <f>F51</f>
        <v>4,69*2,7+13,4*3,2+4,45*5*2+3,84*3,3*2+8,65*3,3+3,84*3,2-((4,45+4,54)*2,3)</v>
      </c>
      <c r="G60" s="11">
        <v>4.74</v>
      </c>
      <c r="H60" s="11">
        <f t="shared" si="5"/>
        <v>5.9250000000000007</v>
      </c>
      <c r="I60" s="11" t="e">
        <f t="shared" ref="I60:I61" si="41">F60*H60</f>
        <v>#VALUE!</v>
      </c>
      <c r="J60" s="86" t="e">
        <f>I60/AB60</f>
        <v>#VALUE!</v>
      </c>
      <c r="K60" s="109"/>
      <c r="L60" s="103"/>
      <c r="M60" s="88">
        <f t="shared" ref="M60:O61" si="42">TRUNC(L60*$H60,2)</f>
        <v>0</v>
      </c>
      <c r="N60" s="103"/>
      <c r="O60" s="88">
        <f t="shared" si="42"/>
        <v>0</v>
      </c>
      <c r="P60" s="103"/>
      <c r="Q60" s="88">
        <f t="shared" ref="Q60:S61" si="43">TRUNC(P60*$H60,2)</f>
        <v>0</v>
      </c>
      <c r="R60" s="103"/>
      <c r="S60" s="88">
        <f t="shared" si="43"/>
        <v>0</v>
      </c>
      <c r="T60" s="103"/>
      <c r="U60" s="88">
        <f t="shared" ref="U60:W61" si="44">TRUNC(T60*$H60,2)</f>
        <v>0</v>
      </c>
      <c r="V60" s="103"/>
      <c r="W60" s="88">
        <f t="shared" si="44"/>
        <v>0</v>
      </c>
      <c r="X60" s="10">
        <f>X51</f>
        <v>145.54300000000001</v>
      </c>
      <c r="Y60" s="3">
        <v>2431.25</v>
      </c>
      <c r="Z60" s="3">
        <v>25</v>
      </c>
      <c r="AA60" s="3">
        <v>5</v>
      </c>
      <c r="AB60" s="3">
        <v>705635.65017045464</v>
      </c>
      <c r="AC60">
        <f t="shared" si="6"/>
        <v>0.90909090909090906</v>
      </c>
    </row>
    <row r="61" spans="1:29" ht="26.4" x14ac:dyDescent="0.25">
      <c r="A61" s="93" t="s">
        <v>167</v>
      </c>
      <c r="B61" s="8" t="s">
        <v>168</v>
      </c>
      <c r="C61" s="7" t="s">
        <v>26</v>
      </c>
      <c r="D61" s="7" t="s">
        <v>169</v>
      </c>
      <c r="E61" s="9" t="s">
        <v>28</v>
      </c>
      <c r="F61" s="204" t="str">
        <f>F60</f>
        <v>4,69*2,7+13,4*3,2+4,45*5*2+3,84*3,3*2+8,65*3,3+3,84*3,2-((4,45+4,54)*2,3)</v>
      </c>
      <c r="G61" s="11">
        <v>11.04</v>
      </c>
      <c r="H61" s="11">
        <f t="shared" si="5"/>
        <v>13.799999999999999</v>
      </c>
      <c r="I61" s="11" t="e">
        <f t="shared" si="41"/>
        <v>#VALUE!</v>
      </c>
      <c r="J61" s="86" t="e">
        <f>I61/AB61</f>
        <v>#VALUE!</v>
      </c>
      <c r="K61" s="109"/>
      <c r="L61" s="103"/>
      <c r="M61" s="88">
        <f t="shared" si="42"/>
        <v>0</v>
      </c>
      <c r="N61" s="103"/>
      <c r="O61" s="88">
        <f t="shared" si="42"/>
        <v>0</v>
      </c>
      <c r="P61" s="103"/>
      <c r="Q61" s="88">
        <f t="shared" si="43"/>
        <v>0</v>
      </c>
      <c r="R61" s="103"/>
      <c r="S61" s="88">
        <f t="shared" si="43"/>
        <v>0</v>
      </c>
      <c r="T61" s="103"/>
      <c r="U61" s="88">
        <f t="shared" si="44"/>
        <v>0</v>
      </c>
      <c r="V61" s="103"/>
      <c r="W61" s="88">
        <f t="shared" si="44"/>
        <v>0</v>
      </c>
      <c r="X61" s="10">
        <f>X60</f>
        <v>145.54300000000001</v>
      </c>
      <c r="Y61" s="3">
        <v>2431.25</v>
      </c>
      <c r="Z61" s="3">
        <v>25</v>
      </c>
      <c r="AA61" s="3">
        <v>5</v>
      </c>
      <c r="AB61" s="3">
        <v>705635.65017045464</v>
      </c>
      <c r="AC61">
        <f t="shared" si="6"/>
        <v>0.90909090909090906</v>
      </c>
    </row>
    <row r="62" spans="1:29" x14ac:dyDescent="0.25">
      <c r="A62" s="92" t="s">
        <v>170</v>
      </c>
      <c r="B62" s="4"/>
      <c r="C62" s="4"/>
      <c r="D62" s="4" t="s">
        <v>171</v>
      </c>
      <c r="E62" s="4"/>
      <c r="F62" s="10">
        <f t="shared" si="4"/>
        <v>0</v>
      </c>
      <c r="G62" s="4"/>
      <c r="H62" s="11">
        <f t="shared" si="5"/>
        <v>0</v>
      </c>
      <c r="I62" s="6" t="e">
        <f>SUM(I63:I64)</f>
        <v>#VALUE!</v>
      </c>
      <c r="J62" s="85" t="e">
        <f>I62/AB62</f>
        <v>#VALUE!</v>
      </c>
      <c r="K62" s="108"/>
      <c r="L62" s="116"/>
      <c r="M62" s="117"/>
      <c r="N62" s="116"/>
      <c r="O62" s="117"/>
      <c r="P62" s="116"/>
      <c r="Q62" s="117"/>
      <c r="R62" s="116"/>
      <c r="S62" s="117"/>
      <c r="T62" s="116"/>
      <c r="U62" s="117"/>
      <c r="V62" s="116"/>
      <c r="W62" s="117"/>
      <c r="X62" s="10"/>
      <c r="Z62" s="3">
        <v>25</v>
      </c>
      <c r="AA62" s="3">
        <v>5</v>
      </c>
      <c r="AB62" s="3">
        <v>705635.65017045464</v>
      </c>
      <c r="AC62">
        <f t="shared" si="6"/>
        <v>0.90909090909090906</v>
      </c>
    </row>
    <row r="63" spans="1:29" ht="26.4" x14ac:dyDescent="0.25">
      <c r="A63" s="93" t="s">
        <v>172</v>
      </c>
      <c r="B63" s="8" t="s">
        <v>173</v>
      </c>
      <c r="C63" s="7" t="s">
        <v>26</v>
      </c>
      <c r="D63" s="7" t="s">
        <v>174</v>
      </c>
      <c r="E63" s="9" t="s">
        <v>28</v>
      </c>
      <c r="F63" s="204" t="s">
        <v>503</v>
      </c>
      <c r="G63" s="11">
        <v>5.63</v>
      </c>
      <c r="H63" s="11">
        <f t="shared" si="5"/>
        <v>7.0374999999999996</v>
      </c>
      <c r="I63" s="11" t="e">
        <f t="shared" ref="I63:I64" si="45">F63*H63</f>
        <v>#VALUE!</v>
      </c>
      <c r="J63" s="86" t="e">
        <f>I63/AB63</f>
        <v>#VALUE!</v>
      </c>
      <c r="K63" s="109"/>
      <c r="L63" s="103"/>
      <c r="M63" s="88">
        <f t="shared" ref="M63:O64" si="46">TRUNC(L63*$H63,2)</f>
        <v>0</v>
      </c>
      <c r="N63" s="103"/>
      <c r="O63" s="88">
        <f t="shared" si="46"/>
        <v>0</v>
      </c>
      <c r="P63" s="103"/>
      <c r="Q63" s="88">
        <f t="shared" ref="Q63:S64" si="47">TRUNC(P63*$H63,2)</f>
        <v>0</v>
      </c>
      <c r="R63" s="103"/>
      <c r="S63" s="88">
        <f t="shared" si="47"/>
        <v>0</v>
      </c>
      <c r="T63" s="103"/>
      <c r="U63" s="88">
        <f t="shared" ref="U63:W64" si="48">TRUNC(T63*$H63,2)</f>
        <v>0</v>
      </c>
      <c r="V63" s="103"/>
      <c r="W63" s="88">
        <f t="shared" si="48"/>
        <v>0</v>
      </c>
      <c r="X63" s="10">
        <f>X55+4.54*1.8*2</f>
        <v>112.03900000000002</v>
      </c>
      <c r="Y63" s="3">
        <v>2151.75</v>
      </c>
      <c r="Z63" s="3">
        <v>25</v>
      </c>
      <c r="AA63" s="3">
        <v>5</v>
      </c>
      <c r="AB63" s="3">
        <v>705635.65017045464</v>
      </c>
      <c r="AC63">
        <f t="shared" si="6"/>
        <v>0.90909090909090906</v>
      </c>
    </row>
    <row r="64" spans="1:29" ht="26.4" x14ac:dyDescent="0.25">
      <c r="A64" s="93" t="s">
        <v>175</v>
      </c>
      <c r="B64" s="8" t="s">
        <v>176</v>
      </c>
      <c r="C64" s="7" t="s">
        <v>26</v>
      </c>
      <c r="D64" s="7" t="s">
        <v>177</v>
      </c>
      <c r="E64" s="9" t="s">
        <v>28</v>
      </c>
      <c r="F64" s="10" t="str">
        <f>F63</f>
        <v>4,69*2,7+13,4*3,2+5,79*3,2+1,65*3,2+4,54*1,8*2+4,54*1,8*2</v>
      </c>
      <c r="G64" s="11">
        <v>12.69</v>
      </c>
      <c r="H64" s="11">
        <f t="shared" si="5"/>
        <v>15.862499999999999</v>
      </c>
      <c r="I64" s="11" t="e">
        <f t="shared" si="45"/>
        <v>#VALUE!</v>
      </c>
      <c r="J64" s="86" t="e">
        <f>I64/AB64</f>
        <v>#VALUE!</v>
      </c>
      <c r="K64" s="109"/>
      <c r="L64" s="103"/>
      <c r="M64" s="88">
        <f t="shared" si="46"/>
        <v>0</v>
      </c>
      <c r="N64" s="103"/>
      <c r="O64" s="88">
        <f t="shared" si="46"/>
        <v>0</v>
      </c>
      <c r="P64" s="103"/>
      <c r="Q64" s="88">
        <f t="shared" si="47"/>
        <v>0</v>
      </c>
      <c r="R64" s="103"/>
      <c r="S64" s="88">
        <f t="shared" si="47"/>
        <v>0</v>
      </c>
      <c r="T64" s="103"/>
      <c r="U64" s="88">
        <f t="shared" si="48"/>
        <v>0</v>
      </c>
      <c r="V64" s="103"/>
      <c r="W64" s="88">
        <f t="shared" si="48"/>
        <v>0</v>
      </c>
      <c r="X64" s="10">
        <f>X63</f>
        <v>112.03900000000002</v>
      </c>
      <c r="Y64" s="3">
        <v>2151.75</v>
      </c>
      <c r="Z64" s="3">
        <v>25</v>
      </c>
      <c r="AA64" s="3">
        <v>5</v>
      </c>
      <c r="AB64" s="3">
        <v>705635.65017045464</v>
      </c>
      <c r="AC64">
        <f t="shared" si="6"/>
        <v>0.90909090909090906</v>
      </c>
    </row>
    <row r="65" spans="1:29" x14ac:dyDescent="0.25">
      <c r="A65" s="92" t="s">
        <v>178</v>
      </c>
      <c r="B65" s="4"/>
      <c r="C65" s="4"/>
      <c r="D65" s="4" t="s">
        <v>179</v>
      </c>
      <c r="E65" s="4"/>
      <c r="F65" s="10">
        <f t="shared" ref="F65" si="49">Y65/Z65*AA65*AC65</f>
        <v>0</v>
      </c>
      <c r="G65" s="4"/>
      <c r="H65" s="11">
        <f t="shared" si="5"/>
        <v>0</v>
      </c>
      <c r="I65" s="6" t="e">
        <f>SUM(I66:I66)</f>
        <v>#VALUE!</v>
      </c>
      <c r="J65" s="85" t="e">
        <f>I65/AB65</f>
        <v>#VALUE!</v>
      </c>
      <c r="K65" s="108"/>
      <c r="L65" s="116"/>
      <c r="M65" s="117"/>
      <c r="N65" s="116"/>
      <c r="O65" s="117"/>
      <c r="P65" s="116"/>
      <c r="Q65" s="117"/>
      <c r="R65" s="116"/>
      <c r="S65" s="117"/>
      <c r="T65" s="116"/>
      <c r="U65" s="117"/>
      <c r="V65" s="116"/>
      <c r="W65" s="117"/>
      <c r="X65" s="10"/>
      <c r="Z65" s="3">
        <v>25</v>
      </c>
      <c r="AA65" s="3">
        <v>5</v>
      </c>
      <c r="AB65" s="3">
        <v>705635.65017045464</v>
      </c>
      <c r="AC65">
        <f t="shared" si="6"/>
        <v>0.90909090909090906</v>
      </c>
    </row>
    <row r="66" spans="1:29" ht="39.6" x14ac:dyDescent="0.25">
      <c r="A66" s="93" t="s">
        <v>180</v>
      </c>
      <c r="B66" s="8" t="s">
        <v>181</v>
      </c>
      <c r="C66" s="7" t="s">
        <v>26</v>
      </c>
      <c r="D66" s="7" t="s">
        <v>182</v>
      </c>
      <c r="E66" s="9" t="s">
        <v>28</v>
      </c>
      <c r="F66" s="204" t="s">
        <v>504</v>
      </c>
      <c r="G66" s="11">
        <v>26.88</v>
      </c>
      <c r="H66" s="11">
        <f t="shared" si="5"/>
        <v>33.6</v>
      </c>
      <c r="I66" s="11" t="e">
        <f t="shared" ref="I66" si="50">F66*H66</f>
        <v>#VALUE!</v>
      </c>
      <c r="J66" s="86" t="e">
        <f>I66/AB66</f>
        <v>#VALUE!</v>
      </c>
      <c r="K66" s="109"/>
      <c r="L66" s="103"/>
      <c r="M66" s="88">
        <f t="shared" ref="M66:O66" si="51">TRUNC(L66*$H66,2)</f>
        <v>0</v>
      </c>
      <c r="N66" s="103"/>
      <c r="O66" s="88">
        <f t="shared" si="51"/>
        <v>0</v>
      </c>
      <c r="P66" s="103"/>
      <c r="Q66" s="88">
        <f t="shared" ref="Q66:S66" si="52">TRUNC(P66*$H66,2)</f>
        <v>0</v>
      </c>
      <c r="R66" s="103"/>
      <c r="S66" s="88">
        <f t="shared" si="52"/>
        <v>0</v>
      </c>
      <c r="T66" s="103"/>
      <c r="U66" s="88">
        <f t="shared" ref="U66:W66" si="53">TRUNC(T66*$H66,2)</f>
        <v>0</v>
      </c>
      <c r="V66" s="103"/>
      <c r="W66" s="88">
        <f t="shared" si="53"/>
        <v>0</v>
      </c>
      <c r="X66" s="10">
        <f>X39*3</f>
        <v>16.380000000000003</v>
      </c>
      <c r="Y66" s="3">
        <v>420</v>
      </c>
      <c r="Z66" s="3">
        <v>25</v>
      </c>
      <c r="AA66" s="3">
        <v>5</v>
      </c>
      <c r="AB66" s="3">
        <v>705635.65017045464</v>
      </c>
      <c r="AC66">
        <f t="shared" si="6"/>
        <v>0.90909090909090906</v>
      </c>
    </row>
    <row r="67" spans="1:29" x14ac:dyDescent="0.25">
      <c r="A67" s="92" t="s">
        <v>183</v>
      </c>
      <c r="B67" s="4"/>
      <c r="C67" s="4"/>
      <c r="D67" s="4" t="s">
        <v>184</v>
      </c>
      <c r="E67" s="4"/>
      <c r="F67" s="10">
        <f t="shared" ref="F67:F95" si="54">Y67/Z67*AA67</f>
        <v>0</v>
      </c>
      <c r="G67" s="4"/>
      <c r="H67" s="11">
        <f t="shared" si="5"/>
        <v>0</v>
      </c>
      <c r="I67" s="6" t="e">
        <f>SUM(I68:I73)</f>
        <v>#VALUE!</v>
      </c>
      <c r="J67" s="85" t="e">
        <f>I67/AB67</f>
        <v>#VALUE!</v>
      </c>
      <c r="K67" s="108"/>
      <c r="L67" s="116"/>
      <c r="M67" s="117"/>
      <c r="N67" s="116"/>
      <c r="O67" s="117"/>
      <c r="P67" s="116"/>
      <c r="Q67" s="117"/>
      <c r="R67" s="116"/>
      <c r="S67" s="117"/>
      <c r="T67" s="116"/>
      <c r="U67" s="117"/>
      <c r="V67" s="116"/>
      <c r="W67" s="117"/>
      <c r="X67" s="10"/>
      <c r="Z67" s="3">
        <v>25</v>
      </c>
      <c r="AA67" s="3">
        <v>5</v>
      </c>
      <c r="AB67" s="3">
        <v>705635.65017045464</v>
      </c>
      <c r="AC67">
        <f t="shared" si="6"/>
        <v>0.90909090909090906</v>
      </c>
    </row>
    <row r="68" spans="1:29" ht="39.6" x14ac:dyDescent="0.25">
      <c r="A68" s="93" t="s">
        <v>185</v>
      </c>
      <c r="B68" s="8" t="s">
        <v>186</v>
      </c>
      <c r="C68" s="7" t="s">
        <v>26</v>
      </c>
      <c r="D68" s="7" t="s">
        <v>187</v>
      </c>
      <c r="E68" s="9" t="s">
        <v>28</v>
      </c>
      <c r="F68" s="10">
        <v>69.67</v>
      </c>
      <c r="G68" s="11">
        <v>0.75</v>
      </c>
      <c r="H68" s="11">
        <f t="shared" si="5"/>
        <v>0.9375</v>
      </c>
      <c r="I68" s="11">
        <f t="shared" ref="I68:I73" si="55">F68*H68</f>
        <v>65.315624999999997</v>
      </c>
      <c r="J68" s="86">
        <f>I68/AB68</f>
        <v>9.2562819047226755E-5</v>
      </c>
      <c r="K68" s="109"/>
      <c r="L68" s="103"/>
      <c r="M68" s="88">
        <f t="shared" ref="M68:O73" si="56">TRUNC(L68*$H68,2)</f>
        <v>0</v>
      </c>
      <c r="N68" s="103"/>
      <c r="O68" s="88">
        <f t="shared" si="56"/>
        <v>0</v>
      </c>
      <c r="P68" s="103"/>
      <c r="Q68" s="88">
        <f t="shared" ref="Q68:S73" si="57">TRUNC(P68*$H68,2)</f>
        <v>0</v>
      </c>
      <c r="R68" s="103"/>
      <c r="S68" s="88">
        <f t="shared" si="57"/>
        <v>0</v>
      </c>
      <c r="T68" s="103"/>
      <c r="U68" s="88">
        <f t="shared" ref="U68:W73" si="58">TRUNC(T68*$H68,2)</f>
        <v>0</v>
      </c>
      <c r="V68" s="103"/>
      <c r="W68" s="88">
        <f t="shared" si="58"/>
        <v>0</v>
      </c>
      <c r="X68" s="10">
        <v>69.67</v>
      </c>
      <c r="Y68" s="3">
        <v>609.25</v>
      </c>
      <c r="Z68" s="3">
        <v>25</v>
      </c>
      <c r="AA68" s="3">
        <v>5</v>
      </c>
      <c r="AB68" s="3">
        <v>705635.65017045464</v>
      </c>
      <c r="AC68">
        <f t="shared" si="6"/>
        <v>0.90909090909090906</v>
      </c>
    </row>
    <row r="69" spans="1:29" ht="26.4" x14ac:dyDescent="0.25">
      <c r="A69" s="93" t="s">
        <v>188</v>
      </c>
      <c r="B69" s="8" t="s">
        <v>189</v>
      </c>
      <c r="C69" s="7" t="s">
        <v>26</v>
      </c>
      <c r="D69" s="7" t="s">
        <v>190</v>
      </c>
      <c r="E69" s="9" t="s">
        <v>28</v>
      </c>
      <c r="F69" s="204" t="str">
        <f>F57</f>
        <v>22,64+38,83</v>
      </c>
      <c r="G69" s="11">
        <v>2.81</v>
      </c>
      <c r="H69" s="11">
        <f t="shared" si="5"/>
        <v>3.5125000000000002</v>
      </c>
      <c r="I69" s="11" t="e">
        <f t="shared" si="55"/>
        <v>#VALUE!</v>
      </c>
      <c r="J69" s="86" t="e">
        <f>I69/AB69</f>
        <v>#VALUE!</v>
      </c>
      <c r="K69" s="109"/>
      <c r="L69" s="103"/>
      <c r="M69" s="88">
        <f t="shared" si="56"/>
        <v>0</v>
      </c>
      <c r="N69" s="103"/>
      <c r="O69" s="88">
        <f t="shared" si="56"/>
        <v>0</v>
      </c>
      <c r="P69" s="103"/>
      <c r="Q69" s="88">
        <f t="shared" si="57"/>
        <v>0</v>
      </c>
      <c r="R69" s="103"/>
      <c r="S69" s="88">
        <f t="shared" si="57"/>
        <v>0</v>
      </c>
      <c r="T69" s="103"/>
      <c r="U69" s="88">
        <f t="shared" si="58"/>
        <v>0</v>
      </c>
      <c r="V69" s="103"/>
      <c r="W69" s="88">
        <f t="shared" si="58"/>
        <v>0</v>
      </c>
      <c r="X69" s="10">
        <f>X57</f>
        <v>61.47</v>
      </c>
      <c r="Y69" s="3">
        <v>1217.5</v>
      </c>
      <c r="Z69" s="3">
        <v>25</v>
      </c>
      <c r="AA69" s="3">
        <v>5</v>
      </c>
      <c r="AB69" s="3">
        <v>705635.65017045464</v>
      </c>
      <c r="AC69">
        <f t="shared" si="6"/>
        <v>0.90909090909090906</v>
      </c>
    </row>
    <row r="70" spans="1:29" ht="26.4" x14ac:dyDescent="0.25">
      <c r="A70" s="93" t="s">
        <v>191</v>
      </c>
      <c r="B70" s="8" t="s">
        <v>192</v>
      </c>
      <c r="C70" s="7" t="s">
        <v>26</v>
      </c>
      <c r="D70" s="7" t="s">
        <v>193</v>
      </c>
      <c r="E70" s="9" t="s">
        <v>28</v>
      </c>
      <c r="F70" s="204" t="str">
        <f>F69</f>
        <v>22,64+38,83</v>
      </c>
      <c r="G70" s="11">
        <v>44.84</v>
      </c>
      <c r="H70" s="11">
        <f t="shared" si="5"/>
        <v>56.050000000000004</v>
      </c>
      <c r="I70" s="11" t="e">
        <f t="shared" si="55"/>
        <v>#VALUE!</v>
      </c>
      <c r="J70" s="86" t="e">
        <f>I70/AB70</f>
        <v>#VALUE!</v>
      </c>
      <c r="K70" s="109"/>
      <c r="L70" s="103"/>
      <c r="M70" s="88">
        <f t="shared" si="56"/>
        <v>0</v>
      </c>
      <c r="N70" s="103"/>
      <c r="O70" s="88">
        <f t="shared" si="56"/>
        <v>0</v>
      </c>
      <c r="P70" s="103"/>
      <c r="Q70" s="88">
        <f t="shared" si="57"/>
        <v>0</v>
      </c>
      <c r="R70" s="103"/>
      <c r="S70" s="88">
        <f t="shared" si="57"/>
        <v>0</v>
      </c>
      <c r="T70" s="103"/>
      <c r="U70" s="88">
        <f t="shared" si="58"/>
        <v>0</v>
      </c>
      <c r="V70" s="103"/>
      <c r="W70" s="88">
        <f t="shared" si="58"/>
        <v>0</v>
      </c>
      <c r="X70" s="10">
        <f>X69</f>
        <v>61.47</v>
      </c>
      <c r="Y70" s="3">
        <v>1217.5</v>
      </c>
      <c r="Z70" s="3">
        <v>25</v>
      </c>
      <c r="AA70" s="3">
        <v>5</v>
      </c>
      <c r="AB70" s="3">
        <v>705635.65017045464</v>
      </c>
      <c r="AC70">
        <f t="shared" si="6"/>
        <v>0.90909090909090906</v>
      </c>
    </row>
    <row r="71" spans="1:29" ht="39.6" x14ac:dyDescent="0.25">
      <c r="A71" s="93" t="s">
        <v>194</v>
      </c>
      <c r="B71" s="8" t="s">
        <v>195</v>
      </c>
      <c r="C71" s="7" t="s">
        <v>26</v>
      </c>
      <c r="D71" s="7" t="s">
        <v>196</v>
      </c>
      <c r="E71" s="9" t="s">
        <v>28</v>
      </c>
      <c r="F71" s="204" t="str">
        <f>F69</f>
        <v>22,64+38,83</v>
      </c>
      <c r="G71" s="11">
        <v>56.77</v>
      </c>
      <c r="H71" s="11">
        <f t="shared" si="5"/>
        <v>70.962500000000006</v>
      </c>
      <c r="I71" s="11" t="e">
        <f t="shared" si="55"/>
        <v>#VALUE!</v>
      </c>
      <c r="J71" s="86" t="e">
        <f>I71/AB71</f>
        <v>#VALUE!</v>
      </c>
      <c r="K71" s="109"/>
      <c r="L71" s="103"/>
      <c r="M71" s="88">
        <f t="shared" si="56"/>
        <v>0</v>
      </c>
      <c r="N71" s="103"/>
      <c r="O71" s="88">
        <f t="shared" si="56"/>
        <v>0</v>
      </c>
      <c r="P71" s="103"/>
      <c r="Q71" s="88">
        <f t="shared" si="57"/>
        <v>0</v>
      </c>
      <c r="R71" s="103"/>
      <c r="S71" s="88">
        <f t="shared" si="57"/>
        <v>0</v>
      </c>
      <c r="T71" s="103"/>
      <c r="U71" s="88">
        <f t="shared" si="58"/>
        <v>0</v>
      </c>
      <c r="V71" s="103"/>
      <c r="W71" s="88">
        <f t="shared" si="58"/>
        <v>0</v>
      </c>
      <c r="X71" s="10">
        <f>X69</f>
        <v>61.47</v>
      </c>
      <c r="Y71" s="3">
        <v>452.25</v>
      </c>
      <c r="Z71" s="3">
        <v>25</v>
      </c>
      <c r="AA71" s="3">
        <v>5</v>
      </c>
      <c r="AB71" s="3">
        <v>705635.65017045464</v>
      </c>
      <c r="AC71">
        <f t="shared" si="6"/>
        <v>0.90909090909090906</v>
      </c>
    </row>
    <row r="72" spans="1:29" ht="39.6" x14ac:dyDescent="0.25">
      <c r="A72" s="93" t="s">
        <v>197</v>
      </c>
      <c r="B72" s="8" t="s">
        <v>198</v>
      </c>
      <c r="C72" s="7" t="s">
        <v>26</v>
      </c>
      <c r="D72" s="7" t="s">
        <v>199</v>
      </c>
      <c r="E72" s="9" t="s">
        <v>40</v>
      </c>
      <c r="F72" s="204" t="s">
        <v>496</v>
      </c>
      <c r="G72" s="11">
        <v>958.15</v>
      </c>
      <c r="H72" s="11">
        <f t="shared" si="5"/>
        <v>1197.6875</v>
      </c>
      <c r="I72" s="11" t="e">
        <f t="shared" si="55"/>
        <v>#VALUE!</v>
      </c>
      <c r="J72" s="86" t="e">
        <f>I72/AB72</f>
        <v>#VALUE!</v>
      </c>
      <c r="K72" s="109"/>
      <c r="L72" s="103"/>
      <c r="M72" s="88">
        <f t="shared" si="56"/>
        <v>0</v>
      </c>
      <c r="N72" s="103"/>
      <c r="O72" s="88">
        <f t="shared" si="56"/>
        <v>0</v>
      </c>
      <c r="P72" s="103"/>
      <c r="Q72" s="88">
        <f t="shared" si="57"/>
        <v>0</v>
      </c>
      <c r="R72" s="103"/>
      <c r="S72" s="88">
        <f t="shared" si="57"/>
        <v>0</v>
      </c>
      <c r="T72" s="103"/>
      <c r="U72" s="88">
        <f t="shared" si="58"/>
        <v>0</v>
      </c>
      <c r="V72" s="103"/>
      <c r="W72" s="88">
        <f t="shared" si="58"/>
        <v>0</v>
      </c>
      <c r="X72" s="10">
        <f>14.27*0.07+4.69*0.6*0.07</f>
        <v>1.1958800000000001</v>
      </c>
      <c r="Y72" s="3">
        <v>24.5</v>
      </c>
      <c r="Z72" s="3">
        <v>25</v>
      </c>
      <c r="AA72" s="3">
        <v>5</v>
      </c>
      <c r="AB72" s="3">
        <v>705635.65017045464</v>
      </c>
      <c r="AC72">
        <f t="shared" si="6"/>
        <v>0.90909090909090906</v>
      </c>
    </row>
    <row r="73" spans="1:29" ht="26.4" x14ac:dyDescent="0.25">
      <c r="A73" s="93" t="s">
        <v>200</v>
      </c>
      <c r="B73" s="8" t="s">
        <v>201</v>
      </c>
      <c r="C73" s="7" t="s">
        <v>26</v>
      </c>
      <c r="D73" s="7" t="s">
        <v>202</v>
      </c>
      <c r="E73" s="9" t="s">
        <v>29</v>
      </c>
      <c r="F73" s="204" t="s">
        <v>495</v>
      </c>
      <c r="G73" s="11">
        <v>8.1300000000000008</v>
      </c>
      <c r="H73" s="11">
        <f t="shared" si="5"/>
        <v>10.162500000000001</v>
      </c>
      <c r="I73" s="11" t="e">
        <f t="shared" si="55"/>
        <v>#VALUE!</v>
      </c>
      <c r="J73" s="86" t="e">
        <f>I73/AB73</f>
        <v>#VALUE!</v>
      </c>
      <c r="K73" s="109"/>
      <c r="L73" s="103"/>
      <c r="M73" s="88">
        <f t="shared" si="56"/>
        <v>0</v>
      </c>
      <c r="N73" s="103"/>
      <c r="O73" s="88">
        <f t="shared" si="56"/>
        <v>0</v>
      </c>
      <c r="P73" s="103"/>
      <c r="Q73" s="88">
        <f t="shared" si="57"/>
        <v>0</v>
      </c>
      <c r="R73" s="103"/>
      <c r="S73" s="88">
        <f t="shared" si="57"/>
        <v>0</v>
      </c>
      <c r="T73" s="103"/>
      <c r="U73" s="88">
        <f t="shared" si="58"/>
        <v>0</v>
      </c>
      <c r="V73" s="103"/>
      <c r="W73" s="88">
        <f t="shared" si="58"/>
        <v>0</v>
      </c>
      <c r="X73" s="10">
        <f>13.4+3.84*4+8.65+4.54+4.45+1.95+1.2*2+2.34</f>
        <v>53.09</v>
      </c>
      <c r="Y73" s="3">
        <v>893.75</v>
      </c>
      <c r="Z73" s="3">
        <v>25</v>
      </c>
      <c r="AA73" s="3">
        <v>5</v>
      </c>
      <c r="AB73" s="3">
        <v>705635.65017045464</v>
      </c>
      <c r="AC73">
        <f t="shared" si="6"/>
        <v>0.90909090909090906</v>
      </c>
    </row>
    <row r="74" spans="1:29" x14ac:dyDescent="0.25">
      <c r="A74" s="92" t="s">
        <v>203</v>
      </c>
      <c r="B74" s="4"/>
      <c r="C74" s="4"/>
      <c r="D74" s="4" t="s">
        <v>204</v>
      </c>
      <c r="E74" s="4"/>
      <c r="F74" s="10">
        <f t="shared" si="54"/>
        <v>0</v>
      </c>
      <c r="G74" s="4"/>
      <c r="H74" s="11">
        <f t="shared" ref="H74:H129" si="59">G74*1.25</f>
        <v>0</v>
      </c>
      <c r="I74" s="6" t="e">
        <f>SUM(I75:I94)</f>
        <v>#VALUE!</v>
      </c>
      <c r="J74" s="85" t="e">
        <f>I74/AB74</f>
        <v>#VALUE!</v>
      </c>
      <c r="K74" s="108"/>
      <c r="L74" s="116"/>
      <c r="M74" s="117"/>
      <c r="N74" s="116"/>
      <c r="O74" s="117"/>
      <c r="P74" s="116"/>
      <c r="Q74" s="117"/>
      <c r="R74" s="116"/>
      <c r="S74" s="117"/>
      <c r="T74" s="116"/>
      <c r="U74" s="117"/>
      <c r="V74" s="116"/>
      <c r="W74" s="117"/>
      <c r="X74" s="10"/>
      <c r="Z74" s="3">
        <v>25</v>
      </c>
      <c r="AA74" s="3">
        <v>5</v>
      </c>
      <c r="AB74" s="3">
        <v>705635.65017045464</v>
      </c>
      <c r="AC74">
        <f t="shared" ref="AC74:AC132" si="60">50/55</f>
        <v>0.90909090909090906</v>
      </c>
    </row>
    <row r="75" spans="1:29" ht="26.4" x14ac:dyDescent="0.25">
      <c r="A75" s="93" t="s">
        <v>205</v>
      </c>
      <c r="B75" s="8" t="s">
        <v>206</v>
      </c>
      <c r="C75" s="7" t="s">
        <v>26</v>
      </c>
      <c r="D75" s="7" t="s">
        <v>207</v>
      </c>
      <c r="E75" s="9" t="s">
        <v>208</v>
      </c>
      <c r="F75" s="10">
        <v>2</v>
      </c>
      <c r="G75" s="11">
        <v>11.96</v>
      </c>
      <c r="H75" s="11">
        <f t="shared" si="59"/>
        <v>14.950000000000001</v>
      </c>
      <c r="I75" s="11">
        <f t="shared" ref="I75:I94" si="61">F75*H75</f>
        <v>29.900000000000002</v>
      </c>
      <c r="J75" s="86">
        <f>I75/AB75</f>
        <v>4.2373142559871096E-5</v>
      </c>
      <c r="K75" s="109"/>
      <c r="L75" s="103"/>
      <c r="M75" s="88">
        <f t="shared" ref="M75:O94" si="62">TRUNC(L75*$H75,2)</f>
        <v>0</v>
      </c>
      <c r="N75" s="103"/>
      <c r="O75" s="88">
        <f t="shared" si="62"/>
        <v>0</v>
      </c>
      <c r="P75" s="103"/>
      <c r="Q75" s="88">
        <f t="shared" ref="Q75:S90" si="63">TRUNC(P75*$H75,2)</f>
        <v>0</v>
      </c>
      <c r="R75" s="103"/>
      <c r="S75" s="88">
        <f t="shared" si="63"/>
        <v>0</v>
      </c>
      <c r="T75" s="103"/>
      <c r="U75" s="88">
        <f t="shared" ref="U75:W90" si="64">TRUNC(T75*$H75,2)</f>
        <v>0</v>
      </c>
      <c r="V75" s="103"/>
      <c r="W75" s="88">
        <f t="shared" si="64"/>
        <v>0</v>
      </c>
      <c r="X75" s="10">
        <v>2</v>
      </c>
      <c r="Y75" s="3">
        <v>100</v>
      </c>
      <c r="Z75" s="3">
        <v>25</v>
      </c>
      <c r="AA75" s="3">
        <v>5</v>
      </c>
      <c r="AB75" s="3">
        <v>705635.65017045464</v>
      </c>
      <c r="AC75">
        <f t="shared" si="60"/>
        <v>0.90909090909090906</v>
      </c>
    </row>
    <row r="76" spans="1:29" ht="26.4" x14ac:dyDescent="0.25">
      <c r="A76" s="93" t="s">
        <v>209</v>
      </c>
      <c r="B76" s="8" t="s">
        <v>210</v>
      </c>
      <c r="C76" s="7" t="s">
        <v>26</v>
      </c>
      <c r="D76" s="7" t="s">
        <v>211</v>
      </c>
      <c r="E76" s="9" t="s">
        <v>208</v>
      </c>
      <c r="F76" s="204" t="s">
        <v>494</v>
      </c>
      <c r="G76" s="11">
        <v>11.96</v>
      </c>
      <c r="H76" s="11">
        <f t="shared" si="59"/>
        <v>14.950000000000001</v>
      </c>
      <c r="I76" s="11" t="e">
        <f t="shared" si="61"/>
        <v>#VALUE!</v>
      </c>
      <c r="J76" s="86" t="e">
        <f>I76/AB76</f>
        <v>#VALUE!</v>
      </c>
      <c r="K76" s="109"/>
      <c r="L76" s="103"/>
      <c r="M76" s="88">
        <f t="shared" si="62"/>
        <v>0</v>
      </c>
      <c r="N76" s="103"/>
      <c r="O76" s="88">
        <f t="shared" si="62"/>
        <v>0</v>
      </c>
      <c r="P76" s="103"/>
      <c r="Q76" s="88">
        <f t="shared" si="63"/>
        <v>0</v>
      </c>
      <c r="R76" s="103"/>
      <c r="S76" s="88">
        <f t="shared" si="63"/>
        <v>0</v>
      </c>
      <c r="T76" s="103"/>
      <c r="U76" s="88">
        <f t="shared" si="64"/>
        <v>0</v>
      </c>
      <c r="V76" s="103"/>
      <c r="W76" s="88">
        <f t="shared" si="64"/>
        <v>0</v>
      </c>
      <c r="X76" s="10">
        <v>5</v>
      </c>
      <c r="Y76" s="3">
        <v>25</v>
      </c>
      <c r="Z76" s="3">
        <v>25</v>
      </c>
      <c r="AA76" s="3">
        <v>5</v>
      </c>
      <c r="AB76" s="3">
        <v>705635.65017045464</v>
      </c>
      <c r="AC76">
        <f t="shared" si="60"/>
        <v>0.90909090909090906</v>
      </c>
    </row>
    <row r="77" spans="1:29" ht="26.4" x14ac:dyDescent="0.25">
      <c r="A77" s="93" t="s">
        <v>212</v>
      </c>
      <c r="B77" s="8" t="s">
        <v>213</v>
      </c>
      <c r="C77" s="7" t="s">
        <v>26</v>
      </c>
      <c r="D77" s="7" t="s">
        <v>214</v>
      </c>
      <c r="E77" s="9" t="s">
        <v>208</v>
      </c>
      <c r="F77" s="10">
        <v>2</v>
      </c>
      <c r="G77" s="11">
        <v>14.12</v>
      </c>
      <c r="H77" s="11">
        <f t="shared" si="59"/>
        <v>17.649999999999999</v>
      </c>
      <c r="I77" s="11">
        <f t="shared" si="61"/>
        <v>35.299999999999997</v>
      </c>
      <c r="J77" s="86">
        <f>I77/AB77</f>
        <v>5.0025817135901318E-5</v>
      </c>
      <c r="K77" s="109"/>
      <c r="L77" s="103"/>
      <c r="M77" s="88">
        <f t="shared" si="62"/>
        <v>0</v>
      </c>
      <c r="N77" s="103"/>
      <c r="O77" s="88">
        <f t="shared" si="62"/>
        <v>0</v>
      </c>
      <c r="P77" s="103"/>
      <c r="Q77" s="88">
        <f t="shared" si="63"/>
        <v>0</v>
      </c>
      <c r="R77" s="103"/>
      <c r="S77" s="88">
        <f t="shared" si="63"/>
        <v>0</v>
      </c>
      <c r="T77" s="103"/>
      <c r="U77" s="88">
        <f t="shared" si="64"/>
        <v>0</v>
      </c>
      <c r="V77" s="103"/>
      <c r="W77" s="88">
        <f t="shared" si="64"/>
        <v>0</v>
      </c>
      <c r="X77" s="10">
        <v>2</v>
      </c>
      <c r="Y77" s="3">
        <v>25</v>
      </c>
      <c r="Z77" s="3">
        <v>25</v>
      </c>
      <c r="AA77" s="3">
        <v>5</v>
      </c>
      <c r="AB77" s="3">
        <v>705635.65017045464</v>
      </c>
      <c r="AC77">
        <f t="shared" si="60"/>
        <v>0.90909090909090906</v>
      </c>
    </row>
    <row r="78" spans="1:29" ht="26.4" x14ac:dyDescent="0.25">
      <c r="A78" s="93" t="s">
        <v>215</v>
      </c>
      <c r="B78" s="8" t="s">
        <v>216</v>
      </c>
      <c r="C78" s="7" t="s">
        <v>26</v>
      </c>
      <c r="D78" s="7" t="s">
        <v>217</v>
      </c>
      <c r="E78" s="9" t="s">
        <v>208</v>
      </c>
      <c r="F78" s="10">
        <v>1</v>
      </c>
      <c r="G78" s="11">
        <v>26.07</v>
      </c>
      <c r="H78" s="11">
        <f t="shared" si="59"/>
        <v>32.587499999999999</v>
      </c>
      <c r="I78" s="11">
        <f t="shared" si="61"/>
        <v>32.587499999999999</v>
      </c>
      <c r="J78" s="86">
        <f>I78/AB78</f>
        <v>4.618176532340465E-5</v>
      </c>
      <c r="K78" s="109"/>
      <c r="L78" s="103"/>
      <c r="M78" s="88">
        <f t="shared" si="62"/>
        <v>0</v>
      </c>
      <c r="N78" s="103"/>
      <c r="O78" s="88">
        <f t="shared" si="62"/>
        <v>0</v>
      </c>
      <c r="P78" s="103"/>
      <c r="Q78" s="88">
        <f t="shared" si="63"/>
        <v>0</v>
      </c>
      <c r="R78" s="103"/>
      <c r="S78" s="88">
        <f t="shared" si="63"/>
        <v>0</v>
      </c>
      <c r="T78" s="103"/>
      <c r="U78" s="88">
        <f t="shared" si="64"/>
        <v>0</v>
      </c>
      <c r="V78" s="103"/>
      <c r="W78" s="88">
        <f t="shared" si="64"/>
        <v>0</v>
      </c>
      <c r="X78" s="10">
        <v>1</v>
      </c>
      <c r="Y78" s="3">
        <v>25</v>
      </c>
      <c r="Z78" s="3">
        <v>25</v>
      </c>
      <c r="AA78" s="3">
        <v>5</v>
      </c>
      <c r="AB78" s="3">
        <v>705635.65017045464</v>
      </c>
      <c r="AC78">
        <f t="shared" si="60"/>
        <v>0.90909090909090906</v>
      </c>
    </row>
    <row r="79" spans="1:29" ht="26.4" x14ac:dyDescent="0.25">
      <c r="A79" s="93" t="s">
        <v>218</v>
      </c>
      <c r="B79" s="8" t="s">
        <v>219</v>
      </c>
      <c r="C79" s="7" t="s">
        <v>26</v>
      </c>
      <c r="D79" s="7" t="s">
        <v>220</v>
      </c>
      <c r="E79" s="9" t="s">
        <v>208</v>
      </c>
      <c r="F79" s="10">
        <v>1</v>
      </c>
      <c r="G79" s="11">
        <v>101.03</v>
      </c>
      <c r="H79" s="11">
        <f t="shared" si="59"/>
        <v>126.28749999999999</v>
      </c>
      <c r="I79" s="11">
        <f t="shared" si="61"/>
        <v>126.28749999999999</v>
      </c>
      <c r="J79" s="86">
        <f>I79/AB79</f>
        <v>1.7896984083711439E-4</v>
      </c>
      <c r="K79" s="109"/>
      <c r="L79" s="103"/>
      <c r="M79" s="88">
        <f t="shared" si="62"/>
        <v>0</v>
      </c>
      <c r="N79" s="103"/>
      <c r="O79" s="88">
        <f t="shared" si="62"/>
        <v>0</v>
      </c>
      <c r="P79" s="103"/>
      <c r="Q79" s="88">
        <f t="shared" si="63"/>
        <v>0</v>
      </c>
      <c r="R79" s="103"/>
      <c r="S79" s="88">
        <f t="shared" si="63"/>
        <v>0</v>
      </c>
      <c r="T79" s="103"/>
      <c r="U79" s="88">
        <f t="shared" si="64"/>
        <v>0</v>
      </c>
      <c r="V79" s="103"/>
      <c r="W79" s="88">
        <f t="shared" si="64"/>
        <v>0</v>
      </c>
      <c r="X79" s="10">
        <v>1</v>
      </c>
      <c r="Y79" s="3">
        <v>25</v>
      </c>
      <c r="Z79" s="3">
        <v>25</v>
      </c>
      <c r="AA79" s="3">
        <v>5</v>
      </c>
      <c r="AB79" s="3">
        <v>705635.65017045464</v>
      </c>
      <c r="AC79">
        <f t="shared" si="60"/>
        <v>0.90909090909090906</v>
      </c>
    </row>
    <row r="80" spans="1:29" ht="26.4" x14ac:dyDescent="0.25">
      <c r="A80" s="93" t="s">
        <v>221</v>
      </c>
      <c r="B80" s="8" t="s">
        <v>222</v>
      </c>
      <c r="C80" s="7" t="s">
        <v>26</v>
      </c>
      <c r="D80" s="7" t="s">
        <v>223</v>
      </c>
      <c r="E80" s="9" t="s">
        <v>208</v>
      </c>
      <c r="F80" s="10">
        <v>7</v>
      </c>
      <c r="G80" s="11">
        <v>14.67</v>
      </c>
      <c r="H80" s="11">
        <f t="shared" si="59"/>
        <v>18.337499999999999</v>
      </c>
      <c r="I80" s="11">
        <f t="shared" si="61"/>
        <v>128.36249999999998</v>
      </c>
      <c r="J80" s="86">
        <f>I80/AB80</f>
        <v>1.8191045190105192E-4</v>
      </c>
      <c r="K80" s="109"/>
      <c r="L80" s="103"/>
      <c r="M80" s="88">
        <f t="shared" si="62"/>
        <v>0</v>
      </c>
      <c r="N80" s="103"/>
      <c r="O80" s="88">
        <f t="shared" si="62"/>
        <v>0</v>
      </c>
      <c r="P80" s="103"/>
      <c r="Q80" s="88">
        <f t="shared" si="63"/>
        <v>0</v>
      </c>
      <c r="R80" s="103"/>
      <c r="S80" s="88">
        <f t="shared" si="63"/>
        <v>0</v>
      </c>
      <c r="T80" s="103"/>
      <c r="U80" s="88">
        <f t="shared" si="64"/>
        <v>0</v>
      </c>
      <c r="V80" s="103"/>
      <c r="W80" s="88">
        <f t="shared" si="64"/>
        <v>0</v>
      </c>
      <c r="X80" s="10">
        <v>7</v>
      </c>
      <c r="Y80" s="3">
        <v>175</v>
      </c>
      <c r="Z80" s="3">
        <v>25</v>
      </c>
      <c r="AA80" s="3">
        <v>5</v>
      </c>
      <c r="AB80" s="3">
        <v>705635.65017045464</v>
      </c>
      <c r="AC80">
        <f t="shared" si="60"/>
        <v>0.90909090909090906</v>
      </c>
    </row>
    <row r="81" spans="1:29" ht="26.4" x14ac:dyDescent="0.25">
      <c r="A81" s="93" t="s">
        <v>224</v>
      </c>
      <c r="B81" s="8" t="s">
        <v>225</v>
      </c>
      <c r="C81" s="7" t="s">
        <v>26</v>
      </c>
      <c r="D81" s="7" t="s">
        <v>226</v>
      </c>
      <c r="E81" s="9" t="s">
        <v>208</v>
      </c>
      <c r="F81" s="10">
        <v>4</v>
      </c>
      <c r="G81" s="11">
        <v>32.68</v>
      </c>
      <c r="H81" s="11">
        <f t="shared" si="59"/>
        <v>40.85</v>
      </c>
      <c r="I81" s="11">
        <f t="shared" si="61"/>
        <v>163.4</v>
      </c>
      <c r="J81" s="86">
        <f>I81/AB81</f>
        <v>2.3156426402284069E-4</v>
      </c>
      <c r="K81" s="109"/>
      <c r="L81" s="103"/>
      <c r="M81" s="88">
        <f t="shared" si="62"/>
        <v>0</v>
      </c>
      <c r="N81" s="103"/>
      <c r="O81" s="88">
        <f t="shared" si="62"/>
        <v>0</v>
      </c>
      <c r="P81" s="103"/>
      <c r="Q81" s="88">
        <f t="shared" si="63"/>
        <v>0</v>
      </c>
      <c r="R81" s="103"/>
      <c r="S81" s="88">
        <f t="shared" si="63"/>
        <v>0</v>
      </c>
      <c r="T81" s="103"/>
      <c r="U81" s="88">
        <f t="shared" si="64"/>
        <v>0</v>
      </c>
      <c r="V81" s="103"/>
      <c r="W81" s="88">
        <f t="shared" si="64"/>
        <v>0</v>
      </c>
      <c r="X81" s="10">
        <v>4</v>
      </c>
      <c r="Y81" s="3">
        <v>125</v>
      </c>
      <c r="Z81" s="3">
        <v>25</v>
      </c>
      <c r="AA81" s="3">
        <v>5</v>
      </c>
      <c r="AB81" s="3">
        <v>705635.65017045464</v>
      </c>
      <c r="AC81">
        <f t="shared" si="60"/>
        <v>0.90909090909090906</v>
      </c>
    </row>
    <row r="82" spans="1:29" ht="26.4" x14ac:dyDescent="0.25">
      <c r="A82" s="93" t="s">
        <v>227</v>
      </c>
      <c r="B82" s="8" t="s">
        <v>228</v>
      </c>
      <c r="C82" s="7" t="s">
        <v>26</v>
      </c>
      <c r="D82" s="7" t="s">
        <v>229</v>
      </c>
      <c r="E82" s="9" t="s">
        <v>208</v>
      </c>
      <c r="F82" s="10">
        <v>4</v>
      </c>
      <c r="G82" s="11">
        <v>34.17</v>
      </c>
      <c r="H82" s="11">
        <f t="shared" si="59"/>
        <v>42.712500000000006</v>
      </c>
      <c r="I82" s="11">
        <f t="shared" si="61"/>
        <v>170.85000000000002</v>
      </c>
      <c r="J82" s="86">
        <f>I82/AB82</f>
        <v>2.4212212061384538E-4</v>
      </c>
      <c r="K82" s="109"/>
      <c r="L82" s="103"/>
      <c r="M82" s="88">
        <f t="shared" si="62"/>
        <v>0</v>
      </c>
      <c r="N82" s="103"/>
      <c r="O82" s="88">
        <f t="shared" si="62"/>
        <v>0</v>
      </c>
      <c r="P82" s="103"/>
      <c r="Q82" s="88">
        <f t="shared" si="63"/>
        <v>0</v>
      </c>
      <c r="R82" s="103"/>
      <c r="S82" s="88">
        <f t="shared" si="63"/>
        <v>0</v>
      </c>
      <c r="T82" s="103"/>
      <c r="U82" s="88">
        <f t="shared" si="64"/>
        <v>0</v>
      </c>
      <c r="V82" s="103"/>
      <c r="W82" s="88">
        <f t="shared" si="64"/>
        <v>0</v>
      </c>
      <c r="X82" s="10">
        <v>4</v>
      </c>
      <c r="Y82" s="3">
        <v>250</v>
      </c>
      <c r="Z82" s="3">
        <v>25</v>
      </c>
      <c r="AA82" s="3">
        <v>5</v>
      </c>
      <c r="AB82" s="3">
        <v>705635.65017045464</v>
      </c>
      <c r="AC82">
        <f t="shared" si="60"/>
        <v>0.90909090909090906</v>
      </c>
    </row>
    <row r="83" spans="1:29" ht="26.4" x14ac:dyDescent="0.25">
      <c r="A83" s="93" t="s">
        <v>230</v>
      </c>
      <c r="B83" s="8" t="s">
        <v>231</v>
      </c>
      <c r="C83" s="7" t="s">
        <v>26</v>
      </c>
      <c r="D83" s="7" t="s">
        <v>232</v>
      </c>
      <c r="E83" s="9" t="s">
        <v>208</v>
      </c>
      <c r="F83" s="10">
        <v>4</v>
      </c>
      <c r="G83" s="11">
        <v>38.81</v>
      </c>
      <c r="H83" s="11">
        <f t="shared" si="59"/>
        <v>48.512500000000003</v>
      </c>
      <c r="I83" s="11">
        <f t="shared" si="61"/>
        <v>194.05</v>
      </c>
      <c r="J83" s="86">
        <f>I83/AB83</f>
        <v>2.7500027805160487E-4</v>
      </c>
      <c r="K83" s="109"/>
      <c r="L83" s="103"/>
      <c r="M83" s="88">
        <f t="shared" si="62"/>
        <v>0</v>
      </c>
      <c r="N83" s="103"/>
      <c r="O83" s="88">
        <f t="shared" si="62"/>
        <v>0</v>
      </c>
      <c r="P83" s="103"/>
      <c r="Q83" s="88">
        <f t="shared" si="63"/>
        <v>0</v>
      </c>
      <c r="R83" s="103"/>
      <c r="S83" s="88">
        <f t="shared" si="63"/>
        <v>0</v>
      </c>
      <c r="T83" s="103"/>
      <c r="U83" s="88">
        <f t="shared" si="64"/>
        <v>0</v>
      </c>
      <c r="V83" s="103"/>
      <c r="W83" s="88">
        <f t="shared" si="64"/>
        <v>0</v>
      </c>
      <c r="X83" s="10">
        <v>4</v>
      </c>
      <c r="Y83" s="3">
        <v>150</v>
      </c>
      <c r="Z83" s="3">
        <v>25</v>
      </c>
      <c r="AA83" s="3">
        <v>5</v>
      </c>
      <c r="AB83" s="3">
        <v>705635.65017045464</v>
      </c>
      <c r="AC83">
        <f t="shared" si="60"/>
        <v>0.90909090909090906</v>
      </c>
    </row>
    <row r="84" spans="1:29" ht="26.4" x14ac:dyDescent="0.25">
      <c r="A84" s="93" t="s">
        <v>233</v>
      </c>
      <c r="B84" s="8" t="s">
        <v>234</v>
      </c>
      <c r="C84" s="7" t="s">
        <v>26</v>
      </c>
      <c r="D84" s="7" t="s">
        <v>235</v>
      </c>
      <c r="E84" s="9" t="s">
        <v>208</v>
      </c>
      <c r="F84" s="10">
        <v>2</v>
      </c>
      <c r="G84" s="11">
        <v>52.84</v>
      </c>
      <c r="H84" s="11">
        <f t="shared" si="59"/>
        <v>66.050000000000011</v>
      </c>
      <c r="I84" s="11">
        <f t="shared" si="61"/>
        <v>132.10000000000002</v>
      </c>
      <c r="J84" s="86">
        <f>I84/AB84</f>
        <v>1.8720709472103586E-4</v>
      </c>
      <c r="K84" s="109"/>
      <c r="L84" s="103"/>
      <c r="M84" s="88">
        <f t="shared" si="62"/>
        <v>0</v>
      </c>
      <c r="N84" s="103"/>
      <c r="O84" s="88">
        <f t="shared" si="62"/>
        <v>0</v>
      </c>
      <c r="P84" s="103"/>
      <c r="Q84" s="88">
        <f t="shared" si="63"/>
        <v>0</v>
      </c>
      <c r="R84" s="103"/>
      <c r="S84" s="88">
        <f t="shared" si="63"/>
        <v>0</v>
      </c>
      <c r="T84" s="103"/>
      <c r="U84" s="88">
        <f t="shared" si="64"/>
        <v>0</v>
      </c>
      <c r="V84" s="103"/>
      <c r="W84" s="88">
        <f t="shared" si="64"/>
        <v>0</v>
      </c>
      <c r="X84" s="10">
        <v>2</v>
      </c>
      <c r="Y84" s="3">
        <v>25</v>
      </c>
      <c r="Z84" s="3">
        <v>25</v>
      </c>
      <c r="AA84" s="3">
        <v>5</v>
      </c>
      <c r="AB84" s="3">
        <v>705635.65017045464</v>
      </c>
      <c r="AC84">
        <f t="shared" si="60"/>
        <v>0.90909090909090906</v>
      </c>
    </row>
    <row r="85" spans="1:29" ht="26.4" x14ac:dyDescent="0.25">
      <c r="A85" s="93" t="s">
        <v>236</v>
      </c>
      <c r="B85" s="8" t="s">
        <v>237</v>
      </c>
      <c r="C85" s="7" t="s">
        <v>26</v>
      </c>
      <c r="D85" s="7" t="s">
        <v>238</v>
      </c>
      <c r="E85" s="9" t="s">
        <v>208</v>
      </c>
      <c r="F85" s="10">
        <f>F82</f>
        <v>4</v>
      </c>
      <c r="G85" s="11">
        <v>12.82</v>
      </c>
      <c r="H85" s="11">
        <f t="shared" si="59"/>
        <v>16.024999999999999</v>
      </c>
      <c r="I85" s="11">
        <f t="shared" si="61"/>
        <v>64.099999999999994</v>
      </c>
      <c r="J85" s="86">
        <f>I85/AB85</f>
        <v>9.0840081541395873E-5</v>
      </c>
      <c r="K85" s="109"/>
      <c r="L85" s="103"/>
      <c r="M85" s="88">
        <f t="shared" si="62"/>
        <v>0</v>
      </c>
      <c r="N85" s="103"/>
      <c r="O85" s="88">
        <f t="shared" si="62"/>
        <v>0</v>
      </c>
      <c r="P85" s="103"/>
      <c r="Q85" s="88">
        <f t="shared" si="63"/>
        <v>0</v>
      </c>
      <c r="R85" s="103"/>
      <c r="S85" s="88">
        <f t="shared" si="63"/>
        <v>0</v>
      </c>
      <c r="T85" s="103"/>
      <c r="U85" s="88">
        <f t="shared" si="64"/>
        <v>0</v>
      </c>
      <c r="V85" s="103"/>
      <c r="W85" s="88">
        <f t="shared" si="64"/>
        <v>0</v>
      </c>
      <c r="X85" s="10">
        <f>X82</f>
        <v>4</v>
      </c>
      <c r="Y85" s="3">
        <v>300</v>
      </c>
      <c r="Z85" s="3">
        <v>25</v>
      </c>
      <c r="AA85" s="3">
        <v>5</v>
      </c>
      <c r="AB85" s="3">
        <v>705635.65017045464</v>
      </c>
      <c r="AC85">
        <f t="shared" si="60"/>
        <v>0.90909090909090906</v>
      </c>
    </row>
    <row r="86" spans="1:29" ht="26.4" x14ac:dyDescent="0.25">
      <c r="A86" s="93" t="s">
        <v>239</v>
      </c>
      <c r="B86" s="8" t="s">
        <v>240</v>
      </c>
      <c r="C86" s="7" t="s">
        <v>26</v>
      </c>
      <c r="D86" s="7" t="s">
        <v>241</v>
      </c>
      <c r="E86" s="9" t="s">
        <v>208</v>
      </c>
      <c r="F86" s="10">
        <f>F83+F81</f>
        <v>8</v>
      </c>
      <c r="G86" s="11">
        <v>20.68</v>
      </c>
      <c r="H86" s="11">
        <f t="shared" si="59"/>
        <v>25.85</v>
      </c>
      <c r="I86" s="11">
        <f t="shared" si="61"/>
        <v>206.8</v>
      </c>
      <c r="J86" s="86">
        <f>I86/AB86</f>
        <v>2.9306909302278736E-4</v>
      </c>
      <c r="K86" s="109"/>
      <c r="L86" s="103"/>
      <c r="M86" s="88">
        <f t="shared" si="62"/>
        <v>0</v>
      </c>
      <c r="N86" s="103"/>
      <c r="O86" s="88">
        <f t="shared" si="62"/>
        <v>0</v>
      </c>
      <c r="P86" s="103"/>
      <c r="Q86" s="88">
        <f t="shared" si="63"/>
        <v>0</v>
      </c>
      <c r="R86" s="103"/>
      <c r="S86" s="88">
        <f t="shared" si="63"/>
        <v>0</v>
      </c>
      <c r="T86" s="103"/>
      <c r="U86" s="88">
        <f t="shared" si="64"/>
        <v>0</v>
      </c>
      <c r="V86" s="103"/>
      <c r="W86" s="88">
        <f t="shared" si="64"/>
        <v>0</v>
      </c>
      <c r="X86" s="10">
        <f>X83+X81</f>
        <v>8</v>
      </c>
      <c r="Y86" s="3">
        <v>325</v>
      </c>
      <c r="Z86" s="3">
        <v>25</v>
      </c>
      <c r="AA86" s="3">
        <v>5</v>
      </c>
      <c r="AB86" s="3">
        <v>705635.65017045464</v>
      </c>
      <c r="AC86">
        <f t="shared" si="60"/>
        <v>0.90909090909090906</v>
      </c>
    </row>
    <row r="87" spans="1:29" ht="26.4" x14ac:dyDescent="0.25">
      <c r="A87" s="93" t="s">
        <v>242</v>
      </c>
      <c r="B87" s="8" t="s">
        <v>243</v>
      </c>
      <c r="C87" s="7" t="s">
        <v>26</v>
      </c>
      <c r="D87" s="7" t="s">
        <v>244</v>
      </c>
      <c r="E87" s="9" t="s">
        <v>208</v>
      </c>
      <c r="F87" s="10">
        <f>F84</f>
        <v>2</v>
      </c>
      <c r="G87" s="11">
        <v>36.700000000000003</v>
      </c>
      <c r="H87" s="11">
        <f t="shared" si="59"/>
        <v>45.875</v>
      </c>
      <c r="I87" s="11">
        <f t="shared" si="61"/>
        <v>91.75</v>
      </c>
      <c r="J87" s="86">
        <f>I87/AB87</f>
        <v>1.3002460969458772E-4</v>
      </c>
      <c r="K87" s="109"/>
      <c r="L87" s="103"/>
      <c r="M87" s="88">
        <f t="shared" si="62"/>
        <v>0</v>
      </c>
      <c r="N87" s="103"/>
      <c r="O87" s="88">
        <f t="shared" si="62"/>
        <v>0</v>
      </c>
      <c r="P87" s="103"/>
      <c r="Q87" s="88">
        <f t="shared" si="63"/>
        <v>0</v>
      </c>
      <c r="R87" s="103"/>
      <c r="S87" s="88">
        <f t="shared" si="63"/>
        <v>0</v>
      </c>
      <c r="T87" s="103"/>
      <c r="U87" s="88">
        <f t="shared" si="64"/>
        <v>0</v>
      </c>
      <c r="V87" s="103"/>
      <c r="W87" s="88">
        <f t="shared" si="64"/>
        <v>0</v>
      </c>
      <c r="X87" s="10">
        <f>X84</f>
        <v>2</v>
      </c>
      <c r="Y87" s="3">
        <v>50</v>
      </c>
      <c r="Z87" s="3">
        <v>25</v>
      </c>
      <c r="AA87" s="3">
        <v>5</v>
      </c>
      <c r="AB87" s="3">
        <v>705635.65017045464</v>
      </c>
      <c r="AC87">
        <f t="shared" si="60"/>
        <v>0.90909090909090906</v>
      </c>
    </row>
    <row r="88" spans="1:29" ht="39.6" x14ac:dyDescent="0.25">
      <c r="A88" s="93" t="s">
        <v>245</v>
      </c>
      <c r="B88" s="8" t="s">
        <v>246</v>
      </c>
      <c r="C88" s="7" t="s">
        <v>26</v>
      </c>
      <c r="D88" s="7" t="s">
        <v>247</v>
      </c>
      <c r="E88" s="9" t="s">
        <v>29</v>
      </c>
      <c r="F88" s="10">
        <f>Y88/Z88</f>
        <v>97.9</v>
      </c>
      <c r="G88" s="11">
        <v>3.7</v>
      </c>
      <c r="H88" s="11">
        <f t="shared" si="59"/>
        <v>4.625</v>
      </c>
      <c r="I88" s="11">
        <f t="shared" si="61"/>
        <v>452.78750000000002</v>
      </c>
      <c r="J88" s="86">
        <f>I88/AB88</f>
        <v>6.4167322029523859E-4</v>
      </c>
      <c r="K88" s="109"/>
      <c r="L88" s="103"/>
      <c r="M88" s="88">
        <f t="shared" si="62"/>
        <v>0</v>
      </c>
      <c r="N88" s="103"/>
      <c r="O88" s="88">
        <f t="shared" si="62"/>
        <v>0</v>
      </c>
      <c r="P88" s="103"/>
      <c r="Q88" s="88">
        <f t="shared" si="63"/>
        <v>0</v>
      </c>
      <c r="R88" s="103"/>
      <c r="S88" s="88">
        <f t="shared" si="63"/>
        <v>0</v>
      </c>
      <c r="T88" s="103"/>
      <c r="U88" s="88">
        <f t="shared" si="64"/>
        <v>0</v>
      </c>
      <c r="V88" s="103"/>
      <c r="W88" s="88">
        <f t="shared" si="64"/>
        <v>0</v>
      </c>
      <c r="X88" s="10">
        <v>97.9</v>
      </c>
      <c r="Y88" s="3">
        <v>2447.5</v>
      </c>
      <c r="Z88" s="3">
        <v>25</v>
      </c>
      <c r="AA88" s="3">
        <v>1</v>
      </c>
      <c r="AB88" s="3">
        <v>705635.65017045464</v>
      </c>
      <c r="AC88">
        <f t="shared" si="60"/>
        <v>0.90909090909090906</v>
      </c>
    </row>
    <row r="89" spans="1:29" ht="39.6" x14ac:dyDescent="0.25">
      <c r="A89" s="93" t="s">
        <v>248</v>
      </c>
      <c r="B89" s="8" t="s">
        <v>249</v>
      </c>
      <c r="C89" s="7" t="s">
        <v>26</v>
      </c>
      <c r="D89" s="7" t="s">
        <v>250</v>
      </c>
      <c r="E89" s="9" t="s">
        <v>29</v>
      </c>
      <c r="F89" s="10">
        <f t="shared" ref="F89:F90" si="65">Y89/Z89</f>
        <v>258.8</v>
      </c>
      <c r="G89" s="11">
        <v>5.38</v>
      </c>
      <c r="H89" s="11">
        <f t="shared" si="59"/>
        <v>6.7249999999999996</v>
      </c>
      <c r="I89" s="11">
        <f t="shared" si="61"/>
        <v>1740.43</v>
      </c>
      <c r="J89" s="86">
        <f>I89/AB89</f>
        <v>2.4664711874741287E-3</v>
      </c>
      <c r="K89" s="109"/>
      <c r="L89" s="103"/>
      <c r="M89" s="88">
        <f t="shared" si="62"/>
        <v>0</v>
      </c>
      <c r="N89" s="103"/>
      <c r="O89" s="88">
        <f t="shared" si="62"/>
        <v>0</v>
      </c>
      <c r="P89" s="103"/>
      <c r="Q89" s="88">
        <f t="shared" si="63"/>
        <v>0</v>
      </c>
      <c r="R89" s="103"/>
      <c r="S89" s="88">
        <f t="shared" si="63"/>
        <v>0</v>
      </c>
      <c r="T89" s="103"/>
      <c r="U89" s="88">
        <f t="shared" si="64"/>
        <v>0</v>
      </c>
      <c r="V89" s="103"/>
      <c r="W89" s="88">
        <f t="shared" si="64"/>
        <v>0</v>
      </c>
      <c r="X89" s="10">
        <v>258.8</v>
      </c>
      <c r="Y89" s="3">
        <v>6470</v>
      </c>
      <c r="Z89" s="3">
        <v>25</v>
      </c>
      <c r="AA89" s="3">
        <v>5</v>
      </c>
      <c r="AB89" s="3">
        <v>705635.65017045464</v>
      </c>
      <c r="AC89">
        <f t="shared" si="60"/>
        <v>0.90909090909090906</v>
      </c>
    </row>
    <row r="90" spans="1:29" ht="39.6" x14ac:dyDescent="0.25">
      <c r="A90" s="93" t="s">
        <v>251</v>
      </c>
      <c r="B90" s="8" t="s">
        <v>252</v>
      </c>
      <c r="C90" s="7" t="s">
        <v>26</v>
      </c>
      <c r="D90" s="7" t="s">
        <v>253</v>
      </c>
      <c r="E90" s="9" t="s">
        <v>29</v>
      </c>
      <c r="F90" s="10">
        <f t="shared" si="65"/>
        <v>24.8</v>
      </c>
      <c r="G90" s="11">
        <v>8.33</v>
      </c>
      <c r="H90" s="11">
        <f t="shared" si="59"/>
        <v>10.4125</v>
      </c>
      <c r="I90" s="11">
        <f t="shared" si="61"/>
        <v>258.23</v>
      </c>
      <c r="J90" s="86">
        <f>I90/AB90</f>
        <v>3.6595373254968272E-4</v>
      </c>
      <c r="K90" s="109"/>
      <c r="L90" s="103"/>
      <c r="M90" s="88">
        <f t="shared" si="62"/>
        <v>0</v>
      </c>
      <c r="N90" s="103"/>
      <c r="O90" s="88">
        <f t="shared" si="62"/>
        <v>0</v>
      </c>
      <c r="P90" s="103"/>
      <c r="Q90" s="88">
        <f t="shared" si="63"/>
        <v>0</v>
      </c>
      <c r="R90" s="103"/>
      <c r="S90" s="88">
        <f t="shared" si="63"/>
        <v>0</v>
      </c>
      <c r="T90" s="103"/>
      <c r="U90" s="88">
        <f t="shared" si="64"/>
        <v>0</v>
      </c>
      <c r="V90" s="103"/>
      <c r="W90" s="88">
        <f t="shared" si="64"/>
        <v>0</v>
      </c>
      <c r="X90" s="10">
        <v>24.8</v>
      </c>
      <c r="Y90" s="3">
        <v>620</v>
      </c>
      <c r="Z90" s="3">
        <v>25</v>
      </c>
      <c r="AA90" s="3">
        <v>5</v>
      </c>
      <c r="AB90" s="3">
        <v>705635.65017045464</v>
      </c>
      <c r="AC90">
        <f t="shared" si="60"/>
        <v>0.90909090909090906</v>
      </c>
    </row>
    <row r="91" spans="1:29" ht="26.4" x14ac:dyDescent="0.25">
      <c r="A91" s="93" t="s">
        <v>254</v>
      </c>
      <c r="B91" s="8">
        <v>101560</v>
      </c>
      <c r="C91" s="7" t="s">
        <v>26</v>
      </c>
      <c r="D91" s="7" t="s">
        <v>255</v>
      </c>
      <c r="E91" s="9" t="s">
        <v>29</v>
      </c>
      <c r="F91" s="10">
        <f>Y91/Z91</f>
        <v>8.3000000000000007</v>
      </c>
      <c r="G91" s="11">
        <v>12.94</v>
      </c>
      <c r="H91" s="11">
        <f t="shared" si="59"/>
        <v>16.175000000000001</v>
      </c>
      <c r="I91" s="11">
        <f t="shared" si="61"/>
        <v>134.25250000000003</v>
      </c>
      <c r="J91" s="86">
        <f>I91/AB91</f>
        <v>1.9025753583675902E-4</v>
      </c>
      <c r="K91" s="109"/>
      <c r="L91" s="103"/>
      <c r="M91" s="88">
        <f t="shared" si="62"/>
        <v>0</v>
      </c>
      <c r="N91" s="103"/>
      <c r="O91" s="88">
        <f t="shared" si="62"/>
        <v>0</v>
      </c>
      <c r="P91" s="103"/>
      <c r="Q91" s="88">
        <f t="shared" ref="Q91:S94" si="66">TRUNC(P91*$H91,2)</f>
        <v>0</v>
      </c>
      <c r="R91" s="103"/>
      <c r="S91" s="88">
        <f t="shared" si="66"/>
        <v>0</v>
      </c>
      <c r="T91" s="103"/>
      <c r="U91" s="88">
        <f t="shared" ref="U91:W94" si="67">TRUNC(T91*$H91,2)</f>
        <v>0</v>
      </c>
      <c r="V91" s="103"/>
      <c r="W91" s="88">
        <f t="shared" si="67"/>
        <v>0</v>
      </c>
      <c r="X91" s="10">
        <v>8.3000000000000007</v>
      </c>
      <c r="Y91" s="3">
        <v>207.5</v>
      </c>
      <c r="Z91" s="3">
        <v>25</v>
      </c>
      <c r="AA91" s="3">
        <v>5</v>
      </c>
      <c r="AB91" s="3">
        <v>705635.65017045464</v>
      </c>
      <c r="AC91">
        <f t="shared" si="60"/>
        <v>0.90909090909090906</v>
      </c>
    </row>
    <row r="92" spans="1:29" ht="39.6" x14ac:dyDescent="0.25">
      <c r="A92" s="93" t="s">
        <v>256</v>
      </c>
      <c r="B92" s="8" t="s">
        <v>257</v>
      </c>
      <c r="C92" s="7" t="s">
        <v>26</v>
      </c>
      <c r="D92" s="7" t="s">
        <v>258</v>
      </c>
      <c r="E92" s="9" t="s">
        <v>29</v>
      </c>
      <c r="F92" s="10">
        <f>Y92/Z92</f>
        <v>44.7</v>
      </c>
      <c r="G92" s="11">
        <v>19.52</v>
      </c>
      <c r="H92" s="11">
        <f t="shared" si="59"/>
        <v>24.4</v>
      </c>
      <c r="I92" s="11">
        <f t="shared" si="61"/>
        <v>1090.68</v>
      </c>
      <c r="J92" s="86">
        <f>I92/AB92</f>
        <v>1.5456702049230838E-3</v>
      </c>
      <c r="K92" s="109"/>
      <c r="L92" s="103"/>
      <c r="M92" s="88">
        <f t="shared" si="62"/>
        <v>0</v>
      </c>
      <c r="N92" s="103"/>
      <c r="O92" s="88">
        <f t="shared" si="62"/>
        <v>0</v>
      </c>
      <c r="P92" s="103"/>
      <c r="Q92" s="88">
        <f t="shared" si="66"/>
        <v>0</v>
      </c>
      <c r="R92" s="103"/>
      <c r="S92" s="88">
        <f t="shared" si="66"/>
        <v>0</v>
      </c>
      <c r="T92" s="103"/>
      <c r="U92" s="88">
        <f t="shared" si="67"/>
        <v>0</v>
      </c>
      <c r="V92" s="103"/>
      <c r="W92" s="88">
        <f t="shared" si="67"/>
        <v>0</v>
      </c>
      <c r="X92" s="10">
        <v>44.7</v>
      </c>
      <c r="Y92" s="3">
        <v>1117.5</v>
      </c>
      <c r="Z92" s="3">
        <v>25</v>
      </c>
      <c r="AA92" s="3">
        <v>5</v>
      </c>
      <c r="AB92" s="3">
        <v>705635.65017045464</v>
      </c>
      <c r="AC92">
        <f t="shared" si="60"/>
        <v>0.90909090909090906</v>
      </c>
    </row>
    <row r="93" spans="1:29" ht="39.6" x14ac:dyDescent="0.25">
      <c r="A93" s="93" t="s">
        <v>259</v>
      </c>
      <c r="B93" s="8" t="s">
        <v>260</v>
      </c>
      <c r="C93" s="7" t="s">
        <v>26</v>
      </c>
      <c r="D93" s="7" t="s">
        <v>261</v>
      </c>
      <c r="E93" s="9" t="s">
        <v>29</v>
      </c>
      <c r="F93" s="10">
        <f t="shared" ref="F93:F94" si="68">Y93/Z93</f>
        <v>58.3</v>
      </c>
      <c r="G93" s="11">
        <v>10.96</v>
      </c>
      <c r="H93" s="11">
        <f t="shared" si="59"/>
        <v>13.700000000000001</v>
      </c>
      <c r="I93" s="11">
        <f t="shared" si="61"/>
        <v>798.71</v>
      </c>
      <c r="J93" s="86">
        <f>I93/AB93</f>
        <v>1.1319014278927974E-3</v>
      </c>
      <c r="K93" s="109"/>
      <c r="L93" s="103"/>
      <c r="M93" s="88">
        <f t="shared" si="62"/>
        <v>0</v>
      </c>
      <c r="N93" s="103"/>
      <c r="O93" s="88">
        <f t="shared" si="62"/>
        <v>0</v>
      </c>
      <c r="P93" s="103"/>
      <c r="Q93" s="88">
        <f t="shared" si="66"/>
        <v>0</v>
      </c>
      <c r="R93" s="103"/>
      <c r="S93" s="88">
        <f t="shared" si="66"/>
        <v>0</v>
      </c>
      <c r="T93" s="103"/>
      <c r="U93" s="88">
        <f t="shared" si="67"/>
        <v>0</v>
      </c>
      <c r="V93" s="103"/>
      <c r="W93" s="88">
        <f t="shared" si="67"/>
        <v>0</v>
      </c>
      <c r="X93" s="10">
        <v>58.3</v>
      </c>
      <c r="Y93" s="3">
        <v>1457.5</v>
      </c>
      <c r="Z93" s="3">
        <v>25</v>
      </c>
      <c r="AA93" s="3">
        <v>5</v>
      </c>
      <c r="AB93" s="3">
        <v>705635.65017045464</v>
      </c>
      <c r="AC93">
        <f t="shared" si="60"/>
        <v>0.90909090909090906</v>
      </c>
    </row>
    <row r="94" spans="1:29" ht="26.4" x14ac:dyDescent="0.25">
      <c r="A94" s="93" t="s">
        <v>262</v>
      </c>
      <c r="B94" s="8" t="s">
        <v>263</v>
      </c>
      <c r="C94" s="7" t="s">
        <v>26</v>
      </c>
      <c r="D94" s="7" t="s">
        <v>264</v>
      </c>
      <c r="E94" s="9" t="s">
        <v>29</v>
      </c>
      <c r="F94" s="10">
        <f t="shared" si="68"/>
        <v>58.3</v>
      </c>
      <c r="G94" s="11">
        <v>9.83</v>
      </c>
      <c r="H94" s="11">
        <f t="shared" si="59"/>
        <v>12.2875</v>
      </c>
      <c r="I94" s="11">
        <f t="shared" si="61"/>
        <v>716.36124999999993</v>
      </c>
      <c r="J94" s="86">
        <f>I94/AB94</f>
        <v>1.0151999120607844E-3</v>
      </c>
      <c r="K94" s="109"/>
      <c r="L94" s="103"/>
      <c r="M94" s="88">
        <f t="shared" si="62"/>
        <v>0</v>
      </c>
      <c r="N94" s="103"/>
      <c r="O94" s="88">
        <f t="shared" si="62"/>
        <v>0</v>
      </c>
      <c r="P94" s="103"/>
      <c r="Q94" s="88">
        <f t="shared" si="66"/>
        <v>0</v>
      </c>
      <c r="R94" s="103"/>
      <c r="S94" s="88">
        <f t="shared" si="66"/>
        <v>0</v>
      </c>
      <c r="T94" s="103"/>
      <c r="U94" s="88">
        <f t="shared" si="67"/>
        <v>0</v>
      </c>
      <c r="V94" s="103"/>
      <c r="W94" s="88">
        <f t="shared" si="67"/>
        <v>0</v>
      </c>
      <c r="X94" s="10">
        <v>58.3</v>
      </c>
      <c r="Y94" s="3">
        <v>1457.5</v>
      </c>
      <c r="Z94" s="3">
        <v>25</v>
      </c>
      <c r="AA94" s="3">
        <v>1</v>
      </c>
      <c r="AB94" s="3">
        <v>705635.65017045464</v>
      </c>
      <c r="AC94">
        <f t="shared" si="60"/>
        <v>0.90909090909090906</v>
      </c>
    </row>
    <row r="95" spans="1:29" x14ac:dyDescent="0.25">
      <c r="A95" s="92" t="s">
        <v>265</v>
      </c>
      <c r="B95" s="4"/>
      <c r="C95" s="4"/>
      <c r="D95" s="4" t="s">
        <v>266</v>
      </c>
      <c r="E95" s="4"/>
      <c r="F95" s="10">
        <f t="shared" si="54"/>
        <v>0</v>
      </c>
      <c r="G95" s="4"/>
      <c r="H95" s="11">
        <f t="shared" si="59"/>
        <v>0</v>
      </c>
      <c r="I95" s="6">
        <f>SUM(I96:I114)</f>
        <v>2325.355</v>
      </c>
      <c r="J95" s="85">
        <f>I95/AB95</f>
        <v>3.2954046460638474E-3</v>
      </c>
      <c r="K95" s="108"/>
      <c r="L95" s="116"/>
      <c r="M95" s="117"/>
      <c r="N95" s="116"/>
      <c r="O95" s="117"/>
      <c r="P95" s="116"/>
      <c r="Q95" s="117"/>
      <c r="R95" s="116"/>
      <c r="S95" s="117"/>
      <c r="T95" s="116"/>
      <c r="U95" s="117"/>
      <c r="V95" s="116"/>
      <c r="W95" s="117"/>
      <c r="X95" s="10"/>
      <c r="Z95" s="3">
        <v>25</v>
      </c>
      <c r="AA95" s="3">
        <v>5</v>
      </c>
      <c r="AB95" s="3">
        <v>705635.65017045464</v>
      </c>
      <c r="AC95">
        <f t="shared" si="60"/>
        <v>0.90909090909090906</v>
      </c>
    </row>
    <row r="96" spans="1:29" ht="39.6" x14ac:dyDescent="0.25">
      <c r="A96" s="93" t="s">
        <v>267</v>
      </c>
      <c r="B96" s="8" t="s">
        <v>268</v>
      </c>
      <c r="C96" s="7" t="s">
        <v>26</v>
      </c>
      <c r="D96" s="7" t="s">
        <v>269</v>
      </c>
      <c r="E96" s="9" t="s">
        <v>208</v>
      </c>
      <c r="F96" s="10">
        <f>Y96/Z96</f>
        <v>7</v>
      </c>
      <c r="G96" s="11">
        <v>14.46</v>
      </c>
      <c r="H96" s="11">
        <f t="shared" si="59"/>
        <v>18.075000000000003</v>
      </c>
      <c r="I96" s="11">
        <f t="shared" ref="I96:I114" si="69">F96*H96</f>
        <v>126.52500000000002</v>
      </c>
      <c r="J96" s="86">
        <f>I96/AB96</f>
        <v>1.7930641680226391E-4</v>
      </c>
      <c r="K96" s="109"/>
      <c r="L96" s="103"/>
      <c r="M96" s="88">
        <f t="shared" ref="M96:O114" si="70">TRUNC(L96*$H96,2)</f>
        <v>0</v>
      </c>
      <c r="N96" s="103"/>
      <c r="O96" s="88">
        <f t="shared" si="70"/>
        <v>0</v>
      </c>
      <c r="P96" s="103"/>
      <c r="Q96" s="88">
        <f t="shared" ref="Q96:S111" si="71">TRUNC(P96*$H96,2)</f>
        <v>0</v>
      </c>
      <c r="R96" s="103"/>
      <c r="S96" s="88">
        <f t="shared" si="71"/>
        <v>0</v>
      </c>
      <c r="T96" s="103"/>
      <c r="U96" s="88">
        <f t="shared" ref="U96:W111" si="72">TRUNC(T96*$H96,2)</f>
        <v>0</v>
      </c>
      <c r="V96" s="103"/>
      <c r="W96" s="88">
        <f t="shared" si="72"/>
        <v>0</v>
      </c>
      <c r="X96" s="10">
        <v>7</v>
      </c>
      <c r="Y96" s="3">
        <v>175</v>
      </c>
      <c r="Z96" s="3">
        <v>25</v>
      </c>
      <c r="AA96" s="3">
        <v>5</v>
      </c>
      <c r="AB96" s="3">
        <v>705635.65017045464</v>
      </c>
      <c r="AC96">
        <f t="shared" si="60"/>
        <v>0.90909090909090906</v>
      </c>
    </row>
    <row r="97" spans="1:29" ht="26.4" x14ac:dyDescent="0.25">
      <c r="A97" s="93" t="s">
        <v>270</v>
      </c>
      <c r="B97" s="8" t="s">
        <v>271</v>
      </c>
      <c r="C97" s="7" t="s">
        <v>26</v>
      </c>
      <c r="D97" s="7" t="s">
        <v>272</v>
      </c>
      <c r="E97" s="9" t="s">
        <v>208</v>
      </c>
      <c r="F97" s="10">
        <f t="shared" ref="F97:F114" si="73">Y97/Z97</f>
        <v>8</v>
      </c>
      <c r="G97" s="11">
        <v>9.7899999999999991</v>
      </c>
      <c r="H97" s="11">
        <f t="shared" si="59"/>
        <v>12.237499999999999</v>
      </c>
      <c r="I97" s="11">
        <f t="shared" si="69"/>
        <v>97.899999999999991</v>
      </c>
      <c r="J97" s="86">
        <f>I97/AB97</f>
        <v>1.3874015573951101E-4</v>
      </c>
      <c r="K97" s="109"/>
      <c r="L97" s="103"/>
      <c r="M97" s="88">
        <f t="shared" si="70"/>
        <v>0</v>
      </c>
      <c r="N97" s="103"/>
      <c r="O97" s="88">
        <f t="shared" si="70"/>
        <v>0</v>
      </c>
      <c r="P97" s="103"/>
      <c r="Q97" s="88">
        <f t="shared" si="71"/>
        <v>0</v>
      </c>
      <c r="R97" s="103"/>
      <c r="S97" s="88">
        <f t="shared" si="71"/>
        <v>0</v>
      </c>
      <c r="T97" s="103"/>
      <c r="U97" s="88">
        <f t="shared" si="72"/>
        <v>0</v>
      </c>
      <c r="V97" s="103"/>
      <c r="W97" s="88">
        <f t="shared" si="72"/>
        <v>0</v>
      </c>
      <c r="X97" s="10">
        <v>8</v>
      </c>
      <c r="Y97" s="3">
        <v>200</v>
      </c>
      <c r="Z97" s="3">
        <v>25</v>
      </c>
      <c r="AA97" s="3">
        <v>5</v>
      </c>
      <c r="AB97" s="3">
        <v>705635.65017045464</v>
      </c>
      <c r="AC97">
        <f t="shared" si="60"/>
        <v>0.90909090909090906</v>
      </c>
    </row>
    <row r="98" spans="1:29" ht="26.4" x14ac:dyDescent="0.25">
      <c r="A98" s="93" t="s">
        <v>273</v>
      </c>
      <c r="B98" s="8" t="s">
        <v>274</v>
      </c>
      <c r="C98" s="7" t="s">
        <v>26</v>
      </c>
      <c r="D98" s="7" t="s">
        <v>275</v>
      </c>
      <c r="E98" s="9" t="s">
        <v>208</v>
      </c>
      <c r="F98" s="10">
        <f t="shared" si="73"/>
        <v>3</v>
      </c>
      <c r="G98" s="11">
        <v>14.74</v>
      </c>
      <c r="H98" s="11">
        <f t="shared" si="59"/>
        <v>18.425000000000001</v>
      </c>
      <c r="I98" s="11">
        <f t="shared" si="69"/>
        <v>55.275000000000006</v>
      </c>
      <c r="J98" s="86">
        <f>I98/AB98</f>
        <v>7.8333627257420562E-5</v>
      </c>
      <c r="K98" s="109"/>
      <c r="L98" s="103"/>
      <c r="M98" s="88">
        <f t="shared" si="70"/>
        <v>0</v>
      </c>
      <c r="N98" s="103"/>
      <c r="O98" s="88">
        <f t="shared" si="70"/>
        <v>0</v>
      </c>
      <c r="P98" s="103"/>
      <c r="Q98" s="88">
        <f t="shared" si="71"/>
        <v>0</v>
      </c>
      <c r="R98" s="103"/>
      <c r="S98" s="88">
        <f t="shared" si="71"/>
        <v>0</v>
      </c>
      <c r="T98" s="103"/>
      <c r="U98" s="88">
        <f t="shared" si="72"/>
        <v>0</v>
      </c>
      <c r="V98" s="103"/>
      <c r="W98" s="88">
        <f t="shared" si="72"/>
        <v>0</v>
      </c>
      <c r="X98" s="10">
        <v>3</v>
      </c>
      <c r="Y98" s="3">
        <v>75</v>
      </c>
      <c r="Z98" s="3">
        <v>25</v>
      </c>
      <c r="AA98" s="3">
        <v>5</v>
      </c>
      <c r="AB98" s="3">
        <v>705635.65017045464</v>
      </c>
      <c r="AC98">
        <f t="shared" si="60"/>
        <v>0.90909090909090906</v>
      </c>
    </row>
    <row r="99" spans="1:29" ht="39.6" x14ac:dyDescent="0.25">
      <c r="A99" s="93" t="s">
        <v>276</v>
      </c>
      <c r="B99" s="8" t="s">
        <v>277</v>
      </c>
      <c r="C99" s="7" t="s">
        <v>26</v>
      </c>
      <c r="D99" s="7" t="s">
        <v>278</v>
      </c>
      <c r="E99" s="9" t="s">
        <v>208</v>
      </c>
      <c r="F99" s="10">
        <f t="shared" si="73"/>
        <v>8</v>
      </c>
      <c r="G99" s="11">
        <v>7.4</v>
      </c>
      <c r="H99" s="11">
        <f t="shared" si="59"/>
        <v>9.25</v>
      </c>
      <c r="I99" s="11">
        <f t="shared" si="69"/>
        <v>74</v>
      </c>
      <c r="J99" s="86">
        <f>I99/AB99</f>
        <v>1.0486998493078464E-4</v>
      </c>
      <c r="K99" s="109"/>
      <c r="L99" s="103"/>
      <c r="M99" s="88">
        <f t="shared" si="70"/>
        <v>0</v>
      </c>
      <c r="N99" s="103"/>
      <c r="O99" s="88">
        <f t="shared" si="70"/>
        <v>0</v>
      </c>
      <c r="P99" s="103"/>
      <c r="Q99" s="88">
        <f t="shared" si="71"/>
        <v>0</v>
      </c>
      <c r="R99" s="103"/>
      <c r="S99" s="88">
        <f t="shared" si="71"/>
        <v>0</v>
      </c>
      <c r="T99" s="103"/>
      <c r="U99" s="88">
        <f t="shared" si="72"/>
        <v>0</v>
      </c>
      <c r="V99" s="103"/>
      <c r="W99" s="88">
        <f t="shared" si="72"/>
        <v>0</v>
      </c>
      <c r="X99" s="10">
        <v>8</v>
      </c>
      <c r="Y99" s="3">
        <v>200</v>
      </c>
      <c r="Z99" s="3">
        <v>25</v>
      </c>
      <c r="AA99" s="3">
        <v>5</v>
      </c>
      <c r="AB99" s="3">
        <v>705635.65017045464</v>
      </c>
      <c r="AC99">
        <f t="shared" si="60"/>
        <v>0.90909090909090906</v>
      </c>
    </row>
    <row r="100" spans="1:29" ht="39.6" x14ac:dyDescent="0.25">
      <c r="A100" s="93" t="s">
        <v>279</v>
      </c>
      <c r="B100" s="8" t="s">
        <v>280</v>
      </c>
      <c r="C100" s="7" t="s">
        <v>19</v>
      </c>
      <c r="D100" s="7" t="s">
        <v>281</v>
      </c>
      <c r="E100" s="9" t="s">
        <v>208</v>
      </c>
      <c r="F100" s="10">
        <f t="shared" si="73"/>
        <v>1</v>
      </c>
      <c r="G100" s="11">
        <v>291.99</v>
      </c>
      <c r="H100" s="11">
        <f t="shared" si="59"/>
        <v>364.98750000000001</v>
      </c>
      <c r="I100" s="11">
        <f t="shared" si="69"/>
        <v>364.98750000000001</v>
      </c>
      <c r="J100" s="86">
        <f>I100/AB100</f>
        <v>5.1724640033682105E-4</v>
      </c>
      <c r="K100" s="109"/>
      <c r="L100" s="103"/>
      <c r="M100" s="88">
        <f t="shared" si="70"/>
        <v>0</v>
      </c>
      <c r="N100" s="103"/>
      <c r="O100" s="88">
        <f t="shared" si="70"/>
        <v>0</v>
      </c>
      <c r="P100" s="103"/>
      <c r="Q100" s="88">
        <f t="shared" si="71"/>
        <v>0</v>
      </c>
      <c r="R100" s="103"/>
      <c r="S100" s="88">
        <f t="shared" si="71"/>
        <v>0</v>
      </c>
      <c r="T100" s="103"/>
      <c r="U100" s="88">
        <f t="shared" si="72"/>
        <v>0</v>
      </c>
      <c r="V100" s="103"/>
      <c r="W100" s="88">
        <f t="shared" si="72"/>
        <v>0</v>
      </c>
      <c r="X100" s="10">
        <v>1</v>
      </c>
      <c r="Y100" s="3">
        <v>25</v>
      </c>
      <c r="Z100" s="3">
        <v>25</v>
      </c>
      <c r="AA100" s="3">
        <v>5</v>
      </c>
      <c r="AB100" s="3">
        <v>705635.65017045464</v>
      </c>
      <c r="AC100">
        <f t="shared" si="60"/>
        <v>0.90909090909090906</v>
      </c>
    </row>
    <row r="101" spans="1:29" ht="39.6" x14ac:dyDescent="0.25">
      <c r="A101" s="93" t="s">
        <v>282</v>
      </c>
      <c r="B101" s="8" t="s">
        <v>283</v>
      </c>
      <c r="C101" s="7" t="s">
        <v>26</v>
      </c>
      <c r="D101" s="7" t="s">
        <v>284</v>
      </c>
      <c r="E101" s="9" t="s">
        <v>208</v>
      </c>
      <c r="F101" s="10">
        <f t="shared" si="73"/>
        <v>3</v>
      </c>
      <c r="G101" s="11">
        <v>112.92</v>
      </c>
      <c r="H101" s="11">
        <f t="shared" si="59"/>
        <v>141.15</v>
      </c>
      <c r="I101" s="11">
        <f t="shared" si="69"/>
        <v>423.45000000000005</v>
      </c>
      <c r="J101" s="86">
        <f>I101/AB101</f>
        <v>6.0009723133703727E-4</v>
      </c>
      <c r="K101" s="109"/>
      <c r="L101" s="103"/>
      <c r="M101" s="88">
        <f t="shared" si="70"/>
        <v>0</v>
      </c>
      <c r="N101" s="103"/>
      <c r="O101" s="88">
        <f t="shared" si="70"/>
        <v>0</v>
      </c>
      <c r="P101" s="103"/>
      <c r="Q101" s="88">
        <f t="shared" si="71"/>
        <v>0</v>
      </c>
      <c r="R101" s="103"/>
      <c r="S101" s="88">
        <f t="shared" si="71"/>
        <v>0</v>
      </c>
      <c r="T101" s="103"/>
      <c r="U101" s="88">
        <f t="shared" si="72"/>
        <v>0</v>
      </c>
      <c r="V101" s="103"/>
      <c r="W101" s="88">
        <f t="shared" si="72"/>
        <v>0</v>
      </c>
      <c r="X101" s="10">
        <v>3</v>
      </c>
      <c r="Y101" s="3">
        <v>75</v>
      </c>
      <c r="Z101" s="3">
        <v>25</v>
      </c>
      <c r="AA101" s="3">
        <v>5</v>
      </c>
      <c r="AB101" s="3">
        <v>705635.65017045464</v>
      </c>
      <c r="AC101">
        <f t="shared" si="60"/>
        <v>0.90909090909090906</v>
      </c>
    </row>
    <row r="102" spans="1:29" ht="26.4" x14ac:dyDescent="0.25">
      <c r="A102" s="93" t="s">
        <v>285</v>
      </c>
      <c r="B102" s="8" t="s">
        <v>286</v>
      </c>
      <c r="C102" s="7" t="s">
        <v>26</v>
      </c>
      <c r="D102" s="7" t="s">
        <v>287</v>
      </c>
      <c r="E102" s="9" t="s">
        <v>208</v>
      </c>
      <c r="F102" s="10">
        <f t="shared" si="73"/>
        <v>1</v>
      </c>
      <c r="G102" s="11">
        <v>32.659999999999997</v>
      </c>
      <c r="H102" s="11">
        <f t="shared" si="59"/>
        <v>40.824999999999996</v>
      </c>
      <c r="I102" s="11">
        <f t="shared" si="69"/>
        <v>40.824999999999996</v>
      </c>
      <c r="J102" s="86">
        <f>I102/AB102</f>
        <v>5.7855636956747059E-5</v>
      </c>
      <c r="K102" s="109"/>
      <c r="L102" s="103"/>
      <c r="M102" s="88">
        <f t="shared" si="70"/>
        <v>0</v>
      </c>
      <c r="N102" s="103"/>
      <c r="O102" s="88">
        <f t="shared" si="70"/>
        <v>0</v>
      </c>
      <c r="P102" s="103"/>
      <c r="Q102" s="88">
        <f t="shared" si="71"/>
        <v>0</v>
      </c>
      <c r="R102" s="103"/>
      <c r="S102" s="88">
        <f t="shared" si="71"/>
        <v>0</v>
      </c>
      <c r="T102" s="103"/>
      <c r="U102" s="88">
        <f t="shared" si="72"/>
        <v>0</v>
      </c>
      <c r="V102" s="103"/>
      <c r="W102" s="88">
        <f t="shared" si="72"/>
        <v>0</v>
      </c>
      <c r="X102" s="10">
        <v>1</v>
      </c>
      <c r="Y102" s="3">
        <v>25</v>
      </c>
      <c r="Z102" s="3">
        <v>25</v>
      </c>
      <c r="AA102" s="3">
        <v>5</v>
      </c>
      <c r="AB102" s="3">
        <v>705635.65017045464</v>
      </c>
      <c r="AC102">
        <f t="shared" si="60"/>
        <v>0.90909090909090906</v>
      </c>
    </row>
    <row r="103" spans="1:29" ht="26.4" x14ac:dyDescent="0.25">
      <c r="A103" s="93" t="s">
        <v>288</v>
      </c>
      <c r="B103" s="8" t="s">
        <v>289</v>
      </c>
      <c r="C103" s="7" t="s">
        <v>26</v>
      </c>
      <c r="D103" s="7" t="s">
        <v>290</v>
      </c>
      <c r="E103" s="9" t="s">
        <v>208</v>
      </c>
      <c r="F103" s="10">
        <f t="shared" si="73"/>
        <v>4</v>
      </c>
      <c r="G103" s="11">
        <v>12.94</v>
      </c>
      <c r="H103" s="11">
        <f t="shared" si="59"/>
        <v>16.175000000000001</v>
      </c>
      <c r="I103" s="11">
        <f t="shared" si="69"/>
        <v>64.7</v>
      </c>
      <c r="J103" s="86">
        <f>I103/AB103</f>
        <v>9.1690378716510353E-5</v>
      </c>
      <c r="K103" s="109"/>
      <c r="L103" s="103"/>
      <c r="M103" s="88">
        <f t="shared" si="70"/>
        <v>0</v>
      </c>
      <c r="N103" s="103"/>
      <c r="O103" s="88">
        <f t="shared" si="70"/>
        <v>0</v>
      </c>
      <c r="P103" s="103"/>
      <c r="Q103" s="88">
        <f t="shared" si="71"/>
        <v>0</v>
      </c>
      <c r="R103" s="103"/>
      <c r="S103" s="88">
        <f t="shared" si="71"/>
        <v>0</v>
      </c>
      <c r="T103" s="103"/>
      <c r="U103" s="88">
        <f t="shared" si="72"/>
        <v>0</v>
      </c>
      <c r="V103" s="103"/>
      <c r="W103" s="88">
        <f t="shared" si="72"/>
        <v>0</v>
      </c>
      <c r="X103" s="10">
        <v>4</v>
      </c>
      <c r="Y103" s="3">
        <v>100</v>
      </c>
      <c r="Z103" s="3">
        <v>25</v>
      </c>
      <c r="AA103" s="3">
        <v>5</v>
      </c>
      <c r="AB103" s="3">
        <v>705635.65017045464</v>
      </c>
      <c r="AC103">
        <f t="shared" si="60"/>
        <v>0.90909090909090906</v>
      </c>
    </row>
    <row r="104" spans="1:29" ht="26.4" x14ac:dyDescent="0.25">
      <c r="A104" s="93" t="s">
        <v>291</v>
      </c>
      <c r="B104" s="8" t="s">
        <v>292</v>
      </c>
      <c r="C104" s="7" t="s">
        <v>26</v>
      </c>
      <c r="D104" s="7" t="s">
        <v>293</v>
      </c>
      <c r="E104" s="9" t="s">
        <v>29</v>
      </c>
      <c r="F104" s="10">
        <f t="shared" si="73"/>
        <v>10</v>
      </c>
      <c r="G104" s="11">
        <v>14.06</v>
      </c>
      <c r="H104" s="11">
        <f t="shared" si="59"/>
        <v>17.574999999999999</v>
      </c>
      <c r="I104" s="11">
        <f t="shared" si="69"/>
        <v>175.75</v>
      </c>
      <c r="J104" s="86">
        <f>I104/AB104</f>
        <v>2.4906621421061354E-4</v>
      </c>
      <c r="K104" s="109"/>
      <c r="L104" s="103"/>
      <c r="M104" s="88">
        <f t="shared" si="70"/>
        <v>0</v>
      </c>
      <c r="N104" s="103"/>
      <c r="O104" s="88">
        <f t="shared" si="70"/>
        <v>0</v>
      </c>
      <c r="P104" s="103"/>
      <c r="Q104" s="88">
        <f t="shared" si="71"/>
        <v>0</v>
      </c>
      <c r="R104" s="103"/>
      <c r="S104" s="88">
        <f t="shared" si="71"/>
        <v>0</v>
      </c>
      <c r="T104" s="103"/>
      <c r="U104" s="88">
        <f t="shared" si="72"/>
        <v>0</v>
      </c>
      <c r="V104" s="103"/>
      <c r="W104" s="88">
        <f t="shared" si="72"/>
        <v>0</v>
      </c>
      <c r="X104" s="10">
        <v>10</v>
      </c>
      <c r="Y104" s="3">
        <v>250</v>
      </c>
      <c r="Z104" s="3">
        <v>25</v>
      </c>
      <c r="AA104" s="3">
        <v>5</v>
      </c>
      <c r="AB104" s="3">
        <v>705635.65017045464</v>
      </c>
      <c r="AC104">
        <f t="shared" si="60"/>
        <v>0.90909090909090906</v>
      </c>
    </row>
    <row r="105" spans="1:29" ht="26.4" x14ac:dyDescent="0.25">
      <c r="A105" s="93" t="s">
        <v>294</v>
      </c>
      <c r="B105" s="8" t="s">
        <v>295</v>
      </c>
      <c r="C105" s="7" t="s">
        <v>26</v>
      </c>
      <c r="D105" s="7" t="s">
        <v>296</v>
      </c>
      <c r="E105" s="9" t="s">
        <v>208</v>
      </c>
      <c r="F105" s="10">
        <f t="shared" si="73"/>
        <v>3</v>
      </c>
      <c r="G105" s="11">
        <v>13.49</v>
      </c>
      <c r="H105" s="11">
        <f t="shared" si="59"/>
        <v>16.862500000000001</v>
      </c>
      <c r="I105" s="11">
        <f t="shared" si="69"/>
        <v>50.587500000000006</v>
      </c>
      <c r="J105" s="86">
        <f>I105/AB105</f>
        <v>7.1690680576838768E-5</v>
      </c>
      <c r="K105" s="109"/>
      <c r="L105" s="103"/>
      <c r="M105" s="88">
        <f t="shared" si="70"/>
        <v>0</v>
      </c>
      <c r="N105" s="103"/>
      <c r="O105" s="88">
        <f t="shared" si="70"/>
        <v>0</v>
      </c>
      <c r="P105" s="103"/>
      <c r="Q105" s="88">
        <f t="shared" si="71"/>
        <v>0</v>
      </c>
      <c r="R105" s="103"/>
      <c r="S105" s="88">
        <f t="shared" si="71"/>
        <v>0</v>
      </c>
      <c r="T105" s="103"/>
      <c r="U105" s="88">
        <f t="shared" si="72"/>
        <v>0</v>
      </c>
      <c r="V105" s="103"/>
      <c r="W105" s="88">
        <f t="shared" si="72"/>
        <v>0</v>
      </c>
      <c r="X105" s="10">
        <v>3</v>
      </c>
      <c r="Y105" s="3">
        <v>75</v>
      </c>
      <c r="Z105" s="3">
        <v>25</v>
      </c>
      <c r="AA105" s="3">
        <v>5</v>
      </c>
      <c r="AB105" s="3">
        <v>705635.65017045464</v>
      </c>
      <c r="AC105">
        <f t="shared" si="60"/>
        <v>0.90909090909090906</v>
      </c>
    </row>
    <row r="106" spans="1:29" ht="39.6" x14ac:dyDescent="0.25">
      <c r="A106" s="93" t="s">
        <v>297</v>
      </c>
      <c r="B106" s="8" t="s">
        <v>298</v>
      </c>
      <c r="C106" s="7" t="s">
        <v>26</v>
      </c>
      <c r="D106" s="7" t="s">
        <v>299</v>
      </c>
      <c r="E106" s="9" t="s">
        <v>208</v>
      </c>
      <c r="F106" s="10">
        <f t="shared" si="73"/>
        <v>1</v>
      </c>
      <c r="G106" s="11">
        <v>22.6</v>
      </c>
      <c r="H106" s="11">
        <f t="shared" si="59"/>
        <v>28.25</v>
      </c>
      <c r="I106" s="11">
        <f t="shared" si="69"/>
        <v>28.25</v>
      </c>
      <c r="J106" s="86">
        <f>I106/AB106</f>
        <v>4.0034825328306298E-5</v>
      </c>
      <c r="K106" s="109"/>
      <c r="L106" s="103"/>
      <c r="M106" s="88">
        <f t="shared" si="70"/>
        <v>0</v>
      </c>
      <c r="N106" s="103"/>
      <c r="O106" s="88">
        <f t="shared" si="70"/>
        <v>0</v>
      </c>
      <c r="P106" s="103"/>
      <c r="Q106" s="88">
        <f t="shared" si="71"/>
        <v>0</v>
      </c>
      <c r="R106" s="103"/>
      <c r="S106" s="88">
        <f t="shared" si="71"/>
        <v>0</v>
      </c>
      <c r="T106" s="103"/>
      <c r="U106" s="88">
        <f t="shared" si="72"/>
        <v>0</v>
      </c>
      <c r="V106" s="103"/>
      <c r="W106" s="88">
        <f t="shared" si="72"/>
        <v>0</v>
      </c>
      <c r="X106" s="10">
        <v>1</v>
      </c>
      <c r="Y106" s="3">
        <v>25</v>
      </c>
      <c r="Z106" s="3">
        <v>25</v>
      </c>
      <c r="AA106" s="3">
        <v>5</v>
      </c>
      <c r="AB106" s="3">
        <v>705635.65017045464</v>
      </c>
      <c r="AC106">
        <f t="shared" si="60"/>
        <v>0.90909090909090906</v>
      </c>
    </row>
    <row r="107" spans="1:29" ht="26.4" x14ac:dyDescent="0.25">
      <c r="A107" s="93" t="s">
        <v>300</v>
      </c>
      <c r="B107" s="8" t="s">
        <v>301</v>
      </c>
      <c r="C107" s="7" t="s">
        <v>26</v>
      </c>
      <c r="D107" s="7" t="s">
        <v>302</v>
      </c>
      <c r="E107" s="9" t="s">
        <v>208</v>
      </c>
      <c r="F107" s="10">
        <f t="shared" si="73"/>
        <v>8</v>
      </c>
      <c r="G107" s="11">
        <v>13.56</v>
      </c>
      <c r="H107" s="11">
        <f t="shared" si="59"/>
        <v>16.95</v>
      </c>
      <c r="I107" s="11">
        <f t="shared" si="69"/>
        <v>135.6</v>
      </c>
      <c r="J107" s="86">
        <f>I107/AB107</f>
        <v>1.9216716157587023E-4</v>
      </c>
      <c r="K107" s="109"/>
      <c r="L107" s="103"/>
      <c r="M107" s="88">
        <f t="shared" si="70"/>
        <v>0</v>
      </c>
      <c r="N107" s="103"/>
      <c r="O107" s="88">
        <f t="shared" si="70"/>
        <v>0</v>
      </c>
      <c r="P107" s="103"/>
      <c r="Q107" s="88">
        <f t="shared" si="71"/>
        <v>0</v>
      </c>
      <c r="R107" s="103"/>
      <c r="S107" s="88">
        <f t="shared" si="71"/>
        <v>0</v>
      </c>
      <c r="T107" s="103"/>
      <c r="U107" s="88">
        <f t="shared" si="72"/>
        <v>0</v>
      </c>
      <c r="V107" s="103"/>
      <c r="W107" s="88">
        <f t="shared" si="72"/>
        <v>0</v>
      </c>
      <c r="X107" s="10">
        <v>8</v>
      </c>
      <c r="Y107" s="3">
        <v>200</v>
      </c>
      <c r="Z107" s="3">
        <v>25</v>
      </c>
      <c r="AA107" s="3">
        <v>5</v>
      </c>
      <c r="AB107" s="3">
        <v>705635.65017045464</v>
      </c>
      <c r="AC107">
        <f t="shared" si="60"/>
        <v>0.90909090909090906</v>
      </c>
    </row>
    <row r="108" spans="1:29" ht="26.4" x14ac:dyDescent="0.25">
      <c r="A108" s="93" t="s">
        <v>303</v>
      </c>
      <c r="B108" s="8" t="s">
        <v>304</v>
      </c>
      <c r="C108" s="7" t="s">
        <v>26</v>
      </c>
      <c r="D108" s="7" t="s">
        <v>305</v>
      </c>
      <c r="E108" s="9" t="s">
        <v>208</v>
      </c>
      <c r="F108" s="10">
        <f t="shared" si="73"/>
        <v>1</v>
      </c>
      <c r="G108" s="11">
        <v>14.46</v>
      </c>
      <c r="H108" s="11">
        <f t="shared" si="59"/>
        <v>18.075000000000003</v>
      </c>
      <c r="I108" s="11">
        <f t="shared" si="69"/>
        <v>18.075000000000003</v>
      </c>
      <c r="J108" s="86">
        <f>I108/AB108</f>
        <v>2.5615202400323414E-5</v>
      </c>
      <c r="K108" s="109"/>
      <c r="L108" s="103"/>
      <c r="M108" s="88">
        <f t="shared" si="70"/>
        <v>0</v>
      </c>
      <c r="N108" s="103"/>
      <c r="O108" s="88">
        <f t="shared" si="70"/>
        <v>0</v>
      </c>
      <c r="P108" s="103"/>
      <c r="Q108" s="88">
        <f t="shared" si="71"/>
        <v>0</v>
      </c>
      <c r="R108" s="103"/>
      <c r="S108" s="88">
        <f t="shared" si="71"/>
        <v>0</v>
      </c>
      <c r="T108" s="103"/>
      <c r="U108" s="88">
        <f t="shared" si="72"/>
        <v>0</v>
      </c>
      <c r="V108" s="103"/>
      <c r="W108" s="88">
        <f t="shared" si="72"/>
        <v>0</v>
      </c>
      <c r="X108" s="10">
        <v>1</v>
      </c>
      <c r="Y108" s="3">
        <v>25</v>
      </c>
      <c r="Z108" s="3">
        <v>25</v>
      </c>
      <c r="AA108" s="3">
        <v>5</v>
      </c>
      <c r="AB108" s="3">
        <v>705635.65017045464</v>
      </c>
      <c r="AC108">
        <f t="shared" si="60"/>
        <v>0.90909090909090906</v>
      </c>
    </row>
    <row r="109" spans="1:29" ht="39.6" x14ac:dyDescent="0.25">
      <c r="A109" s="93" t="s">
        <v>306</v>
      </c>
      <c r="B109" s="8" t="s">
        <v>307</v>
      </c>
      <c r="C109" s="7" t="s">
        <v>26</v>
      </c>
      <c r="D109" s="7" t="s">
        <v>308</v>
      </c>
      <c r="E109" s="9" t="s">
        <v>208</v>
      </c>
      <c r="F109" s="10">
        <f t="shared" si="73"/>
        <v>3</v>
      </c>
      <c r="G109" s="11">
        <v>8.1</v>
      </c>
      <c r="H109" s="11">
        <f t="shared" si="59"/>
        <v>10.125</v>
      </c>
      <c r="I109" s="11">
        <f t="shared" si="69"/>
        <v>30.375</v>
      </c>
      <c r="J109" s="86">
        <f>I109/AB109</f>
        <v>4.3046294490170044E-5</v>
      </c>
      <c r="K109" s="109"/>
      <c r="L109" s="103"/>
      <c r="M109" s="88">
        <f t="shared" si="70"/>
        <v>0</v>
      </c>
      <c r="N109" s="103"/>
      <c r="O109" s="88">
        <f t="shared" si="70"/>
        <v>0</v>
      </c>
      <c r="P109" s="103"/>
      <c r="Q109" s="88">
        <f t="shared" si="71"/>
        <v>0</v>
      </c>
      <c r="R109" s="103"/>
      <c r="S109" s="88">
        <f t="shared" si="71"/>
        <v>0</v>
      </c>
      <c r="T109" s="103"/>
      <c r="U109" s="88">
        <f t="shared" si="72"/>
        <v>0</v>
      </c>
      <c r="V109" s="103"/>
      <c r="W109" s="88">
        <f t="shared" si="72"/>
        <v>0</v>
      </c>
      <c r="X109" s="10">
        <v>3</v>
      </c>
      <c r="Y109" s="3">
        <v>75</v>
      </c>
      <c r="Z109" s="3">
        <v>25</v>
      </c>
      <c r="AA109" s="3">
        <v>5</v>
      </c>
      <c r="AB109" s="3">
        <v>705635.65017045464</v>
      </c>
      <c r="AC109">
        <f t="shared" si="60"/>
        <v>0.90909090909090906</v>
      </c>
    </row>
    <row r="110" spans="1:29" ht="26.4" x14ac:dyDescent="0.25">
      <c r="A110" s="93" t="s">
        <v>309</v>
      </c>
      <c r="B110" s="8" t="s">
        <v>310</v>
      </c>
      <c r="C110" s="7" t="s">
        <v>26</v>
      </c>
      <c r="D110" s="7" t="s">
        <v>311</v>
      </c>
      <c r="E110" s="9" t="s">
        <v>208</v>
      </c>
      <c r="F110" s="10">
        <f t="shared" si="73"/>
        <v>3</v>
      </c>
      <c r="G110" s="11">
        <v>18.93</v>
      </c>
      <c r="H110" s="11">
        <f t="shared" si="59"/>
        <v>23.662500000000001</v>
      </c>
      <c r="I110" s="11">
        <f t="shared" si="69"/>
        <v>70.987500000000011</v>
      </c>
      <c r="J110" s="86">
        <f>I110/AB110</f>
        <v>1.0060078453073075E-4</v>
      </c>
      <c r="K110" s="109"/>
      <c r="L110" s="103"/>
      <c r="M110" s="88">
        <f t="shared" si="70"/>
        <v>0</v>
      </c>
      <c r="N110" s="103"/>
      <c r="O110" s="88">
        <f t="shared" si="70"/>
        <v>0</v>
      </c>
      <c r="P110" s="103"/>
      <c r="Q110" s="88">
        <f t="shared" si="71"/>
        <v>0</v>
      </c>
      <c r="R110" s="103"/>
      <c r="S110" s="88">
        <f t="shared" si="71"/>
        <v>0</v>
      </c>
      <c r="T110" s="103"/>
      <c r="U110" s="88">
        <f t="shared" si="72"/>
        <v>0</v>
      </c>
      <c r="V110" s="103"/>
      <c r="W110" s="88">
        <f t="shared" si="72"/>
        <v>0</v>
      </c>
      <c r="X110" s="10">
        <v>3</v>
      </c>
      <c r="Y110" s="3">
        <v>75</v>
      </c>
      <c r="Z110" s="3">
        <v>25</v>
      </c>
      <c r="AA110" s="3">
        <v>5</v>
      </c>
      <c r="AB110" s="3">
        <v>705635.65017045464</v>
      </c>
      <c r="AC110">
        <f t="shared" si="60"/>
        <v>0.90909090909090906</v>
      </c>
    </row>
    <row r="111" spans="1:29" ht="39.6" x14ac:dyDescent="0.25">
      <c r="A111" s="93" t="s">
        <v>312</v>
      </c>
      <c r="B111" s="8" t="s">
        <v>313</v>
      </c>
      <c r="C111" s="7" t="s">
        <v>26</v>
      </c>
      <c r="D111" s="7" t="s">
        <v>314</v>
      </c>
      <c r="E111" s="9" t="s">
        <v>208</v>
      </c>
      <c r="F111" s="10">
        <f t="shared" si="73"/>
        <v>1</v>
      </c>
      <c r="G111" s="11">
        <v>27.57</v>
      </c>
      <c r="H111" s="11">
        <f t="shared" si="59"/>
        <v>34.462499999999999</v>
      </c>
      <c r="I111" s="11">
        <f t="shared" si="69"/>
        <v>34.462499999999999</v>
      </c>
      <c r="J111" s="86">
        <f>I111/AB111</f>
        <v>4.8838943995637372E-5</v>
      </c>
      <c r="K111" s="109"/>
      <c r="L111" s="103"/>
      <c r="M111" s="88">
        <f t="shared" si="70"/>
        <v>0</v>
      </c>
      <c r="N111" s="103"/>
      <c r="O111" s="88">
        <f t="shared" si="70"/>
        <v>0</v>
      </c>
      <c r="P111" s="103"/>
      <c r="Q111" s="88">
        <f t="shared" si="71"/>
        <v>0</v>
      </c>
      <c r="R111" s="103"/>
      <c r="S111" s="88">
        <f t="shared" si="71"/>
        <v>0</v>
      </c>
      <c r="T111" s="103"/>
      <c r="U111" s="88">
        <f t="shared" si="72"/>
        <v>0</v>
      </c>
      <c r="V111" s="103"/>
      <c r="W111" s="88">
        <f t="shared" si="72"/>
        <v>0</v>
      </c>
      <c r="X111" s="10">
        <v>1</v>
      </c>
      <c r="Y111" s="3">
        <v>25</v>
      </c>
      <c r="Z111" s="3">
        <v>25</v>
      </c>
      <c r="AA111" s="3">
        <v>5</v>
      </c>
      <c r="AB111" s="3">
        <v>705635.65017045464</v>
      </c>
      <c r="AC111">
        <f t="shared" si="60"/>
        <v>0.90909090909090906</v>
      </c>
    </row>
    <row r="112" spans="1:29" ht="26.4" x14ac:dyDescent="0.25">
      <c r="A112" s="93" t="s">
        <v>315</v>
      </c>
      <c r="B112" s="8" t="s">
        <v>292</v>
      </c>
      <c r="C112" s="7" t="s">
        <v>26</v>
      </c>
      <c r="D112" s="7" t="s">
        <v>293</v>
      </c>
      <c r="E112" s="9" t="s">
        <v>29</v>
      </c>
      <c r="F112" s="10">
        <f t="shared" si="73"/>
        <v>10.9</v>
      </c>
      <c r="G112" s="11">
        <v>14.06</v>
      </c>
      <c r="H112" s="11">
        <f t="shared" si="59"/>
        <v>17.574999999999999</v>
      </c>
      <c r="I112" s="11">
        <f t="shared" si="69"/>
        <v>191.5675</v>
      </c>
      <c r="J112" s="86">
        <f>I112/AB112</f>
        <v>2.7148217348956871E-4</v>
      </c>
      <c r="K112" s="109"/>
      <c r="L112" s="103"/>
      <c r="M112" s="88">
        <f t="shared" si="70"/>
        <v>0</v>
      </c>
      <c r="N112" s="103"/>
      <c r="O112" s="88">
        <f t="shared" si="70"/>
        <v>0</v>
      </c>
      <c r="P112" s="103"/>
      <c r="Q112" s="88">
        <f t="shared" ref="Q112:S114" si="74">TRUNC(P112*$H112,2)</f>
        <v>0</v>
      </c>
      <c r="R112" s="103"/>
      <c r="S112" s="88">
        <f t="shared" si="74"/>
        <v>0</v>
      </c>
      <c r="T112" s="103"/>
      <c r="U112" s="88">
        <f t="shared" ref="U112:W114" si="75">TRUNC(T112*$H112,2)</f>
        <v>0</v>
      </c>
      <c r="V112" s="103"/>
      <c r="W112" s="88">
        <f t="shared" si="75"/>
        <v>0</v>
      </c>
      <c r="X112" s="10">
        <v>10.9</v>
      </c>
      <c r="Y112" s="3">
        <v>272.5</v>
      </c>
      <c r="Z112" s="3">
        <v>25</v>
      </c>
      <c r="AA112" s="3">
        <v>5</v>
      </c>
      <c r="AB112" s="3">
        <v>705635.65017045464</v>
      </c>
      <c r="AC112">
        <f t="shared" si="60"/>
        <v>0.90909090909090906</v>
      </c>
    </row>
    <row r="113" spans="1:29" ht="26.4" x14ac:dyDescent="0.25">
      <c r="A113" s="93" t="s">
        <v>316</v>
      </c>
      <c r="B113" s="8" t="s">
        <v>317</v>
      </c>
      <c r="C113" s="7" t="s">
        <v>26</v>
      </c>
      <c r="D113" s="7" t="s">
        <v>318</v>
      </c>
      <c r="E113" s="9" t="s">
        <v>29</v>
      </c>
      <c r="F113" s="10">
        <f t="shared" si="73"/>
        <v>12</v>
      </c>
      <c r="G113" s="11">
        <v>21.41</v>
      </c>
      <c r="H113" s="11">
        <f t="shared" si="59"/>
        <v>26.762499999999999</v>
      </c>
      <c r="I113" s="11">
        <f t="shared" si="69"/>
        <v>321.14999999999998</v>
      </c>
      <c r="J113" s="86">
        <f>I113/AB113</f>
        <v>4.5512156298002009E-4</v>
      </c>
      <c r="K113" s="109"/>
      <c r="L113" s="103"/>
      <c r="M113" s="88">
        <f t="shared" si="70"/>
        <v>0</v>
      </c>
      <c r="N113" s="103"/>
      <c r="O113" s="88">
        <f t="shared" si="70"/>
        <v>0</v>
      </c>
      <c r="P113" s="103"/>
      <c r="Q113" s="88">
        <f t="shared" si="74"/>
        <v>0</v>
      </c>
      <c r="R113" s="103"/>
      <c r="S113" s="88">
        <f t="shared" si="74"/>
        <v>0</v>
      </c>
      <c r="T113" s="103"/>
      <c r="U113" s="88">
        <f t="shared" si="75"/>
        <v>0</v>
      </c>
      <c r="V113" s="103"/>
      <c r="W113" s="88">
        <f t="shared" si="75"/>
        <v>0</v>
      </c>
      <c r="X113" s="10">
        <v>12</v>
      </c>
      <c r="Y113" s="3">
        <v>300</v>
      </c>
      <c r="Z113" s="3">
        <v>25</v>
      </c>
      <c r="AA113" s="3">
        <v>5</v>
      </c>
      <c r="AB113" s="3">
        <v>705635.65017045464</v>
      </c>
      <c r="AC113">
        <f t="shared" si="60"/>
        <v>0.90909090909090906</v>
      </c>
    </row>
    <row r="114" spans="1:29" ht="26.4" x14ac:dyDescent="0.25">
      <c r="A114" s="93" t="s">
        <v>319</v>
      </c>
      <c r="B114" s="8" t="s">
        <v>320</v>
      </c>
      <c r="C114" s="7" t="s">
        <v>26</v>
      </c>
      <c r="D114" s="7" t="s">
        <v>321</v>
      </c>
      <c r="E114" s="9" t="s">
        <v>29</v>
      </c>
      <c r="F114" s="10">
        <f t="shared" si="73"/>
        <v>0.5</v>
      </c>
      <c r="G114" s="11">
        <v>33.42</v>
      </c>
      <c r="H114" s="11">
        <f t="shared" si="59"/>
        <v>41.775000000000006</v>
      </c>
      <c r="I114" s="11">
        <f t="shared" si="69"/>
        <v>20.887500000000003</v>
      </c>
      <c r="J114" s="86">
        <f>I114/AB114</f>
        <v>2.9600970408672494E-5</v>
      </c>
      <c r="K114" s="109"/>
      <c r="L114" s="103"/>
      <c r="M114" s="88">
        <f t="shared" si="70"/>
        <v>0</v>
      </c>
      <c r="N114" s="103"/>
      <c r="O114" s="88">
        <f t="shared" si="70"/>
        <v>0</v>
      </c>
      <c r="P114" s="103"/>
      <c r="Q114" s="88">
        <f t="shared" si="74"/>
        <v>0</v>
      </c>
      <c r="R114" s="103"/>
      <c r="S114" s="88">
        <f t="shared" si="74"/>
        <v>0</v>
      </c>
      <c r="T114" s="103"/>
      <c r="U114" s="88">
        <f t="shared" si="75"/>
        <v>0</v>
      </c>
      <c r="V114" s="103"/>
      <c r="W114" s="88">
        <f t="shared" si="75"/>
        <v>0</v>
      </c>
      <c r="X114" s="10">
        <v>0.5</v>
      </c>
      <c r="Y114" s="3">
        <v>12.5</v>
      </c>
      <c r="Z114" s="3">
        <v>25</v>
      </c>
      <c r="AA114" s="3">
        <v>5</v>
      </c>
      <c r="AB114" s="3">
        <v>705635.65017045464</v>
      </c>
      <c r="AC114">
        <f t="shared" si="60"/>
        <v>0.90909090909090906</v>
      </c>
    </row>
    <row r="115" spans="1:29" x14ac:dyDescent="0.25">
      <c r="A115" s="92" t="s">
        <v>322</v>
      </c>
      <c r="B115" s="4"/>
      <c r="C115" s="4"/>
      <c r="D115" s="4" t="s">
        <v>323</v>
      </c>
      <c r="E115" s="4"/>
      <c r="F115" s="10">
        <f t="shared" ref="F115:F127" si="76">Y115/Z115*AA115</f>
        <v>0</v>
      </c>
      <c r="G115" s="4"/>
      <c r="H115" s="11">
        <f t="shared" si="59"/>
        <v>0</v>
      </c>
      <c r="I115" s="6">
        <f>SUM(I116:I126)</f>
        <v>3178.2699999999995</v>
      </c>
      <c r="J115" s="85">
        <f>I115/AB115</f>
        <v>4.5041233379184437E-3</v>
      </c>
      <c r="K115" s="108"/>
      <c r="L115" s="116"/>
      <c r="M115" s="117"/>
      <c r="N115" s="116"/>
      <c r="O115" s="117"/>
      <c r="P115" s="116"/>
      <c r="Q115" s="117"/>
      <c r="R115" s="116"/>
      <c r="S115" s="117"/>
      <c r="T115" s="116"/>
      <c r="U115" s="117"/>
      <c r="V115" s="116"/>
      <c r="W115" s="117"/>
      <c r="X115" s="10"/>
      <c r="Z115" s="3">
        <v>25</v>
      </c>
      <c r="AA115" s="3">
        <v>5</v>
      </c>
      <c r="AB115" s="3">
        <v>705635.65017045464</v>
      </c>
      <c r="AC115">
        <f t="shared" si="60"/>
        <v>0.90909090909090906</v>
      </c>
    </row>
    <row r="116" spans="1:29" ht="39.6" x14ac:dyDescent="0.25">
      <c r="A116" s="93" t="s">
        <v>324</v>
      </c>
      <c r="B116" s="8" t="s">
        <v>325</v>
      </c>
      <c r="C116" s="7" t="s">
        <v>26</v>
      </c>
      <c r="D116" s="7" t="s">
        <v>326</v>
      </c>
      <c r="E116" s="9" t="s">
        <v>208</v>
      </c>
      <c r="F116" s="10">
        <f>Y116/Z116</f>
        <v>3</v>
      </c>
      <c r="G116" s="11">
        <v>11.62</v>
      </c>
      <c r="H116" s="11">
        <f t="shared" si="59"/>
        <v>14.524999999999999</v>
      </c>
      <c r="I116" s="11">
        <f t="shared" ref="I116:I126" si="77">F116*H116</f>
        <v>43.574999999999996</v>
      </c>
      <c r="J116" s="86">
        <f>I116/AB116</f>
        <v>6.1752832342688385E-5</v>
      </c>
      <c r="K116" s="109"/>
      <c r="L116" s="103"/>
      <c r="M116" s="88">
        <f t="shared" ref="M116:O126" si="78">TRUNC(L116*$H116,2)</f>
        <v>0</v>
      </c>
      <c r="N116" s="103"/>
      <c r="O116" s="88">
        <f t="shared" si="78"/>
        <v>0</v>
      </c>
      <c r="P116" s="103"/>
      <c r="Q116" s="88">
        <f t="shared" ref="Q116:S126" si="79">TRUNC(P116*$H116,2)</f>
        <v>0</v>
      </c>
      <c r="R116" s="103">
        <v>75</v>
      </c>
      <c r="S116" s="88">
        <f t="shared" si="79"/>
        <v>1089.3699999999999</v>
      </c>
      <c r="T116" s="103"/>
      <c r="U116" s="88">
        <f t="shared" ref="U116:W126" si="80">TRUNC(T116*$H116,2)</f>
        <v>0</v>
      </c>
      <c r="V116" s="103"/>
      <c r="W116" s="88">
        <f t="shared" si="80"/>
        <v>0</v>
      </c>
      <c r="X116" s="10">
        <v>3</v>
      </c>
      <c r="Y116" s="3">
        <v>75</v>
      </c>
      <c r="Z116" s="3">
        <v>25</v>
      </c>
      <c r="AA116" s="3">
        <v>5</v>
      </c>
      <c r="AB116" s="3">
        <v>705635.65017045464</v>
      </c>
      <c r="AC116">
        <f t="shared" si="60"/>
        <v>0.90909090909090906</v>
      </c>
    </row>
    <row r="117" spans="1:29" ht="39.6" x14ac:dyDescent="0.25">
      <c r="A117" s="93" t="s">
        <v>327</v>
      </c>
      <c r="B117" s="8" t="s">
        <v>328</v>
      </c>
      <c r="C117" s="7" t="s">
        <v>26</v>
      </c>
      <c r="D117" s="7" t="s">
        <v>329</v>
      </c>
      <c r="E117" s="9" t="s">
        <v>208</v>
      </c>
      <c r="F117" s="10">
        <f>Y117/Z117</f>
        <v>2</v>
      </c>
      <c r="G117" s="11">
        <v>17.28</v>
      </c>
      <c r="H117" s="11">
        <f t="shared" si="59"/>
        <v>21.6</v>
      </c>
      <c r="I117" s="11">
        <f t="shared" si="77"/>
        <v>43.2</v>
      </c>
      <c r="J117" s="86">
        <f>I117/AB117</f>
        <v>6.1221396608241842E-5</v>
      </c>
      <c r="K117" s="109"/>
      <c r="L117" s="103"/>
      <c r="M117" s="88">
        <f t="shared" si="78"/>
        <v>0</v>
      </c>
      <c r="N117" s="103"/>
      <c r="O117" s="88">
        <f t="shared" si="78"/>
        <v>0</v>
      </c>
      <c r="P117" s="103"/>
      <c r="Q117" s="88">
        <f t="shared" si="79"/>
        <v>0</v>
      </c>
      <c r="R117" s="103">
        <v>50</v>
      </c>
      <c r="S117" s="88">
        <f t="shared" si="79"/>
        <v>1080</v>
      </c>
      <c r="T117" s="103"/>
      <c r="U117" s="88">
        <f t="shared" si="80"/>
        <v>0</v>
      </c>
      <c r="V117" s="103"/>
      <c r="W117" s="88">
        <f t="shared" si="80"/>
        <v>0</v>
      </c>
      <c r="X117" s="10">
        <v>2</v>
      </c>
      <c r="Y117" s="3">
        <v>50</v>
      </c>
      <c r="Z117" s="3">
        <v>25</v>
      </c>
      <c r="AA117" s="3">
        <v>5</v>
      </c>
      <c r="AB117" s="3">
        <v>705635.65017045464</v>
      </c>
      <c r="AC117">
        <f t="shared" si="60"/>
        <v>0.90909090909090906</v>
      </c>
    </row>
    <row r="118" spans="1:29" ht="39.6" x14ac:dyDescent="0.25">
      <c r="A118" s="93" t="s">
        <v>330</v>
      </c>
      <c r="B118" s="8" t="s">
        <v>331</v>
      </c>
      <c r="C118" s="7" t="s">
        <v>26</v>
      </c>
      <c r="D118" s="7" t="s">
        <v>332</v>
      </c>
      <c r="E118" s="9" t="s">
        <v>208</v>
      </c>
      <c r="F118" s="10">
        <f>Y118/Z118</f>
        <v>2</v>
      </c>
      <c r="G118" s="11">
        <v>11.38</v>
      </c>
      <c r="H118" s="11">
        <f t="shared" si="59"/>
        <v>14.225000000000001</v>
      </c>
      <c r="I118" s="11">
        <f t="shared" si="77"/>
        <v>28.450000000000003</v>
      </c>
      <c r="J118" s="86">
        <f>I118/AB118</f>
        <v>4.0318257720011126E-5</v>
      </c>
      <c r="K118" s="109"/>
      <c r="L118" s="103"/>
      <c r="M118" s="88">
        <f t="shared" si="78"/>
        <v>0</v>
      </c>
      <c r="N118" s="103"/>
      <c r="O118" s="88">
        <f t="shared" si="78"/>
        <v>0</v>
      </c>
      <c r="P118" s="103"/>
      <c r="Q118" s="88">
        <f t="shared" si="79"/>
        <v>0</v>
      </c>
      <c r="R118" s="103">
        <v>50</v>
      </c>
      <c r="S118" s="88">
        <f t="shared" si="79"/>
        <v>711.25</v>
      </c>
      <c r="T118" s="103"/>
      <c r="U118" s="88">
        <f t="shared" si="80"/>
        <v>0</v>
      </c>
      <c r="V118" s="103"/>
      <c r="W118" s="88">
        <f t="shared" si="80"/>
        <v>0</v>
      </c>
      <c r="X118" s="10">
        <v>23</v>
      </c>
      <c r="Y118" s="3">
        <v>50</v>
      </c>
      <c r="Z118" s="3">
        <v>25</v>
      </c>
      <c r="AA118" s="3">
        <v>5</v>
      </c>
      <c r="AB118" s="3">
        <v>705635.65017045464</v>
      </c>
      <c r="AC118">
        <f t="shared" si="60"/>
        <v>0.90909090909090906</v>
      </c>
    </row>
    <row r="119" spans="1:29" ht="39.6" x14ac:dyDescent="0.25">
      <c r="A119" s="93" t="s">
        <v>333</v>
      </c>
      <c r="B119" s="8" t="s">
        <v>334</v>
      </c>
      <c r="C119" s="7" t="s">
        <v>26</v>
      </c>
      <c r="D119" s="7" t="s">
        <v>335</v>
      </c>
      <c r="E119" s="9" t="s">
        <v>208</v>
      </c>
      <c r="F119" s="10">
        <f>Y119/Z119</f>
        <v>9</v>
      </c>
      <c r="G119" s="11">
        <v>16.5</v>
      </c>
      <c r="H119" s="11">
        <f t="shared" si="59"/>
        <v>20.625</v>
      </c>
      <c r="I119" s="11">
        <f t="shared" si="77"/>
        <v>185.625</v>
      </c>
      <c r="J119" s="86">
        <f>I119/AB119</f>
        <v>2.6306068855103918E-4</v>
      </c>
      <c r="K119" s="109"/>
      <c r="L119" s="103"/>
      <c r="M119" s="88">
        <f t="shared" si="78"/>
        <v>0</v>
      </c>
      <c r="N119" s="103"/>
      <c r="O119" s="88">
        <f t="shared" si="78"/>
        <v>0</v>
      </c>
      <c r="P119" s="103"/>
      <c r="Q119" s="88">
        <f t="shared" si="79"/>
        <v>0</v>
      </c>
      <c r="R119" s="103">
        <v>225</v>
      </c>
      <c r="S119" s="88">
        <f t="shared" si="79"/>
        <v>4640.62</v>
      </c>
      <c r="T119" s="103"/>
      <c r="U119" s="88">
        <f t="shared" si="80"/>
        <v>0</v>
      </c>
      <c r="V119" s="103"/>
      <c r="W119" s="88">
        <f t="shared" si="80"/>
        <v>0</v>
      </c>
      <c r="X119" s="10">
        <v>9</v>
      </c>
      <c r="Y119" s="3">
        <v>225</v>
      </c>
      <c r="Z119" s="3">
        <v>25</v>
      </c>
      <c r="AA119" s="3">
        <v>5</v>
      </c>
      <c r="AB119" s="3">
        <v>705635.65017045464</v>
      </c>
      <c r="AC119">
        <f t="shared" si="60"/>
        <v>0.90909090909090906</v>
      </c>
    </row>
    <row r="120" spans="1:29" ht="39.6" x14ac:dyDescent="0.25">
      <c r="A120" s="93" t="s">
        <v>336</v>
      </c>
      <c r="B120" s="8" t="s">
        <v>337</v>
      </c>
      <c r="C120" s="7" t="s">
        <v>26</v>
      </c>
      <c r="D120" s="7" t="s">
        <v>338</v>
      </c>
      <c r="E120" s="9" t="s">
        <v>208</v>
      </c>
      <c r="F120" s="10">
        <f>Y120/Z120*2</f>
        <v>2</v>
      </c>
      <c r="G120" s="11">
        <v>30.06</v>
      </c>
      <c r="H120" s="11">
        <f t="shared" si="59"/>
        <v>37.574999999999996</v>
      </c>
      <c r="I120" s="11">
        <f t="shared" si="77"/>
        <v>75.149999999999991</v>
      </c>
      <c r="J120" s="86">
        <f>I120/AB120</f>
        <v>1.0649972118308737E-4</v>
      </c>
      <c r="K120" s="109"/>
      <c r="L120" s="103"/>
      <c r="M120" s="88">
        <f t="shared" si="78"/>
        <v>0</v>
      </c>
      <c r="N120" s="103"/>
      <c r="O120" s="88">
        <f t="shared" si="78"/>
        <v>0</v>
      </c>
      <c r="P120" s="103"/>
      <c r="Q120" s="88">
        <f t="shared" si="79"/>
        <v>0</v>
      </c>
      <c r="R120" s="103">
        <v>25</v>
      </c>
      <c r="S120" s="88">
        <f t="shared" si="79"/>
        <v>939.37</v>
      </c>
      <c r="T120" s="103"/>
      <c r="U120" s="88">
        <f t="shared" si="80"/>
        <v>0</v>
      </c>
      <c r="V120" s="103"/>
      <c r="W120" s="88">
        <f t="shared" si="80"/>
        <v>0</v>
      </c>
      <c r="X120" s="10">
        <v>2</v>
      </c>
      <c r="Y120" s="3">
        <v>25</v>
      </c>
      <c r="Z120" s="3">
        <v>25</v>
      </c>
      <c r="AA120" s="3">
        <v>5</v>
      </c>
      <c r="AB120" s="3">
        <v>705635.65017045464</v>
      </c>
      <c r="AC120">
        <f t="shared" si="60"/>
        <v>0.90909090909090906</v>
      </c>
    </row>
    <row r="121" spans="1:29" ht="39.6" x14ac:dyDescent="0.25">
      <c r="A121" s="93" t="s">
        <v>339</v>
      </c>
      <c r="B121" s="8" t="s">
        <v>340</v>
      </c>
      <c r="C121" s="7" t="s">
        <v>26</v>
      </c>
      <c r="D121" s="7" t="s">
        <v>341</v>
      </c>
      <c r="E121" s="9" t="s">
        <v>29</v>
      </c>
      <c r="F121" s="10">
        <f>Y121/Z121</f>
        <v>3.3</v>
      </c>
      <c r="G121" s="11">
        <v>24.36</v>
      </c>
      <c r="H121" s="11">
        <f t="shared" si="59"/>
        <v>30.45</v>
      </c>
      <c r="I121" s="11">
        <f t="shared" si="77"/>
        <v>100.48499999999999</v>
      </c>
      <c r="J121" s="86">
        <f>I121/AB121</f>
        <v>1.4240351940229584E-4</v>
      </c>
      <c r="K121" s="109"/>
      <c r="L121" s="103"/>
      <c r="M121" s="88">
        <f t="shared" si="78"/>
        <v>0</v>
      </c>
      <c r="N121" s="103"/>
      <c r="O121" s="88">
        <f t="shared" si="78"/>
        <v>0</v>
      </c>
      <c r="P121" s="103"/>
      <c r="Q121" s="88">
        <f t="shared" si="79"/>
        <v>0</v>
      </c>
      <c r="R121" s="103">
        <v>82.5</v>
      </c>
      <c r="S121" s="88">
        <f t="shared" si="79"/>
        <v>2512.12</v>
      </c>
      <c r="T121" s="103"/>
      <c r="U121" s="88">
        <f t="shared" si="80"/>
        <v>0</v>
      </c>
      <c r="V121" s="103"/>
      <c r="W121" s="88">
        <f t="shared" si="80"/>
        <v>0</v>
      </c>
      <c r="X121" s="10">
        <v>3</v>
      </c>
      <c r="Y121" s="3">
        <v>82.5</v>
      </c>
      <c r="Z121" s="3">
        <v>25</v>
      </c>
      <c r="AA121" s="3">
        <v>5</v>
      </c>
      <c r="AB121" s="3">
        <v>705635.65017045464</v>
      </c>
      <c r="AC121">
        <f t="shared" si="60"/>
        <v>0.90909090909090906</v>
      </c>
    </row>
    <row r="122" spans="1:29" ht="39.6" x14ac:dyDescent="0.25">
      <c r="A122" s="93" t="s">
        <v>342</v>
      </c>
      <c r="B122" s="8" t="s">
        <v>343</v>
      </c>
      <c r="C122" s="7" t="s">
        <v>26</v>
      </c>
      <c r="D122" s="7" t="s">
        <v>344</v>
      </c>
      <c r="E122" s="9" t="s">
        <v>29</v>
      </c>
      <c r="F122" s="10">
        <f>Y122/Z122</f>
        <v>10.199999999999999</v>
      </c>
      <c r="G122" s="11">
        <v>30.64</v>
      </c>
      <c r="H122" s="11">
        <f t="shared" si="59"/>
        <v>38.299999999999997</v>
      </c>
      <c r="I122" s="11">
        <f t="shared" si="77"/>
        <v>390.65999999999997</v>
      </c>
      <c r="J122" s="86">
        <f>I122/AB122</f>
        <v>5.5362849071703137E-4</v>
      </c>
      <c r="K122" s="109"/>
      <c r="L122" s="103"/>
      <c r="M122" s="88">
        <f t="shared" si="78"/>
        <v>0</v>
      </c>
      <c r="N122" s="103"/>
      <c r="O122" s="88">
        <f t="shared" si="78"/>
        <v>0</v>
      </c>
      <c r="P122" s="103"/>
      <c r="Q122" s="88">
        <f t="shared" si="79"/>
        <v>0</v>
      </c>
      <c r="R122" s="103">
        <v>255</v>
      </c>
      <c r="S122" s="88">
        <f t="shared" si="79"/>
        <v>9766.5</v>
      </c>
      <c r="T122" s="103"/>
      <c r="U122" s="88">
        <f t="shared" si="80"/>
        <v>0</v>
      </c>
      <c r="V122" s="103"/>
      <c r="W122" s="88">
        <f t="shared" si="80"/>
        <v>0</v>
      </c>
      <c r="X122" s="10">
        <v>10.199999999999999</v>
      </c>
      <c r="Y122" s="3">
        <v>255</v>
      </c>
      <c r="Z122" s="3">
        <v>25</v>
      </c>
      <c r="AA122" s="3">
        <v>5</v>
      </c>
      <c r="AB122" s="3">
        <v>705635.65017045464</v>
      </c>
      <c r="AC122">
        <f t="shared" si="60"/>
        <v>0.90909090909090906</v>
      </c>
    </row>
    <row r="123" spans="1:29" ht="39.6" x14ac:dyDescent="0.25">
      <c r="A123" s="93" t="s">
        <v>345</v>
      </c>
      <c r="B123" s="8" t="s">
        <v>346</v>
      </c>
      <c r="C123" s="7" t="s">
        <v>26</v>
      </c>
      <c r="D123" s="7" t="s">
        <v>347</v>
      </c>
      <c r="E123" s="9" t="s">
        <v>29</v>
      </c>
      <c r="F123" s="10">
        <f>Y123/Z123</f>
        <v>4</v>
      </c>
      <c r="G123" s="11">
        <v>14.61</v>
      </c>
      <c r="H123" s="11">
        <f t="shared" si="59"/>
        <v>18.262499999999999</v>
      </c>
      <c r="I123" s="11">
        <f t="shared" si="77"/>
        <v>73.05</v>
      </c>
      <c r="J123" s="86">
        <f>I123/AB123</f>
        <v>1.0352368107018673E-4</v>
      </c>
      <c r="K123" s="109"/>
      <c r="L123" s="103"/>
      <c r="M123" s="88">
        <f t="shared" si="78"/>
        <v>0</v>
      </c>
      <c r="N123" s="103"/>
      <c r="O123" s="88">
        <f t="shared" si="78"/>
        <v>0</v>
      </c>
      <c r="P123" s="103"/>
      <c r="Q123" s="88">
        <f t="shared" si="79"/>
        <v>0</v>
      </c>
      <c r="R123" s="103">
        <v>100</v>
      </c>
      <c r="S123" s="88">
        <f t="shared" si="79"/>
        <v>1826.25</v>
      </c>
      <c r="T123" s="103"/>
      <c r="U123" s="88">
        <f t="shared" si="80"/>
        <v>0</v>
      </c>
      <c r="V123" s="103"/>
      <c r="W123" s="88">
        <f t="shared" si="80"/>
        <v>0</v>
      </c>
      <c r="X123" s="10">
        <v>4</v>
      </c>
      <c r="Y123" s="3">
        <v>100</v>
      </c>
      <c r="Z123" s="3">
        <v>25</v>
      </c>
      <c r="AA123" s="3">
        <v>5</v>
      </c>
      <c r="AB123" s="3">
        <v>705635.65017045464</v>
      </c>
      <c r="AC123">
        <f t="shared" si="60"/>
        <v>0.90909090909090906</v>
      </c>
    </row>
    <row r="124" spans="1:29" ht="39.6" x14ac:dyDescent="0.25">
      <c r="A124" s="93" t="s">
        <v>348</v>
      </c>
      <c r="B124" s="8" t="s">
        <v>349</v>
      </c>
      <c r="C124" s="7" t="s">
        <v>26</v>
      </c>
      <c r="D124" s="7" t="s">
        <v>350</v>
      </c>
      <c r="E124" s="9" t="s">
        <v>29</v>
      </c>
      <c r="F124" s="10">
        <f>Y124/Z124</f>
        <v>26.4</v>
      </c>
      <c r="G124" s="11">
        <v>42.65</v>
      </c>
      <c r="H124" s="11">
        <f t="shared" si="59"/>
        <v>53.3125</v>
      </c>
      <c r="I124" s="11">
        <f t="shared" si="77"/>
        <v>1407.4499999999998</v>
      </c>
      <c r="J124" s="86">
        <f>I124/AB124</f>
        <v>1.9945845985247677E-3</v>
      </c>
      <c r="K124" s="109"/>
      <c r="L124" s="103"/>
      <c r="M124" s="88">
        <f t="shared" si="78"/>
        <v>0</v>
      </c>
      <c r="N124" s="103"/>
      <c r="O124" s="88">
        <f t="shared" si="78"/>
        <v>0</v>
      </c>
      <c r="P124" s="103"/>
      <c r="Q124" s="88">
        <f t="shared" si="79"/>
        <v>0</v>
      </c>
      <c r="R124" s="103">
        <v>660</v>
      </c>
      <c r="S124" s="88">
        <f t="shared" si="79"/>
        <v>35186.25</v>
      </c>
      <c r="T124" s="103"/>
      <c r="U124" s="88">
        <f t="shared" si="80"/>
        <v>0</v>
      </c>
      <c r="V124" s="103"/>
      <c r="W124" s="88">
        <f t="shared" si="80"/>
        <v>0</v>
      </c>
      <c r="X124" s="10">
        <v>26.4</v>
      </c>
      <c r="Y124" s="3">
        <v>660</v>
      </c>
      <c r="Z124" s="3">
        <v>25</v>
      </c>
      <c r="AA124" s="3">
        <v>5</v>
      </c>
      <c r="AB124" s="3">
        <v>705635.65017045464</v>
      </c>
      <c r="AC124">
        <f t="shared" si="60"/>
        <v>0.90909090909090906</v>
      </c>
    </row>
    <row r="125" spans="1:29" ht="39.6" x14ac:dyDescent="0.25">
      <c r="A125" s="93" t="s">
        <v>351</v>
      </c>
      <c r="B125" s="8" t="s">
        <v>352</v>
      </c>
      <c r="C125" s="7" t="s">
        <v>26</v>
      </c>
      <c r="D125" s="7" t="s">
        <v>353</v>
      </c>
      <c r="E125" s="9" t="s">
        <v>208</v>
      </c>
      <c r="F125" s="10">
        <v>1</v>
      </c>
      <c r="G125" s="11">
        <v>643.37</v>
      </c>
      <c r="H125" s="11">
        <f t="shared" si="59"/>
        <v>804.21249999999998</v>
      </c>
      <c r="I125" s="11">
        <f t="shared" si="77"/>
        <v>804.21249999999998</v>
      </c>
      <c r="J125" s="86">
        <f>I125/AB125</f>
        <v>1.1396993615695762E-3</v>
      </c>
      <c r="K125" s="109"/>
      <c r="L125" s="103"/>
      <c r="M125" s="88">
        <f t="shared" si="78"/>
        <v>0</v>
      </c>
      <c r="N125" s="103"/>
      <c r="O125" s="88">
        <f t="shared" si="78"/>
        <v>0</v>
      </c>
      <c r="P125" s="103"/>
      <c r="Q125" s="88">
        <f t="shared" si="79"/>
        <v>0</v>
      </c>
      <c r="R125" s="103">
        <v>125</v>
      </c>
      <c r="S125" s="88">
        <f t="shared" si="79"/>
        <v>100526.56</v>
      </c>
      <c r="T125" s="103"/>
      <c r="U125" s="88">
        <f t="shared" si="80"/>
        <v>0</v>
      </c>
      <c r="V125" s="103"/>
      <c r="W125" s="88">
        <f t="shared" si="80"/>
        <v>0</v>
      </c>
      <c r="X125" s="10">
        <v>1</v>
      </c>
      <c r="Y125" s="3">
        <v>125</v>
      </c>
      <c r="Z125" s="3">
        <v>25</v>
      </c>
      <c r="AA125" s="3">
        <v>5</v>
      </c>
      <c r="AB125" s="3">
        <v>705635.65017045464</v>
      </c>
      <c r="AC125">
        <f t="shared" si="60"/>
        <v>0.90909090909090906</v>
      </c>
    </row>
    <row r="126" spans="1:29" ht="39.6" x14ac:dyDescent="0.25">
      <c r="A126" s="93" t="s">
        <v>354</v>
      </c>
      <c r="B126" s="8" t="s">
        <v>355</v>
      </c>
      <c r="C126" s="7" t="s">
        <v>26</v>
      </c>
      <c r="D126" s="7" t="s">
        <v>356</v>
      </c>
      <c r="E126" s="9" t="s">
        <v>208</v>
      </c>
      <c r="F126" s="10">
        <v>1</v>
      </c>
      <c r="G126" s="11">
        <v>21.13</v>
      </c>
      <c r="H126" s="11">
        <f t="shared" si="59"/>
        <v>26.412499999999998</v>
      </c>
      <c r="I126" s="11">
        <f t="shared" si="77"/>
        <v>26.412499999999998</v>
      </c>
      <c r="J126" s="86">
        <f>I126/AB126</f>
        <v>3.7430790229518234E-5</v>
      </c>
      <c r="K126" s="109"/>
      <c r="L126" s="103"/>
      <c r="M126" s="88">
        <f t="shared" si="78"/>
        <v>0</v>
      </c>
      <c r="N126" s="103"/>
      <c r="O126" s="88">
        <f t="shared" si="78"/>
        <v>0</v>
      </c>
      <c r="P126" s="103"/>
      <c r="Q126" s="88">
        <f t="shared" si="79"/>
        <v>0</v>
      </c>
      <c r="R126" s="103">
        <v>25</v>
      </c>
      <c r="S126" s="88">
        <f t="shared" si="79"/>
        <v>660.31</v>
      </c>
      <c r="T126" s="103"/>
      <c r="U126" s="88">
        <f t="shared" si="80"/>
        <v>0</v>
      </c>
      <c r="V126" s="103"/>
      <c r="W126" s="88">
        <f t="shared" si="80"/>
        <v>0</v>
      </c>
      <c r="X126" s="10">
        <v>1</v>
      </c>
      <c r="Y126" s="3">
        <v>25</v>
      </c>
      <c r="Z126" s="3">
        <v>25</v>
      </c>
      <c r="AA126" s="3">
        <v>5</v>
      </c>
      <c r="AB126" s="3">
        <v>705635.65017045464</v>
      </c>
      <c r="AC126">
        <f t="shared" si="60"/>
        <v>0.90909090909090906</v>
      </c>
    </row>
    <row r="127" spans="1:29" x14ac:dyDescent="0.25">
      <c r="A127" s="92" t="s">
        <v>357</v>
      </c>
      <c r="B127" s="4"/>
      <c r="C127" s="4"/>
      <c r="D127" s="4" t="s">
        <v>358</v>
      </c>
      <c r="E127" s="4"/>
      <c r="F127" s="10">
        <f t="shared" si="76"/>
        <v>0</v>
      </c>
      <c r="G127" s="4"/>
      <c r="H127" s="11">
        <f t="shared" si="59"/>
        <v>0</v>
      </c>
      <c r="I127" s="6">
        <f>SUM(I128:I129)</f>
        <v>1236.1125</v>
      </c>
      <c r="J127" s="85">
        <f>I127/AB127</f>
        <v>1.7517716114561423E-3</v>
      </c>
      <c r="K127" s="108"/>
      <c r="L127" s="116"/>
      <c r="M127" s="117"/>
      <c r="N127" s="116"/>
      <c r="O127" s="117"/>
      <c r="P127" s="116"/>
      <c r="Q127" s="117"/>
      <c r="R127" s="116"/>
      <c r="S127" s="117"/>
      <c r="T127" s="116"/>
      <c r="U127" s="117"/>
      <c r="V127" s="116"/>
      <c r="W127" s="117"/>
      <c r="X127" s="10"/>
      <c r="Z127" s="3">
        <v>25</v>
      </c>
      <c r="AA127" s="3">
        <v>5</v>
      </c>
      <c r="AB127" s="3">
        <v>705635.65017045464</v>
      </c>
      <c r="AC127">
        <f t="shared" si="60"/>
        <v>0.90909090909090906</v>
      </c>
    </row>
    <row r="128" spans="1:29" ht="52.8" x14ac:dyDescent="0.25">
      <c r="A128" s="93" t="s">
        <v>359</v>
      </c>
      <c r="B128" s="8" t="s">
        <v>360</v>
      </c>
      <c r="C128" s="7" t="s">
        <v>26</v>
      </c>
      <c r="D128" s="7" t="s">
        <v>361</v>
      </c>
      <c r="E128" s="9" t="s">
        <v>208</v>
      </c>
      <c r="F128" s="10">
        <v>1</v>
      </c>
      <c r="G128" s="11">
        <v>411.85</v>
      </c>
      <c r="H128" s="11">
        <f t="shared" si="59"/>
        <v>514.8125</v>
      </c>
      <c r="I128" s="11">
        <f t="shared" ref="I128:I129" si="81">F128*H128</f>
        <v>514.8125</v>
      </c>
      <c r="J128" s="86">
        <f>I128/AB128</f>
        <v>7.2957269077269691E-4</v>
      </c>
      <c r="K128" s="109"/>
      <c r="L128" s="103"/>
      <c r="M128" s="88">
        <f t="shared" ref="M128:O129" si="82">TRUNC(L128*$H128,2)</f>
        <v>0</v>
      </c>
      <c r="N128" s="103"/>
      <c r="O128" s="88">
        <f t="shared" si="82"/>
        <v>0</v>
      </c>
      <c r="P128" s="103"/>
      <c r="Q128" s="88">
        <f t="shared" ref="Q128:S129" si="83">TRUNC(P128*$H128,2)</f>
        <v>0</v>
      </c>
      <c r="R128" s="103"/>
      <c r="S128" s="88">
        <f t="shared" si="83"/>
        <v>0</v>
      </c>
      <c r="T128" s="103"/>
      <c r="U128" s="88">
        <f t="shared" ref="U128:W129" si="84">TRUNC(T128*$H128,2)</f>
        <v>0</v>
      </c>
      <c r="V128" s="103"/>
      <c r="W128" s="88">
        <f t="shared" si="84"/>
        <v>0</v>
      </c>
      <c r="X128" s="10">
        <v>1</v>
      </c>
      <c r="Y128" s="3">
        <v>25</v>
      </c>
      <c r="Z128" s="3">
        <v>25</v>
      </c>
      <c r="AA128" s="3">
        <v>5</v>
      </c>
      <c r="AB128" s="3">
        <v>705635.65017045464</v>
      </c>
      <c r="AC128">
        <f t="shared" si="60"/>
        <v>0.90909090909090906</v>
      </c>
    </row>
    <row r="129" spans="1:29" ht="39.6" x14ac:dyDescent="0.25">
      <c r="A129" s="93" t="s">
        <v>362</v>
      </c>
      <c r="B129" s="8" t="s">
        <v>363</v>
      </c>
      <c r="C129" s="7" t="s">
        <v>26</v>
      </c>
      <c r="D129" s="7" t="s">
        <v>364</v>
      </c>
      <c r="E129" s="9" t="s">
        <v>208</v>
      </c>
      <c r="F129" s="10">
        <v>1</v>
      </c>
      <c r="G129" s="11">
        <v>577.04</v>
      </c>
      <c r="H129" s="11">
        <f t="shared" si="59"/>
        <v>721.3</v>
      </c>
      <c r="I129" s="11">
        <f t="shared" si="81"/>
        <v>721.3</v>
      </c>
      <c r="J129" s="86">
        <f>I129/AB129</f>
        <v>1.0221989206834453E-3</v>
      </c>
      <c r="K129" s="109"/>
      <c r="L129" s="103"/>
      <c r="M129" s="88">
        <f t="shared" si="82"/>
        <v>0</v>
      </c>
      <c r="N129" s="103"/>
      <c r="O129" s="88">
        <f t="shared" si="82"/>
        <v>0</v>
      </c>
      <c r="P129" s="103"/>
      <c r="Q129" s="88">
        <f t="shared" si="83"/>
        <v>0</v>
      </c>
      <c r="R129" s="103"/>
      <c r="S129" s="88">
        <f t="shared" si="83"/>
        <v>0</v>
      </c>
      <c r="T129" s="103"/>
      <c r="U129" s="88">
        <f t="shared" si="84"/>
        <v>0</v>
      </c>
      <c r="V129" s="103"/>
      <c r="W129" s="88">
        <f t="shared" si="84"/>
        <v>0</v>
      </c>
      <c r="X129" s="10">
        <v>1</v>
      </c>
      <c r="Y129" s="3">
        <v>25</v>
      </c>
      <c r="Z129" s="3">
        <v>25</v>
      </c>
      <c r="AA129" s="3">
        <v>5</v>
      </c>
      <c r="AB129" s="3">
        <v>705635.65017045464</v>
      </c>
      <c r="AC129">
        <f t="shared" si="60"/>
        <v>0.90909090909090906</v>
      </c>
    </row>
    <row r="130" spans="1:29" ht="14.4" hidden="1" thickBot="1" x14ac:dyDescent="0.3">
      <c r="A130" s="95"/>
      <c r="B130" s="96"/>
      <c r="C130" s="96"/>
      <c r="D130" s="96"/>
      <c r="E130" s="96"/>
      <c r="F130" s="97"/>
      <c r="G130" s="96"/>
      <c r="H130" s="96"/>
      <c r="I130" s="96"/>
      <c r="J130" s="96"/>
      <c r="K130" s="111"/>
      <c r="L130" s="103"/>
      <c r="M130" s="88"/>
      <c r="N130" s="103"/>
      <c r="O130" s="88"/>
      <c r="P130" s="103"/>
      <c r="Q130" s="88"/>
      <c r="R130" s="103"/>
      <c r="S130" s="88"/>
      <c r="T130" s="103"/>
      <c r="U130" s="88"/>
      <c r="V130" s="103"/>
      <c r="W130" s="88"/>
      <c r="X130" s="325"/>
      <c r="Z130" s="3">
        <v>25</v>
      </c>
      <c r="AA130" s="3">
        <v>5</v>
      </c>
      <c r="AC130">
        <f t="shared" si="60"/>
        <v>0.90909090909090906</v>
      </c>
    </row>
    <row r="131" spans="1:29" ht="14.4" hidden="1" thickBot="1" x14ac:dyDescent="0.3">
      <c r="A131" s="280"/>
      <c r="B131" s="281"/>
      <c r="C131" s="281"/>
      <c r="D131" s="99"/>
      <c r="E131" s="98"/>
      <c r="F131" s="282" t="s">
        <v>365</v>
      </c>
      <c r="G131" s="281"/>
      <c r="H131" s="283">
        <v>2710706.23</v>
      </c>
      <c r="I131" s="281"/>
      <c r="J131" s="281"/>
      <c r="K131" s="112"/>
      <c r="L131" s="103"/>
      <c r="M131" s="88"/>
      <c r="N131" s="103"/>
      <c r="O131" s="88"/>
      <c r="P131" s="103"/>
      <c r="Q131" s="88"/>
      <c r="R131" s="103"/>
      <c r="S131" s="88"/>
      <c r="T131" s="103"/>
      <c r="U131" s="88"/>
      <c r="V131" s="103"/>
      <c r="W131" s="88"/>
      <c r="X131" s="325"/>
      <c r="Z131" s="3">
        <v>25</v>
      </c>
      <c r="AA131" s="3">
        <v>5</v>
      </c>
      <c r="AC131">
        <f t="shared" si="60"/>
        <v>0.90909090909090906</v>
      </c>
    </row>
    <row r="132" spans="1:29" ht="14.4" hidden="1" thickBot="1" x14ac:dyDescent="0.3">
      <c r="A132" s="280"/>
      <c r="B132" s="281"/>
      <c r="C132" s="281"/>
      <c r="D132" s="99"/>
      <c r="E132" s="98"/>
      <c r="F132" s="282" t="s">
        <v>366</v>
      </c>
      <c r="G132" s="281"/>
      <c r="H132" s="283">
        <v>555722.74</v>
      </c>
      <c r="I132" s="281"/>
      <c r="J132" s="281"/>
      <c r="K132" s="112"/>
      <c r="L132" s="104"/>
      <c r="M132" s="89"/>
      <c r="N132" s="104"/>
      <c r="O132" s="89"/>
      <c r="P132" s="104"/>
      <c r="Q132" s="89"/>
      <c r="R132" s="104"/>
      <c r="S132" s="89"/>
      <c r="T132" s="104"/>
      <c r="U132" s="89"/>
      <c r="V132" s="104"/>
      <c r="W132" s="89"/>
      <c r="X132" s="325"/>
      <c r="Z132" s="3">
        <v>25</v>
      </c>
      <c r="AA132" s="3">
        <v>5</v>
      </c>
      <c r="AC132">
        <f t="shared" si="60"/>
        <v>0.90909090909090906</v>
      </c>
    </row>
    <row r="133" spans="1:29" x14ac:dyDescent="0.25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</row>
    <row r="134" spans="1:29" x14ac:dyDescent="0.25">
      <c r="A134" s="275"/>
      <c r="B134" s="276"/>
      <c r="C134" s="276"/>
      <c r="D134" s="276"/>
      <c r="E134" s="276"/>
      <c r="F134" s="276"/>
      <c r="G134" s="276"/>
      <c r="H134" s="276"/>
      <c r="I134" s="276"/>
      <c r="J134" s="276"/>
    </row>
    <row r="136" spans="1:29" x14ac:dyDescent="0.25">
      <c r="I136" s="67" t="e">
        <f>#REF!/#REF!</f>
        <v>#REF!</v>
      </c>
    </row>
  </sheetData>
  <mergeCells count="39">
    <mergeCell ref="A134:J134"/>
    <mergeCell ref="A131:C131"/>
    <mergeCell ref="F131:G131"/>
    <mergeCell ref="H131:J131"/>
    <mergeCell ref="A132:C132"/>
    <mergeCell ref="F132:G132"/>
    <mergeCell ref="H132:J132"/>
    <mergeCell ref="L5:M6"/>
    <mergeCell ref="N5:O6"/>
    <mergeCell ref="P5:Q6"/>
    <mergeCell ref="R5:S6"/>
    <mergeCell ref="T5:U6"/>
    <mergeCell ref="V5:W6"/>
    <mergeCell ref="R2:S2"/>
    <mergeCell ref="T2:U2"/>
    <mergeCell ref="V2:W2"/>
    <mergeCell ref="A3:J3"/>
    <mergeCell ref="L3:M3"/>
    <mergeCell ref="N3:O3"/>
    <mergeCell ref="P3:Q3"/>
    <mergeCell ref="R3:S3"/>
    <mergeCell ref="T3:U3"/>
    <mergeCell ref="V3:W3"/>
    <mergeCell ref="R1:S1"/>
    <mergeCell ref="T1:U1"/>
    <mergeCell ref="V1:W1"/>
    <mergeCell ref="B2:C2"/>
    <mergeCell ref="E2:F2"/>
    <mergeCell ref="G2:H2"/>
    <mergeCell ref="I2:J2"/>
    <mergeCell ref="L2:M2"/>
    <mergeCell ref="N2:O2"/>
    <mergeCell ref="P2:Q2"/>
    <mergeCell ref="E1:F1"/>
    <mergeCell ref="G1:H1"/>
    <mergeCell ref="I1:J1"/>
    <mergeCell ref="L1:M1"/>
    <mergeCell ref="N1:O1"/>
    <mergeCell ref="P1:Q1"/>
  </mergeCells>
  <pageMargins left="0.51181102362204722" right="0.51181102362204722" top="0.35433070866141736" bottom="0.39370078740157483" header="0.15748031496062992" footer="0.11811023622047245"/>
  <pageSetup paperSize="9" scale="77" fitToHeight="0" orientation="landscape" r:id="rId1"/>
  <headerFooter>
    <oddHeader>&amp;L &amp;C &amp;R</oddHeader>
    <oddFooter xml:space="preserve">&amp;L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7CFE7-E304-4F51-9F3A-792E81378C5F}">
  <dimension ref="A7:E10"/>
  <sheetViews>
    <sheetView workbookViewId="0">
      <selection activeCell="E17" sqref="E17"/>
    </sheetView>
  </sheetViews>
  <sheetFormatPr defaultRowHeight="13.8" x14ac:dyDescent="0.25"/>
  <cols>
    <col min="5" max="5" width="9.69921875" bestFit="1" customWidth="1"/>
  </cols>
  <sheetData>
    <row r="7" spans="1:5" x14ac:dyDescent="0.25">
      <c r="A7" t="str">
        <f>'Orçamento Sintético'!D8</f>
        <v>SERVIÇOS PRELIMINARES</v>
      </c>
      <c r="E7" s="80">
        <f>'Orçamento Sintético'!I8</f>
        <v>1245.75</v>
      </c>
    </row>
    <row r="8" spans="1:5" x14ac:dyDescent="0.25">
      <c r="A8" t="str">
        <f>'Orçamento Sintético'!D10</f>
        <v>FUNDAÇÃO</v>
      </c>
      <c r="E8" s="80">
        <f>'Orçamento Sintético'!I10</f>
        <v>2280.7750000000005</v>
      </c>
    </row>
    <row r="9" spans="1:5" x14ac:dyDescent="0.25">
      <c r="A9" t="str">
        <f>'Orçamento Sintético'!D12</f>
        <v>BALDRAMES</v>
      </c>
      <c r="E9" s="80">
        <f>'Orçamento Sintético'!I12</f>
        <v>7660.972149575</v>
      </c>
    </row>
    <row r="10" spans="1:5" x14ac:dyDescent="0.25">
      <c r="A10" t="str">
        <f>'Orçamento Sintético'!D21</f>
        <v>IMPERMEABILIZAÇÃO</v>
      </c>
      <c r="E10" s="80">
        <f>'Orçamento Sintético'!I24</f>
        <v>649.60749999999996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5BA9B-BCF8-44A9-9882-E6D14F30DC7E}">
  <sheetPr>
    <pageSetUpPr fitToPage="1"/>
  </sheetPr>
  <dimension ref="A1:T71"/>
  <sheetViews>
    <sheetView view="pageBreakPreview" zoomScale="110" zoomScaleNormal="100" zoomScaleSheetLayoutView="110" workbookViewId="0">
      <selection activeCell="A4" sqref="A4:K4"/>
    </sheetView>
  </sheetViews>
  <sheetFormatPr defaultRowHeight="13.8" x14ac:dyDescent="0.25"/>
  <cols>
    <col min="1" max="1" width="12" customWidth="1"/>
    <col min="2" max="2" width="36.3984375" customWidth="1"/>
    <col min="3" max="3" width="13" customWidth="1"/>
    <col min="4" max="4" width="10.09765625" bestFit="1" customWidth="1"/>
    <col min="5" max="5" width="12.69921875" customWidth="1"/>
    <col min="6" max="6" width="15.19921875" customWidth="1"/>
    <col min="7" max="7" width="14.69921875" customWidth="1"/>
    <col min="8" max="8" width="15" customWidth="1"/>
    <col min="9" max="9" width="14.19921875" customWidth="1"/>
    <col min="10" max="10" width="15" customWidth="1"/>
    <col min="11" max="11" width="14.5" hidden="1" customWidth="1"/>
    <col min="12" max="12" width="14.69921875" hidden="1" customWidth="1"/>
    <col min="13" max="13" width="15.59765625" hidden="1" customWidth="1"/>
    <col min="14" max="14" width="4.5" hidden="1" customWidth="1"/>
    <col min="15" max="15" width="5.69921875" hidden="1" customWidth="1"/>
    <col min="16" max="16" width="6.69921875" hidden="1" customWidth="1"/>
    <col min="17" max="17" width="14.09765625" bestFit="1" customWidth="1"/>
    <col min="19" max="19" width="11.09765625" bestFit="1" customWidth="1"/>
  </cols>
  <sheetData>
    <row r="1" spans="1:20" ht="14.4" thickBot="1" x14ac:dyDescent="0.3"/>
    <row r="2" spans="1:20" x14ac:dyDescent="0.25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7"/>
      <c r="L2" s="220"/>
      <c r="M2" s="221"/>
      <c r="N2" s="221"/>
      <c r="O2" s="221"/>
      <c r="P2" s="222"/>
    </row>
    <row r="3" spans="1:20" x14ac:dyDescent="0.25">
      <c r="A3" s="205"/>
      <c r="B3" s="206"/>
      <c r="C3" s="206"/>
      <c r="D3" s="206"/>
      <c r="E3" s="206"/>
      <c r="F3" s="206"/>
      <c r="G3" s="206"/>
      <c r="H3" s="206"/>
      <c r="I3" s="206"/>
      <c r="J3" s="206"/>
      <c r="K3" s="229"/>
      <c r="L3" s="223"/>
      <c r="M3" s="224"/>
      <c r="N3" s="224"/>
      <c r="O3" s="224"/>
      <c r="P3" s="225"/>
    </row>
    <row r="4" spans="1:20" x14ac:dyDescent="0.25">
      <c r="A4" s="205"/>
      <c r="B4" s="206"/>
      <c r="C4" s="206"/>
      <c r="D4" s="206"/>
      <c r="E4" s="206"/>
      <c r="F4" s="206"/>
      <c r="G4" s="206"/>
      <c r="H4" s="206"/>
      <c r="I4" s="206"/>
      <c r="J4" s="206"/>
      <c r="K4" s="229"/>
      <c r="L4" s="223"/>
      <c r="M4" s="224"/>
      <c r="N4" s="224"/>
      <c r="O4" s="224"/>
      <c r="P4" s="225"/>
    </row>
    <row r="5" spans="1:20" x14ac:dyDescent="0.25">
      <c r="A5" s="230" t="str">
        <f>'Orçamento Sintético'!D2</f>
        <v>OBRA:CONTRATAÇÃO DE EMPRESA PARA AMPLIAÇÃO DA UBS DE ITAPIRATINS - TO</v>
      </c>
      <c r="B5" s="231"/>
      <c r="C5" s="231"/>
      <c r="D5" s="231"/>
      <c r="E5" s="231"/>
      <c r="F5" s="231"/>
      <c r="G5" s="231"/>
      <c r="H5" s="231"/>
      <c r="I5" s="231"/>
      <c r="J5" s="231"/>
      <c r="K5" s="232"/>
      <c r="L5" s="223"/>
      <c r="M5" s="224"/>
      <c r="N5" s="224"/>
      <c r="O5" s="224"/>
      <c r="P5" s="225"/>
    </row>
    <row r="6" spans="1:20" x14ac:dyDescent="0.25">
      <c r="A6" s="205" t="s">
        <v>455</v>
      </c>
      <c r="B6" s="206"/>
      <c r="C6" s="206"/>
      <c r="D6" s="206"/>
      <c r="E6" s="206"/>
      <c r="F6" s="206"/>
      <c r="G6" s="206"/>
      <c r="H6" s="206"/>
      <c r="I6" s="206"/>
      <c r="J6" s="206"/>
      <c r="K6" s="229"/>
      <c r="L6" s="223"/>
      <c r="M6" s="224"/>
      <c r="N6" s="224"/>
      <c r="O6" s="224"/>
      <c r="P6" s="225"/>
    </row>
    <row r="7" spans="1:20" x14ac:dyDescent="0.25">
      <c r="A7" s="205" t="s">
        <v>368</v>
      </c>
      <c r="B7" s="206"/>
      <c r="C7" s="206"/>
      <c r="D7" s="206"/>
      <c r="E7" s="206"/>
      <c r="F7" s="206"/>
      <c r="G7" s="206"/>
      <c r="H7" s="206"/>
      <c r="I7" s="206"/>
      <c r="J7" s="206"/>
      <c r="K7" s="229"/>
      <c r="L7" s="223"/>
      <c r="M7" s="224"/>
      <c r="N7" s="224"/>
      <c r="O7" s="224"/>
      <c r="P7" s="225"/>
    </row>
    <row r="8" spans="1:20" ht="14.4" thickBot="1" x14ac:dyDescent="0.3">
      <c r="A8" s="233" t="s">
        <v>456</v>
      </c>
      <c r="B8" s="234"/>
      <c r="C8" s="234"/>
      <c r="D8" s="234"/>
      <c r="E8" s="234"/>
      <c r="F8" s="234"/>
      <c r="G8" s="234"/>
      <c r="H8" s="234"/>
      <c r="I8" s="234"/>
      <c r="J8" s="234"/>
      <c r="K8" s="235"/>
      <c r="L8" s="226"/>
      <c r="M8" s="227"/>
      <c r="N8" s="227"/>
      <c r="O8" s="227"/>
      <c r="P8" s="228"/>
    </row>
    <row r="9" spans="1:20" ht="14.4" thickBot="1" x14ac:dyDescent="0.3">
      <c r="A9" s="208" t="s">
        <v>369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10"/>
      <c r="M9" s="210"/>
      <c r="N9" s="210"/>
      <c r="O9" s="210"/>
      <c r="P9" s="211"/>
    </row>
    <row r="10" spans="1:20" ht="14.4" thickBot="1" x14ac:dyDescent="0.3">
      <c r="A10" s="20" t="s">
        <v>4</v>
      </c>
      <c r="B10" s="21" t="s">
        <v>7</v>
      </c>
      <c r="C10" s="22" t="s">
        <v>370</v>
      </c>
      <c r="D10" s="23" t="s">
        <v>371</v>
      </c>
      <c r="E10" s="24">
        <v>1</v>
      </c>
      <c r="F10" s="25">
        <v>2</v>
      </c>
      <c r="G10" s="25">
        <v>3</v>
      </c>
      <c r="H10" s="25">
        <v>4</v>
      </c>
      <c r="I10" s="25">
        <v>5</v>
      </c>
      <c r="J10" s="25">
        <v>6</v>
      </c>
      <c r="K10" s="25">
        <v>7</v>
      </c>
      <c r="L10" s="25">
        <v>8</v>
      </c>
      <c r="M10" s="25">
        <v>9</v>
      </c>
      <c r="N10" s="26">
        <v>10</v>
      </c>
      <c r="O10" s="26">
        <v>11</v>
      </c>
      <c r="P10" s="27">
        <v>12</v>
      </c>
    </row>
    <row r="11" spans="1:20" ht="14.4" thickBot="1" x14ac:dyDescent="0.3">
      <c r="A11" s="28" t="s">
        <v>372</v>
      </c>
      <c r="B11" s="29" t="str">
        <f>'Orçamento Sintético'!D5</f>
        <v>AMPLIAÇÃO DA UBS DE ITAPIRATINS</v>
      </c>
      <c r="C11" s="30">
        <f>SUM(C12:C47)</f>
        <v>119599.470648125</v>
      </c>
      <c r="D11" s="31" t="s">
        <v>373</v>
      </c>
      <c r="E11" s="32">
        <f t="shared" ref="E11:F11" si="0">E48</f>
        <v>3.443786109631139E-2</v>
      </c>
      <c r="F11" s="32">
        <f t="shared" si="0"/>
        <v>0.22610034805966286</v>
      </c>
      <c r="G11" s="33">
        <f>G48</f>
        <v>0.30185891898344269</v>
      </c>
      <c r="H11" s="32">
        <f>H48</f>
        <v>0.2806953815322033</v>
      </c>
      <c r="I11" s="32">
        <f t="shared" ref="I11:J11" si="1">I48</f>
        <v>0.10023071212638292</v>
      </c>
      <c r="J11" s="32">
        <f t="shared" si="1"/>
        <v>5.6676769794768884E-2</v>
      </c>
      <c r="K11" s="34"/>
      <c r="L11" s="35"/>
      <c r="M11" s="35"/>
      <c r="N11" s="35"/>
      <c r="O11" s="35"/>
      <c r="P11" s="36"/>
      <c r="Q11" s="78">
        <f>SUM(E11:J11)</f>
        <v>0.99999999159277198</v>
      </c>
    </row>
    <row r="12" spans="1:20" x14ac:dyDescent="0.25">
      <c r="A12" s="212" t="s">
        <v>374</v>
      </c>
      <c r="B12" s="214" t="str">
        <f>'[2]Orçamento Sintético'!D6</f>
        <v>ADMINISTRAÇÃO LOCAL DA OBRA</v>
      </c>
      <c r="C12" s="216">
        <f>'Orçamento Sintético'!I6</f>
        <v>5500</v>
      </c>
      <c r="D12" s="218" t="s">
        <v>373</v>
      </c>
      <c r="E12" s="37">
        <v>4.8300000000000003E-2</v>
      </c>
      <c r="F12" s="37">
        <v>0.221</v>
      </c>
      <c r="G12" s="37">
        <v>0.31090000000000001</v>
      </c>
      <c r="H12" s="37">
        <v>0.28589999999999999</v>
      </c>
      <c r="I12" s="37">
        <v>9.4899999999999998E-2</v>
      </c>
      <c r="J12" s="37">
        <v>3.9E-2</v>
      </c>
      <c r="K12" s="46"/>
      <c r="L12" s="46"/>
      <c r="M12" s="46"/>
      <c r="N12" s="38"/>
      <c r="O12" s="38"/>
      <c r="P12" s="39"/>
      <c r="Q12" s="78">
        <f>SUM(E12:J12)</f>
        <v>1</v>
      </c>
    </row>
    <row r="13" spans="1:20" ht="14.4" thickBot="1" x14ac:dyDescent="0.3">
      <c r="A13" s="213"/>
      <c r="B13" s="215"/>
      <c r="C13" s="217"/>
      <c r="D13" s="219"/>
      <c r="E13" s="40">
        <f>C12*E12</f>
        <v>265.65000000000003</v>
      </c>
      <c r="F13" s="40">
        <f>F12*C12</f>
        <v>1215.5</v>
      </c>
      <c r="G13" s="40">
        <f>G12*C12</f>
        <v>1709.95</v>
      </c>
      <c r="H13" s="40">
        <f>H12*C12</f>
        <v>1572.4499999999998</v>
      </c>
      <c r="I13" s="40">
        <f>I12*C12</f>
        <v>521.95000000000005</v>
      </c>
      <c r="J13" s="40">
        <f>J12*C12</f>
        <v>214.5</v>
      </c>
      <c r="K13" s="201"/>
      <c r="L13" s="41"/>
      <c r="M13" s="41"/>
      <c r="N13" s="41"/>
      <c r="O13" s="41"/>
      <c r="P13" s="42"/>
      <c r="Q13" s="3">
        <f t="shared" ref="Q13:Q48" si="2">SUM(E13:J13)</f>
        <v>5500</v>
      </c>
      <c r="R13" s="67">
        <f>C12-Q13</f>
        <v>0</v>
      </c>
      <c r="S13" s="203">
        <f>R13/A48</f>
        <v>0</v>
      </c>
      <c r="T13">
        <f>29.96+1.13</f>
        <v>31.09</v>
      </c>
    </row>
    <row r="14" spans="1:20" x14ac:dyDescent="0.25">
      <c r="A14" s="212" t="s">
        <v>375</v>
      </c>
      <c r="B14" s="218" t="str">
        <f>'[2]Orçamento Sintético'!D8</f>
        <v>SERVIÇOS PRELIMINARES</v>
      </c>
      <c r="C14" s="216">
        <f>'Orçamento Sintético'!I8</f>
        <v>1245.75</v>
      </c>
      <c r="D14" s="218" t="s">
        <v>373</v>
      </c>
      <c r="E14" s="37">
        <v>0.3</v>
      </c>
      <c r="F14" s="37">
        <v>0.3</v>
      </c>
      <c r="G14" s="37">
        <v>0.3</v>
      </c>
      <c r="H14" s="37">
        <v>0.1</v>
      </c>
      <c r="I14" s="44"/>
      <c r="J14" s="45"/>
      <c r="K14" s="202"/>
      <c r="L14" s="38"/>
      <c r="M14" s="38"/>
      <c r="N14" s="38"/>
      <c r="O14" s="38"/>
      <c r="P14" s="39"/>
      <c r="Q14" s="78">
        <f t="shared" si="2"/>
        <v>0.99999999999999989</v>
      </c>
      <c r="R14" s="67">
        <f t="shared" ref="R14:R47" si="3">C13-Q14</f>
        <v>-0.99999999999999989</v>
      </c>
    </row>
    <row r="15" spans="1:20" ht="14.4" thickBot="1" x14ac:dyDescent="0.3">
      <c r="A15" s="213"/>
      <c r="B15" s="219"/>
      <c r="C15" s="217"/>
      <c r="D15" s="219"/>
      <c r="E15" s="40">
        <f>E14*C14</f>
        <v>373.72499999999997</v>
      </c>
      <c r="F15" s="40">
        <f>F14*C14</f>
        <v>373.72499999999997</v>
      </c>
      <c r="G15" s="40">
        <f>G14*C14</f>
        <v>373.72499999999997</v>
      </c>
      <c r="H15" s="40">
        <f>H14*C14</f>
        <v>124.575</v>
      </c>
      <c r="I15" s="40">
        <f>I14*C14</f>
        <v>0</v>
      </c>
      <c r="J15" s="40">
        <f>J14*C14</f>
        <v>0</v>
      </c>
      <c r="K15" s="201"/>
      <c r="L15" s="41"/>
      <c r="M15" s="41"/>
      <c r="N15" s="41"/>
      <c r="O15" s="41"/>
      <c r="P15" s="42"/>
      <c r="Q15" s="3">
        <f t="shared" si="2"/>
        <v>1245.75</v>
      </c>
      <c r="R15" s="67">
        <f t="shared" si="3"/>
        <v>0</v>
      </c>
    </row>
    <row r="16" spans="1:20" x14ac:dyDescent="0.25">
      <c r="A16" s="212" t="s">
        <v>376</v>
      </c>
      <c r="B16" s="218" t="str">
        <f>'[2]Orçamento Sintético'!D13</f>
        <v>FUNDAÇÃO</v>
      </c>
      <c r="C16" s="216">
        <f>'Orçamento Sintético'!I10</f>
        <v>2280.7750000000005</v>
      </c>
      <c r="D16" s="218" t="s">
        <v>373</v>
      </c>
      <c r="E16" s="37">
        <v>0.3</v>
      </c>
      <c r="F16" s="37">
        <v>0.3</v>
      </c>
      <c r="G16" s="37">
        <v>0.2</v>
      </c>
      <c r="H16" s="37">
        <v>0.2</v>
      </c>
      <c r="I16" s="44"/>
      <c r="J16" s="45"/>
      <c r="K16" s="202"/>
      <c r="L16" s="38"/>
      <c r="M16" s="38"/>
      <c r="N16" s="38"/>
      <c r="O16" s="38"/>
      <c r="P16" s="39"/>
      <c r="Q16" s="78">
        <f t="shared" si="2"/>
        <v>1</v>
      </c>
      <c r="R16" s="67">
        <f t="shared" si="3"/>
        <v>-1</v>
      </c>
    </row>
    <row r="17" spans="1:18" ht="14.4" thickBot="1" x14ac:dyDescent="0.3">
      <c r="A17" s="213"/>
      <c r="B17" s="219"/>
      <c r="C17" s="217"/>
      <c r="D17" s="219"/>
      <c r="E17" s="40">
        <f>E16*C16</f>
        <v>684.23250000000019</v>
      </c>
      <c r="F17" s="40">
        <f>F16*C16</f>
        <v>684.23250000000019</v>
      </c>
      <c r="G17" s="40">
        <f>G16*C16</f>
        <v>456.15500000000014</v>
      </c>
      <c r="H17" s="40">
        <f>H16*C16</f>
        <v>456.15500000000014</v>
      </c>
      <c r="I17" s="40">
        <f>I16*C16</f>
        <v>0</v>
      </c>
      <c r="J17" s="40">
        <f>J16*C16</f>
        <v>0</v>
      </c>
      <c r="K17" s="201"/>
      <c r="L17" s="41"/>
      <c r="M17" s="41"/>
      <c r="N17" s="41"/>
      <c r="O17" s="41"/>
      <c r="P17" s="42"/>
      <c r="Q17" s="3">
        <f t="shared" si="2"/>
        <v>2280.7750000000005</v>
      </c>
      <c r="R17" s="67">
        <f t="shared" si="3"/>
        <v>0</v>
      </c>
    </row>
    <row r="18" spans="1:18" x14ac:dyDescent="0.25">
      <c r="A18" s="212" t="s">
        <v>377</v>
      </c>
      <c r="B18" s="218" t="str">
        <f>'[2]Orçamento Sintético'!D15</f>
        <v>BALDRAMES</v>
      </c>
      <c r="C18" s="216">
        <f>'Orçamento Sintético'!I12</f>
        <v>7660.972149575</v>
      </c>
      <c r="D18" s="218" t="s">
        <v>373</v>
      </c>
      <c r="E18" s="37">
        <v>0.3</v>
      </c>
      <c r="F18" s="37">
        <v>0.3</v>
      </c>
      <c r="G18" s="37">
        <v>0.2</v>
      </c>
      <c r="H18" s="37">
        <v>0.2</v>
      </c>
      <c r="I18" s="44"/>
      <c r="J18" s="45"/>
      <c r="K18" s="202"/>
      <c r="L18" s="38"/>
      <c r="M18" s="38"/>
      <c r="N18" s="38"/>
      <c r="O18" s="38"/>
      <c r="P18" s="39"/>
      <c r="Q18" s="78">
        <f t="shared" si="2"/>
        <v>1</v>
      </c>
      <c r="R18" s="67">
        <f t="shared" si="3"/>
        <v>-1</v>
      </c>
    </row>
    <row r="19" spans="1:18" ht="14.4" thickBot="1" x14ac:dyDescent="0.3">
      <c r="A19" s="213"/>
      <c r="B19" s="219"/>
      <c r="C19" s="217"/>
      <c r="D19" s="219"/>
      <c r="E19" s="40">
        <f>E18*C18</f>
        <v>2298.2916448725</v>
      </c>
      <c r="F19" s="40">
        <f>F18*C18</f>
        <v>2298.2916448725</v>
      </c>
      <c r="G19" s="40">
        <f>G18*C18</f>
        <v>1532.194429915</v>
      </c>
      <c r="H19" s="40">
        <f>H18*C18</f>
        <v>1532.194429915</v>
      </c>
      <c r="I19" s="40">
        <f>I18*C18</f>
        <v>0</v>
      </c>
      <c r="J19" s="40">
        <f>J18*C18</f>
        <v>0</v>
      </c>
      <c r="K19" s="201"/>
      <c r="L19" s="41"/>
      <c r="M19" s="41"/>
      <c r="N19" s="41"/>
      <c r="O19" s="41"/>
      <c r="P19" s="42"/>
      <c r="Q19" s="3">
        <f t="shared" si="2"/>
        <v>7660.972149575</v>
      </c>
      <c r="R19" s="67">
        <f t="shared" si="3"/>
        <v>0</v>
      </c>
    </row>
    <row r="20" spans="1:18" x14ac:dyDescent="0.25">
      <c r="A20" s="212" t="s">
        <v>378</v>
      </c>
      <c r="B20" s="218" t="str">
        <f>'[2]Orçamento Sintético'!D24</f>
        <v>IMPERMEABILIZAÇÃO</v>
      </c>
      <c r="C20" s="216">
        <f>'Orçamento Sintético'!I21</f>
        <v>1656.1693749999999</v>
      </c>
      <c r="D20" s="218" t="s">
        <v>373</v>
      </c>
      <c r="E20" s="37">
        <v>0.3</v>
      </c>
      <c r="F20" s="37">
        <v>0.3</v>
      </c>
      <c r="G20" s="37">
        <v>0.2</v>
      </c>
      <c r="H20" s="37">
        <v>0.2</v>
      </c>
      <c r="I20" s="44"/>
      <c r="J20" s="45"/>
      <c r="K20" s="202"/>
      <c r="L20" s="38"/>
      <c r="M20" s="38"/>
      <c r="N20" s="38"/>
      <c r="O20" s="38"/>
      <c r="P20" s="39"/>
      <c r="Q20" s="78">
        <f t="shared" si="2"/>
        <v>1</v>
      </c>
      <c r="R20" s="67">
        <f t="shared" si="3"/>
        <v>-1</v>
      </c>
    </row>
    <row r="21" spans="1:18" ht="14.4" thickBot="1" x14ac:dyDescent="0.3">
      <c r="A21" s="213"/>
      <c r="B21" s="219"/>
      <c r="C21" s="217"/>
      <c r="D21" s="219"/>
      <c r="E21" s="40">
        <f>E20*C20</f>
        <v>496.85081249999996</v>
      </c>
      <c r="F21" s="40">
        <f>F20*C20</f>
        <v>496.85081249999996</v>
      </c>
      <c r="G21" s="40">
        <f>G20*C20</f>
        <v>331.23387500000001</v>
      </c>
      <c r="H21" s="40">
        <f>H20*C20</f>
        <v>331.23387500000001</v>
      </c>
      <c r="I21" s="40">
        <f>I20*C20</f>
        <v>0</v>
      </c>
      <c r="J21" s="40">
        <f>J20*C20</f>
        <v>0</v>
      </c>
      <c r="K21" s="201"/>
      <c r="L21" s="41"/>
      <c r="M21" s="41"/>
      <c r="N21" s="41"/>
      <c r="O21" s="41"/>
      <c r="P21" s="42"/>
      <c r="Q21" s="3">
        <f t="shared" si="2"/>
        <v>1656.1693749999999</v>
      </c>
      <c r="R21" s="67">
        <f t="shared" si="3"/>
        <v>0</v>
      </c>
    </row>
    <row r="22" spans="1:18" x14ac:dyDescent="0.25">
      <c r="A22" s="212" t="s">
        <v>379</v>
      </c>
      <c r="B22" s="218" t="str">
        <f>'[2]Orçamento Sintético'!D28</f>
        <v>PILARES, VIGAS E LAJES</v>
      </c>
      <c r="C22" s="216">
        <f>'Orçamento Sintético'!I25</f>
        <v>12739.80690105</v>
      </c>
      <c r="D22" s="218" t="s">
        <v>373</v>
      </c>
      <c r="E22" s="46"/>
      <c r="F22" s="37">
        <v>0.4</v>
      </c>
      <c r="G22" s="37">
        <v>0.4</v>
      </c>
      <c r="H22" s="37">
        <v>0.2</v>
      </c>
      <c r="I22" s="44"/>
      <c r="J22" s="45"/>
      <c r="K22" s="202"/>
      <c r="L22" s="38"/>
      <c r="M22" s="38"/>
      <c r="N22" s="38"/>
      <c r="O22" s="38"/>
      <c r="P22" s="39"/>
      <c r="Q22" s="78">
        <f t="shared" si="2"/>
        <v>1</v>
      </c>
      <c r="R22" s="67">
        <f t="shared" si="3"/>
        <v>-1</v>
      </c>
    </row>
    <row r="23" spans="1:18" ht="14.4" thickBot="1" x14ac:dyDescent="0.3">
      <c r="A23" s="213"/>
      <c r="B23" s="219"/>
      <c r="C23" s="217"/>
      <c r="D23" s="219"/>
      <c r="E23" s="40">
        <f>E22*C22</f>
        <v>0</v>
      </c>
      <c r="F23" s="40">
        <f>F22*C22</f>
        <v>5095.9227604200005</v>
      </c>
      <c r="G23" s="40">
        <f>G22*C22</f>
        <v>5095.9227604200005</v>
      </c>
      <c r="H23" s="40">
        <f>H22*C22</f>
        <v>2547.9613802100002</v>
      </c>
      <c r="I23" s="40">
        <f>I22*C22</f>
        <v>0</v>
      </c>
      <c r="J23" s="40">
        <f>J22*C22</f>
        <v>0</v>
      </c>
      <c r="K23" s="201"/>
      <c r="L23" s="41"/>
      <c r="M23" s="41"/>
      <c r="N23" s="41"/>
      <c r="O23" s="41"/>
      <c r="P23" s="42"/>
      <c r="Q23" s="3">
        <f t="shared" si="2"/>
        <v>12739.80690105</v>
      </c>
      <c r="R23" s="67">
        <f t="shared" si="3"/>
        <v>0</v>
      </c>
    </row>
    <row r="24" spans="1:18" x14ac:dyDescent="0.25">
      <c r="A24" s="212" t="s">
        <v>380</v>
      </c>
      <c r="B24" s="218" t="str">
        <f>'[2]Orçamento Sintético'!D39</f>
        <v>ALVENARIA/FECHAMENTOS</v>
      </c>
      <c r="C24" s="216">
        <f>'Orçamento Sintético'!I33</f>
        <v>15515.89467</v>
      </c>
      <c r="D24" s="218" t="s">
        <v>373</v>
      </c>
      <c r="E24" s="46"/>
      <c r="F24" s="37">
        <v>0.4</v>
      </c>
      <c r="G24" s="37">
        <v>0.4</v>
      </c>
      <c r="H24" s="37">
        <v>0.2</v>
      </c>
      <c r="I24" s="44"/>
      <c r="J24" s="45"/>
      <c r="K24" s="202"/>
      <c r="L24" s="38"/>
      <c r="M24" s="38"/>
      <c r="N24" s="38"/>
      <c r="O24" s="38"/>
      <c r="P24" s="39"/>
      <c r="Q24" s="78">
        <f t="shared" si="2"/>
        <v>1</v>
      </c>
      <c r="R24" s="67">
        <f t="shared" si="3"/>
        <v>-1</v>
      </c>
    </row>
    <row r="25" spans="1:18" ht="14.4" thickBot="1" x14ac:dyDescent="0.3">
      <c r="A25" s="213"/>
      <c r="B25" s="219"/>
      <c r="C25" s="217"/>
      <c r="D25" s="219"/>
      <c r="E25" s="40">
        <f>E24*C24</f>
        <v>0</v>
      </c>
      <c r="F25" s="40">
        <f>F24*C24</f>
        <v>6206.3578680000001</v>
      </c>
      <c r="G25" s="40">
        <f>G24*C24</f>
        <v>6206.3578680000001</v>
      </c>
      <c r="H25" s="40">
        <f>H24*C24</f>
        <v>3103.178934</v>
      </c>
      <c r="I25" s="40">
        <f>I24*C24</f>
        <v>0</v>
      </c>
      <c r="J25" s="40">
        <f>J24*C24</f>
        <v>0</v>
      </c>
      <c r="K25" s="201"/>
      <c r="L25" s="41"/>
      <c r="M25" s="41"/>
      <c r="N25" s="41"/>
      <c r="O25" s="41"/>
      <c r="P25" s="42"/>
      <c r="Q25" s="3">
        <f t="shared" si="2"/>
        <v>15515.89467</v>
      </c>
      <c r="R25" s="67">
        <f t="shared" si="3"/>
        <v>0</v>
      </c>
    </row>
    <row r="26" spans="1:18" x14ac:dyDescent="0.25">
      <c r="A26" s="212" t="s">
        <v>381</v>
      </c>
      <c r="B26" s="218" t="str">
        <f>'[2]Orçamento Sintético'!D43</f>
        <v>ESQUADRIAS METÁLICAS</v>
      </c>
      <c r="C26" s="216">
        <f>'Orçamento Sintético'!I37</f>
        <v>7958.2910000000011</v>
      </c>
      <c r="D26" s="218" t="s">
        <v>373</v>
      </c>
      <c r="E26" s="46"/>
      <c r="F26" s="46"/>
      <c r="G26" s="37">
        <v>0.5</v>
      </c>
      <c r="H26" s="37">
        <v>0.5</v>
      </c>
      <c r="I26" s="44"/>
      <c r="J26" s="45"/>
      <c r="K26" s="202"/>
      <c r="L26" s="46"/>
      <c r="M26" s="38"/>
      <c r="N26" s="38"/>
      <c r="O26" s="38"/>
      <c r="P26" s="39"/>
      <c r="Q26" s="78">
        <f t="shared" si="2"/>
        <v>1</v>
      </c>
      <c r="R26" s="67">
        <f t="shared" si="3"/>
        <v>-1</v>
      </c>
    </row>
    <row r="27" spans="1:18" ht="14.4" thickBot="1" x14ac:dyDescent="0.3">
      <c r="A27" s="213"/>
      <c r="B27" s="219"/>
      <c r="C27" s="217"/>
      <c r="D27" s="219"/>
      <c r="E27" s="40">
        <f>E26*C26</f>
        <v>0</v>
      </c>
      <c r="F27" s="40">
        <f>F26*C26</f>
        <v>0</v>
      </c>
      <c r="G27" s="40">
        <f>G26*C26</f>
        <v>3979.1455000000005</v>
      </c>
      <c r="H27" s="40" t="s">
        <v>454</v>
      </c>
      <c r="I27" s="40">
        <f>I26*C26</f>
        <v>0</v>
      </c>
      <c r="J27" s="40">
        <f>J26*C26</f>
        <v>0</v>
      </c>
      <c r="K27" s="201"/>
      <c r="L27" s="41"/>
      <c r="M27" s="41"/>
      <c r="N27" s="41"/>
      <c r="O27" s="41"/>
      <c r="P27" s="42"/>
      <c r="Q27" s="3">
        <f t="shared" si="2"/>
        <v>3979.1455000000005</v>
      </c>
      <c r="R27" s="67">
        <f t="shared" si="3"/>
        <v>3979.1455000000005</v>
      </c>
    </row>
    <row r="28" spans="1:18" x14ac:dyDescent="0.25">
      <c r="A28" s="212" t="s">
        <v>382</v>
      </c>
      <c r="B28" s="218" t="str">
        <f>'[2]Orçamento Sintético'!D49</f>
        <v>COBERTURA</v>
      </c>
      <c r="C28" s="216">
        <f>'Orçamento Sintético'!I42</f>
        <v>14176.319625</v>
      </c>
      <c r="D28" s="218" t="s">
        <v>373</v>
      </c>
      <c r="E28" s="46"/>
      <c r="F28" s="37">
        <v>0.2</v>
      </c>
      <c r="G28" s="37">
        <v>0.4</v>
      </c>
      <c r="H28" s="37">
        <v>0.4</v>
      </c>
      <c r="I28" s="44"/>
      <c r="J28" s="45"/>
      <c r="K28" s="202"/>
      <c r="L28" s="38"/>
      <c r="M28" s="38"/>
      <c r="N28" s="38"/>
      <c r="O28" s="38"/>
      <c r="P28" s="39"/>
      <c r="Q28" s="78">
        <f t="shared" si="2"/>
        <v>1</v>
      </c>
      <c r="R28" s="67">
        <f t="shared" si="3"/>
        <v>-1</v>
      </c>
    </row>
    <row r="29" spans="1:18" ht="14.4" thickBot="1" x14ac:dyDescent="0.3">
      <c r="A29" s="213"/>
      <c r="B29" s="219"/>
      <c r="C29" s="217"/>
      <c r="D29" s="219"/>
      <c r="E29" s="40">
        <f>E28*C28</f>
        <v>0</v>
      </c>
      <c r="F29" s="40">
        <f>F28*C28</f>
        <v>2835.2639250000002</v>
      </c>
      <c r="G29" s="40">
        <f>G28*C28</f>
        <v>5670.5278500000004</v>
      </c>
      <c r="H29" s="40">
        <f>H28*C28</f>
        <v>5670.5278500000004</v>
      </c>
      <c r="I29" s="40">
        <f>I28*C28</f>
        <v>0</v>
      </c>
      <c r="J29" s="40">
        <f>J28*C28</f>
        <v>0</v>
      </c>
      <c r="K29" s="201"/>
      <c r="L29" s="41"/>
      <c r="M29" s="41"/>
      <c r="N29" s="41"/>
      <c r="O29" s="41"/>
      <c r="P29" s="42"/>
      <c r="Q29" s="3">
        <f t="shared" si="2"/>
        <v>14176.319625000002</v>
      </c>
      <c r="R29" s="67">
        <f t="shared" si="3"/>
        <v>0</v>
      </c>
    </row>
    <row r="30" spans="1:18" x14ac:dyDescent="0.25">
      <c r="A30" s="212" t="s">
        <v>383</v>
      </c>
      <c r="B30" s="218" t="str">
        <f>'[2]Orçamento Sintético'!D55</f>
        <v>REVESTIMENTOS INTERNOS</v>
      </c>
      <c r="C30" s="216">
        <f>'Orçamento Sintético'!I48</f>
        <v>8686.0737499999996</v>
      </c>
      <c r="D30" s="218" t="s">
        <v>373</v>
      </c>
      <c r="E30" s="46"/>
      <c r="F30" s="37">
        <v>0.2</v>
      </c>
      <c r="G30" s="37">
        <v>0.3</v>
      </c>
      <c r="H30" s="37">
        <v>0.3</v>
      </c>
      <c r="I30" s="37">
        <v>0.2</v>
      </c>
      <c r="J30" s="45"/>
      <c r="K30" s="202"/>
      <c r="L30" s="38"/>
      <c r="M30" s="38"/>
      <c r="N30" s="38"/>
      <c r="O30" s="38"/>
      <c r="P30" s="39"/>
      <c r="Q30" s="78">
        <f t="shared" si="2"/>
        <v>1</v>
      </c>
      <c r="R30" s="67">
        <f t="shared" si="3"/>
        <v>-1</v>
      </c>
    </row>
    <row r="31" spans="1:18" ht="14.4" thickBot="1" x14ac:dyDescent="0.3">
      <c r="A31" s="213"/>
      <c r="B31" s="219"/>
      <c r="C31" s="217"/>
      <c r="D31" s="219"/>
      <c r="E31" s="40">
        <f>E30*C30</f>
        <v>0</v>
      </c>
      <c r="F31" s="40">
        <f>F30*C30</f>
        <v>1737.2147500000001</v>
      </c>
      <c r="G31" s="40">
        <f>G30*C30</f>
        <v>2605.8221249999997</v>
      </c>
      <c r="H31" s="40">
        <f>H30*C30</f>
        <v>2605.8221249999997</v>
      </c>
      <c r="I31" s="40">
        <f>I30*C30</f>
        <v>1737.2147500000001</v>
      </c>
      <c r="J31" s="40">
        <f>J30*C30</f>
        <v>0</v>
      </c>
      <c r="K31" s="201"/>
      <c r="L31" s="41"/>
      <c r="M31" s="41"/>
      <c r="N31" s="41"/>
      <c r="O31" s="41"/>
      <c r="P31" s="42"/>
      <c r="Q31" s="3">
        <f t="shared" si="2"/>
        <v>8686.0737499999996</v>
      </c>
      <c r="R31" s="67">
        <f t="shared" si="3"/>
        <v>0</v>
      </c>
    </row>
    <row r="32" spans="1:18" x14ac:dyDescent="0.25">
      <c r="A32" s="212" t="s">
        <v>384</v>
      </c>
      <c r="B32" s="218" t="str">
        <f>'[2]Orçamento Sintético'!D63</f>
        <v>REVESTIMENTOS EXTERNOS</v>
      </c>
      <c r="C32" s="216">
        <f>'Orçamento Sintético'!I53</f>
        <v>8284.7946250000023</v>
      </c>
      <c r="D32" s="218" t="s">
        <v>373</v>
      </c>
      <c r="E32" s="46"/>
      <c r="F32" s="37">
        <v>0.2</v>
      </c>
      <c r="G32" s="37">
        <v>0.3</v>
      </c>
      <c r="H32" s="37">
        <v>0.3</v>
      </c>
      <c r="I32" s="37">
        <v>0.2</v>
      </c>
      <c r="J32" s="45"/>
      <c r="K32" s="202"/>
      <c r="L32" s="38"/>
      <c r="M32" s="38"/>
      <c r="N32" s="38"/>
      <c r="O32" s="38"/>
      <c r="P32" s="39"/>
      <c r="Q32" s="78">
        <f t="shared" si="2"/>
        <v>1</v>
      </c>
      <c r="R32" s="67">
        <f t="shared" si="3"/>
        <v>-1</v>
      </c>
    </row>
    <row r="33" spans="1:18" ht="14.4" thickBot="1" x14ac:dyDescent="0.3">
      <c r="A33" s="213"/>
      <c r="B33" s="219"/>
      <c r="C33" s="217"/>
      <c r="D33" s="219"/>
      <c r="E33" s="40"/>
      <c r="F33" s="40">
        <f>F32*C32</f>
        <v>1656.9589250000006</v>
      </c>
      <c r="G33" s="40">
        <f>G32*C32</f>
        <v>2485.4383875000008</v>
      </c>
      <c r="H33" s="40">
        <f>H32*C32</f>
        <v>2485.4383875000008</v>
      </c>
      <c r="I33" s="40">
        <f>I32*C32</f>
        <v>1656.9589250000006</v>
      </c>
      <c r="J33" s="40">
        <f>J32*C32</f>
        <v>0</v>
      </c>
      <c r="K33" s="201"/>
      <c r="L33" s="41"/>
      <c r="M33" s="41"/>
      <c r="N33" s="41"/>
      <c r="O33" s="41"/>
      <c r="P33" s="42"/>
      <c r="Q33" s="3">
        <f t="shared" si="2"/>
        <v>8284.7946250000023</v>
      </c>
      <c r="R33" s="67">
        <f t="shared" si="3"/>
        <v>0</v>
      </c>
    </row>
    <row r="34" spans="1:18" x14ac:dyDescent="0.25">
      <c r="A34" s="212" t="s">
        <v>385</v>
      </c>
      <c r="B34" s="218" t="str">
        <f>'[2]Orçamento Sintético'!D66</f>
        <v>FORROS</v>
      </c>
      <c r="C34" s="216">
        <f>'Orçamento Sintético'!I56</f>
        <v>4465.7954999999993</v>
      </c>
      <c r="D34" s="218" t="s">
        <v>373</v>
      </c>
      <c r="E34" s="46"/>
      <c r="F34" s="43"/>
      <c r="G34" s="43"/>
      <c r="H34" s="37">
        <v>0.3</v>
      </c>
      <c r="I34" s="37">
        <v>0.3</v>
      </c>
      <c r="J34" s="37">
        <v>0.4</v>
      </c>
      <c r="K34" s="202"/>
      <c r="L34" s="38"/>
      <c r="M34" s="38"/>
      <c r="N34" s="38"/>
      <c r="O34" s="38"/>
      <c r="P34" s="39"/>
      <c r="Q34" s="78">
        <f t="shared" si="2"/>
        <v>1</v>
      </c>
      <c r="R34" s="67">
        <f t="shared" si="3"/>
        <v>-1</v>
      </c>
    </row>
    <row r="35" spans="1:18" ht="14.4" thickBot="1" x14ac:dyDescent="0.3">
      <c r="A35" s="213"/>
      <c r="B35" s="219"/>
      <c r="C35" s="217"/>
      <c r="D35" s="219"/>
      <c r="E35" s="40"/>
      <c r="F35" s="40">
        <f>F34*C34</f>
        <v>0</v>
      </c>
      <c r="G35" s="40">
        <f>G34*C34</f>
        <v>0</v>
      </c>
      <c r="H35" s="40">
        <f>H34*C34</f>
        <v>1339.7386499999998</v>
      </c>
      <c r="I35" s="40">
        <f>I34*C34</f>
        <v>1339.7386499999998</v>
      </c>
      <c r="J35" s="40">
        <f>J34*C34</f>
        <v>1786.3181999999997</v>
      </c>
      <c r="K35" s="201"/>
      <c r="L35" s="41"/>
      <c r="M35" s="41"/>
      <c r="N35" s="41"/>
      <c r="O35" s="41"/>
      <c r="P35" s="42"/>
      <c r="Q35" s="3">
        <f t="shared" si="2"/>
        <v>4465.7954999999993</v>
      </c>
      <c r="R35" s="67">
        <f t="shared" si="3"/>
        <v>0</v>
      </c>
    </row>
    <row r="36" spans="1:18" x14ac:dyDescent="0.25">
      <c r="A36" s="212" t="s">
        <v>386</v>
      </c>
      <c r="B36" s="218" t="str">
        <f>'[2]Orçamento Sintético'!D68</f>
        <v>PINTURA</v>
      </c>
      <c r="C36" s="216">
        <f>'Orçamento Sintético'!I58</f>
        <v>5986.8967750000011</v>
      </c>
      <c r="D36" s="218" t="s">
        <v>373</v>
      </c>
      <c r="E36" s="46"/>
      <c r="F36" s="43"/>
      <c r="G36" s="43"/>
      <c r="H36" s="37">
        <v>0.3</v>
      </c>
      <c r="I36" s="37">
        <v>0.3</v>
      </c>
      <c r="J36" s="37">
        <v>0.4</v>
      </c>
      <c r="K36" s="202"/>
      <c r="L36" s="38"/>
      <c r="M36" s="46"/>
      <c r="N36" s="38"/>
      <c r="O36" s="38"/>
      <c r="P36" s="39"/>
      <c r="Q36" s="78">
        <f t="shared" si="2"/>
        <v>1</v>
      </c>
      <c r="R36" s="67">
        <f t="shared" si="3"/>
        <v>-1</v>
      </c>
    </row>
    <row r="37" spans="1:18" ht="14.4" thickBot="1" x14ac:dyDescent="0.3">
      <c r="A37" s="213"/>
      <c r="B37" s="219"/>
      <c r="C37" s="217"/>
      <c r="D37" s="219"/>
      <c r="E37" s="40"/>
      <c r="F37" s="40">
        <f>F36*C36</f>
        <v>0</v>
      </c>
      <c r="G37" s="40">
        <f>G36*C36</f>
        <v>0</v>
      </c>
      <c r="H37" s="40">
        <f>H36*C36</f>
        <v>1796.0690325000003</v>
      </c>
      <c r="I37" s="40">
        <f>I36*C36</f>
        <v>1796.0690325000003</v>
      </c>
      <c r="J37" s="40">
        <f>J36*C36</f>
        <v>2394.7587100000005</v>
      </c>
      <c r="K37" s="201"/>
      <c r="L37" s="41"/>
      <c r="M37" s="41"/>
      <c r="N37" s="41"/>
      <c r="O37" s="41"/>
      <c r="P37" s="42"/>
      <c r="Q37" s="3">
        <f t="shared" si="2"/>
        <v>5986.8967750000011</v>
      </c>
      <c r="R37" s="67">
        <f t="shared" si="3"/>
        <v>0</v>
      </c>
    </row>
    <row r="38" spans="1:18" x14ac:dyDescent="0.25">
      <c r="A38" s="212" t="s">
        <v>387</v>
      </c>
      <c r="B38" s="218" t="str">
        <f>'[2]Orçamento Sintético'!D80</f>
        <v>PISO</v>
      </c>
      <c r="C38" s="216">
        <f>'Orçamento Sintético'!I67</f>
        <v>10060.505027499999</v>
      </c>
      <c r="D38" s="218" t="s">
        <v>373</v>
      </c>
      <c r="E38" s="46"/>
      <c r="F38" s="37">
        <v>0.2</v>
      </c>
      <c r="G38" s="37">
        <v>0.2</v>
      </c>
      <c r="H38" s="37">
        <v>0.2</v>
      </c>
      <c r="I38" s="37">
        <v>0.2</v>
      </c>
      <c r="J38" s="37">
        <v>0.2</v>
      </c>
      <c r="K38" s="46"/>
      <c r="L38" s="38"/>
      <c r="M38" s="38"/>
      <c r="N38" s="38"/>
      <c r="O38" s="38"/>
      <c r="P38" s="39"/>
      <c r="Q38" s="78">
        <f t="shared" si="2"/>
        <v>1</v>
      </c>
      <c r="R38" s="67">
        <f t="shared" si="3"/>
        <v>-1</v>
      </c>
    </row>
    <row r="39" spans="1:18" ht="14.4" thickBot="1" x14ac:dyDescent="0.3">
      <c r="A39" s="213"/>
      <c r="B39" s="219"/>
      <c r="C39" s="217"/>
      <c r="D39" s="219"/>
      <c r="E39" s="40"/>
      <c r="F39" s="40">
        <f>F38*C38</f>
        <v>2012.1010054999999</v>
      </c>
      <c r="G39" s="40">
        <f>G38*C38</f>
        <v>2012.1010054999999</v>
      </c>
      <c r="H39" s="40">
        <f>H38*C38</f>
        <v>2012.1010054999999</v>
      </c>
      <c r="I39" s="40">
        <f>I38*C38</f>
        <v>2012.1010054999999</v>
      </c>
      <c r="J39" s="40">
        <f>J38*C38</f>
        <v>2012.1010054999999</v>
      </c>
      <c r="K39" s="201"/>
      <c r="L39" s="41"/>
      <c r="M39" s="41"/>
      <c r="N39" s="41"/>
      <c r="O39" s="41"/>
      <c r="P39" s="42"/>
      <c r="Q39" s="3">
        <f t="shared" si="2"/>
        <v>10060.505027499999</v>
      </c>
      <c r="R39" s="67">
        <f t="shared" si="3"/>
        <v>0</v>
      </c>
    </row>
    <row r="40" spans="1:18" x14ac:dyDescent="0.25">
      <c r="A40" s="212" t="s">
        <v>388</v>
      </c>
      <c r="B40" s="218" t="str">
        <f>'[2]Orçamento Sintético'!D89</f>
        <v>ELÉTRICAS / TELEFÔNICAS</v>
      </c>
      <c r="C40" s="216">
        <f>'Orçamento Sintético'!I74</f>
        <v>6641.6887500000003</v>
      </c>
      <c r="D40" s="218" t="s">
        <v>373</v>
      </c>
      <c r="E40" s="46"/>
      <c r="F40" s="37">
        <v>0.2</v>
      </c>
      <c r="G40" s="37">
        <v>0.3</v>
      </c>
      <c r="H40" s="37">
        <v>0.3</v>
      </c>
      <c r="I40" s="37">
        <v>0.2</v>
      </c>
      <c r="J40" s="202"/>
      <c r="K40" s="202"/>
      <c r="L40" s="38"/>
      <c r="M40" s="38"/>
      <c r="N40" s="38"/>
      <c r="O40" s="38"/>
      <c r="P40" s="39"/>
      <c r="Q40" s="78">
        <f t="shared" si="2"/>
        <v>1</v>
      </c>
      <c r="R40" s="67">
        <f t="shared" si="3"/>
        <v>-1</v>
      </c>
    </row>
    <row r="41" spans="1:18" ht="14.4" thickBot="1" x14ac:dyDescent="0.3">
      <c r="A41" s="213"/>
      <c r="B41" s="219"/>
      <c r="C41" s="217"/>
      <c r="D41" s="219"/>
      <c r="E41" s="40"/>
      <c r="F41" s="40">
        <f>F40*C40</f>
        <v>1328.3377500000001</v>
      </c>
      <c r="G41" s="40">
        <f>G40*C40</f>
        <v>1992.506625</v>
      </c>
      <c r="H41" s="40">
        <f>H40*C40</f>
        <v>1992.506625</v>
      </c>
      <c r="I41" s="40">
        <f>I40*C40</f>
        <v>1328.3377500000001</v>
      </c>
      <c r="J41" s="40">
        <f>J40*C40</f>
        <v>0</v>
      </c>
      <c r="K41" s="201"/>
      <c r="L41" s="41"/>
      <c r="M41" s="41"/>
      <c r="N41" s="41"/>
      <c r="O41" s="41"/>
      <c r="P41" s="42"/>
      <c r="Q41" s="3">
        <f t="shared" si="2"/>
        <v>6641.6887500000012</v>
      </c>
      <c r="R41" s="67">
        <f t="shared" si="3"/>
        <v>0</v>
      </c>
    </row>
    <row r="42" spans="1:18" x14ac:dyDescent="0.25">
      <c r="A42" s="212" t="s">
        <v>389</v>
      </c>
      <c r="B42" s="218" t="str">
        <f>'[2]Orçamento Sintético'!D119</f>
        <v>HIDRÁULICAS / GÁS / INCÊNCIO</v>
      </c>
      <c r="C42" s="216">
        <f>'Orçamento Sintético'!I95</f>
        <v>2325.355</v>
      </c>
      <c r="D42" s="218" t="s">
        <v>373</v>
      </c>
      <c r="E42" s="46"/>
      <c r="F42" s="37">
        <v>0.2</v>
      </c>
      <c r="G42" s="37">
        <v>0.3</v>
      </c>
      <c r="H42" s="37">
        <v>0.3</v>
      </c>
      <c r="I42" s="37">
        <v>0.2</v>
      </c>
      <c r="J42" s="45"/>
      <c r="K42" s="202"/>
      <c r="L42" s="38"/>
      <c r="M42" s="38"/>
      <c r="N42" s="38"/>
      <c r="O42" s="38"/>
      <c r="P42" s="39"/>
      <c r="Q42" s="78">
        <f t="shared" si="2"/>
        <v>1</v>
      </c>
      <c r="R42" s="67">
        <f t="shared" si="3"/>
        <v>-1</v>
      </c>
    </row>
    <row r="43" spans="1:18" ht="14.4" thickBot="1" x14ac:dyDescent="0.3">
      <c r="A43" s="213"/>
      <c r="B43" s="219"/>
      <c r="C43" s="217"/>
      <c r="D43" s="219"/>
      <c r="E43" s="40"/>
      <c r="F43" s="40">
        <f>F42*C42</f>
        <v>465.07100000000003</v>
      </c>
      <c r="G43" s="40">
        <f>G42*C42</f>
        <v>697.60649999999998</v>
      </c>
      <c r="H43" s="40">
        <f>H42*C42</f>
        <v>697.60649999999998</v>
      </c>
      <c r="I43" s="40">
        <f>I42*C42</f>
        <v>465.07100000000003</v>
      </c>
      <c r="J43" s="40">
        <f>J42*C42</f>
        <v>0</v>
      </c>
      <c r="K43" s="201"/>
      <c r="L43" s="41"/>
      <c r="M43" s="41"/>
      <c r="N43" s="41"/>
      <c r="O43" s="41"/>
      <c r="P43" s="42"/>
      <c r="Q43" s="3">
        <f t="shared" si="2"/>
        <v>2325.355</v>
      </c>
      <c r="R43" s="67">
        <f t="shared" si="3"/>
        <v>0</v>
      </c>
    </row>
    <row r="44" spans="1:18" x14ac:dyDescent="0.25">
      <c r="A44" s="212" t="s">
        <v>390</v>
      </c>
      <c r="B44" s="218" t="str">
        <f>'[2]Orçamento Sintético'!D151</f>
        <v>SANITÁRIAS / PLUVIAL</v>
      </c>
      <c r="C44" s="216">
        <f>'Orçamento Sintético'!I115</f>
        <v>3178.2699999999995</v>
      </c>
      <c r="D44" s="218" t="s">
        <v>373</v>
      </c>
      <c r="E44" s="46"/>
      <c r="F44" s="37">
        <v>0.2</v>
      </c>
      <c r="G44" s="37">
        <v>0.3</v>
      </c>
      <c r="H44" s="37">
        <v>0.3</v>
      </c>
      <c r="I44" s="37">
        <v>0.2</v>
      </c>
      <c r="J44" s="45"/>
      <c r="K44" s="202"/>
      <c r="L44" s="38"/>
      <c r="M44" s="38"/>
      <c r="N44" s="38"/>
      <c r="O44" s="38"/>
      <c r="P44" s="39"/>
      <c r="Q44" s="78">
        <f t="shared" si="2"/>
        <v>1</v>
      </c>
      <c r="R44" s="67">
        <f t="shared" si="3"/>
        <v>-1</v>
      </c>
    </row>
    <row r="45" spans="1:18" ht="14.4" thickBot="1" x14ac:dyDescent="0.3">
      <c r="A45" s="213"/>
      <c r="B45" s="219"/>
      <c r="C45" s="217"/>
      <c r="D45" s="219"/>
      <c r="E45" s="40"/>
      <c r="F45" s="40">
        <f>F44*C44</f>
        <v>635.654</v>
      </c>
      <c r="G45" s="40">
        <f>G44*C44</f>
        <v>953.48099999999977</v>
      </c>
      <c r="H45" s="40">
        <f>H44*C44</f>
        <v>953.48099999999977</v>
      </c>
      <c r="I45" s="40">
        <f>I44*C44</f>
        <v>635.654</v>
      </c>
      <c r="J45" s="40">
        <f>J44*C44</f>
        <v>0</v>
      </c>
      <c r="K45" s="201"/>
      <c r="L45" s="41"/>
      <c r="M45" s="41"/>
      <c r="N45" s="41"/>
      <c r="O45" s="41"/>
      <c r="P45" s="42"/>
      <c r="Q45" s="3">
        <f t="shared" si="2"/>
        <v>3178.2699999999995</v>
      </c>
      <c r="R45" s="67">
        <f t="shared" si="3"/>
        <v>0</v>
      </c>
    </row>
    <row r="46" spans="1:18" x14ac:dyDescent="0.25">
      <c r="A46" s="212" t="s">
        <v>391</v>
      </c>
      <c r="B46" s="218" t="str">
        <f>'[2]Orçamento Sintético'!D171</f>
        <v>APARELHOS, METAIS E BANCADAS</v>
      </c>
      <c r="C46" s="216">
        <f>'Orçamento Sintético'!I127</f>
        <v>1236.1125</v>
      </c>
      <c r="D46" s="218" t="s">
        <v>373</v>
      </c>
      <c r="E46" s="46"/>
      <c r="F46" s="43"/>
      <c r="G46" s="43"/>
      <c r="H46" s="37">
        <v>0.3</v>
      </c>
      <c r="I46" s="37">
        <v>0.4</v>
      </c>
      <c r="J46" s="37">
        <v>0.3</v>
      </c>
      <c r="K46" s="202"/>
      <c r="L46" s="38"/>
      <c r="M46" s="46"/>
      <c r="N46" s="38"/>
      <c r="O46" s="38"/>
      <c r="P46" s="39"/>
      <c r="Q46" s="78">
        <f t="shared" si="2"/>
        <v>1</v>
      </c>
      <c r="R46" s="67">
        <f t="shared" si="3"/>
        <v>-1</v>
      </c>
    </row>
    <row r="47" spans="1:18" ht="14.4" thickBot="1" x14ac:dyDescent="0.3">
      <c r="A47" s="213"/>
      <c r="B47" s="219"/>
      <c r="C47" s="217"/>
      <c r="D47" s="219"/>
      <c r="E47" s="40"/>
      <c r="F47" s="40">
        <f>F46*C46</f>
        <v>0</v>
      </c>
      <c r="G47" s="40">
        <f>G46*C46</f>
        <v>0</v>
      </c>
      <c r="H47" s="40">
        <f>H46*C46</f>
        <v>370.83374999999995</v>
      </c>
      <c r="I47" s="40">
        <f>I46*C46</f>
        <v>494.44499999999999</v>
      </c>
      <c r="J47" s="40">
        <f>J46*C46</f>
        <v>370.83374999999995</v>
      </c>
      <c r="K47" s="201"/>
      <c r="L47" s="41"/>
      <c r="M47" s="41"/>
      <c r="N47" s="41"/>
      <c r="O47" s="41"/>
      <c r="P47" s="42"/>
      <c r="Q47" s="3">
        <f t="shared" si="2"/>
        <v>1236.1125</v>
      </c>
      <c r="R47" s="67">
        <f t="shared" si="3"/>
        <v>0</v>
      </c>
    </row>
    <row r="48" spans="1:18" x14ac:dyDescent="0.25">
      <c r="A48" s="240">
        <f>C11</f>
        <v>119599.470648125</v>
      </c>
      <c r="B48" s="243" t="s">
        <v>392</v>
      </c>
      <c r="C48" s="246" t="s">
        <v>393</v>
      </c>
      <c r="D48" s="247"/>
      <c r="E48" s="47">
        <f>E52/A48</f>
        <v>3.443786109631139E-2</v>
      </c>
      <c r="F48" s="48">
        <f>F52/A48</f>
        <v>0.22610034805966286</v>
      </c>
      <c r="G48" s="48">
        <f>G52/A48</f>
        <v>0.30185891898344269</v>
      </c>
      <c r="H48" s="48">
        <f>H52/A48</f>
        <v>0.2806953815322033</v>
      </c>
      <c r="I48" s="48">
        <f>I52/A48</f>
        <v>0.10023071212638292</v>
      </c>
      <c r="J48" s="48">
        <f>J52/A48</f>
        <v>5.6676769794768884E-2</v>
      </c>
      <c r="K48" s="48">
        <f>K52/A48</f>
        <v>0</v>
      </c>
      <c r="L48" s="48">
        <f>L52/A48</f>
        <v>0</v>
      </c>
      <c r="M48" s="48" t="e">
        <f>M52/A48</f>
        <v>#REF!</v>
      </c>
      <c r="N48" s="38"/>
      <c r="O48" s="38"/>
      <c r="P48" s="39"/>
      <c r="Q48" s="78">
        <f t="shared" si="2"/>
        <v>0.99999999159277198</v>
      </c>
    </row>
    <row r="49" spans="1:19" x14ac:dyDescent="0.25">
      <c r="A49" s="241"/>
      <c r="B49" s="244"/>
      <c r="C49" s="248" t="s">
        <v>394</v>
      </c>
      <c r="D49" s="249"/>
      <c r="E49" s="49">
        <f>(C12*E12)+(C14*E14)+(C16*E16)+(C18*E18)+(C20*E20)+(C22*E22)+(E24*C24)+(E26*C26=(E28*C28+(E30*C30+(E32*C32)+(E34*C34)+(E36*C36)+(E38*C38)+(E40*C40)+(E42*C42)+(E44*C44)+(E46*C46))))-1</f>
        <v>4118.7499573724999</v>
      </c>
      <c r="F49" s="49">
        <f>(C12*F12)+(C14*F14)+(C16*F16)+(C18*F18)+(C20*F20)+(C22*F22)+(C24*F24)+(F26*C26)+(F28*C28)+(F30*C30)+(F32*C32)+(F34*C34)+(F36*C36)+(F38*C38)+(F40*C40)+(F42*C42)+(F44*C44)+(F46*C46)</f>
        <v>27041.481941292495</v>
      </c>
      <c r="G49" s="49">
        <f>(G14*C14)+(G16*C16)+(G18*C18)+(G20*C20)+(C12*G12)+(C22*G22)+(C24*G24)+(G26*C26)+(G28*C28)+(G30*C30)+(G32*C32)+(G34*C34)+(G36*C36)*(G38*C38)+(G40*C40)+(G42*C42)+(G44*C44)+(G46*C46)+2012.1</f>
        <v>36102.166920834999</v>
      </c>
      <c r="H49" s="50">
        <f>(C12*H12)+(H14*C14)+(H16*C16)+(H18*C18)+(H20*C20)+(H22*C22)+(H24*C24)+(C26*H26)+(C28*H28)+(C30*H30)+(H32*C32)+(H34*C34)+(H36*C36)+(H38*C38)+(H40*C40)+(H42*C42)+(H44*C44)+(H46*C46)</f>
        <v>33571.019044624998</v>
      </c>
      <c r="I49" s="51">
        <f>(C12*I12)+(C30*I30)+(C42*I42)+(C44*I44)+(I32*C32)+(I34*C34)+(I36*C36)+(I38*C38)+(I40*C40)+(I46*C46)</f>
        <v>11987.540113000001</v>
      </c>
      <c r="J49" s="52">
        <f>(C12*J12)+(C32*J32)+(C34*J34)+(C40*J40)+(J36*C36)+(J38*C38)+(J46*C46)</f>
        <v>6778.5116654999993</v>
      </c>
      <c r="K49" s="53">
        <f>(C12*K12)+(C38*K38)-K50</f>
        <v>0</v>
      </c>
      <c r="L49" s="54">
        <f>(C12*L12)+(C26*L26)-L50</f>
        <v>0</v>
      </c>
      <c r="M49" s="54" t="e">
        <f>(C12*M12)+(C36*M36)+(C46*M46)+(#REF!*#REF!)-M50</f>
        <v>#REF!</v>
      </c>
      <c r="N49" s="55"/>
      <c r="O49" s="55"/>
      <c r="P49" s="56"/>
      <c r="Q49" s="57"/>
      <c r="S49" s="3"/>
    </row>
    <row r="50" spans="1:19" x14ac:dyDescent="0.25">
      <c r="A50" s="241"/>
      <c r="B50" s="244"/>
      <c r="C50" s="250"/>
      <c r="D50" s="251"/>
      <c r="E50" s="58"/>
      <c r="F50" s="58"/>
      <c r="G50" s="58"/>
      <c r="H50" s="58"/>
      <c r="I50" s="58"/>
      <c r="J50" s="58"/>
      <c r="K50" s="58"/>
      <c r="L50" s="58"/>
      <c r="M50" s="58"/>
      <c r="N50" s="55"/>
      <c r="O50" s="55"/>
      <c r="P50" s="56"/>
      <c r="Q50" s="3">
        <f>4.83+22.1+29.96+28.59+9.49+3.9</f>
        <v>98.87</v>
      </c>
      <c r="S50" s="3"/>
    </row>
    <row r="51" spans="1:19" x14ac:dyDescent="0.25">
      <c r="A51" s="241"/>
      <c r="B51" s="244"/>
      <c r="C51" s="236" t="s">
        <v>396</v>
      </c>
      <c r="D51" s="237"/>
      <c r="E51" s="59" t="s">
        <v>397</v>
      </c>
      <c r="F51" s="60" t="s">
        <v>397</v>
      </c>
      <c r="G51" s="60"/>
      <c r="H51" s="59"/>
      <c r="I51" s="61"/>
      <c r="J51" s="62"/>
      <c r="K51" s="63"/>
      <c r="L51" s="55"/>
      <c r="M51" s="55"/>
      <c r="N51" s="55"/>
      <c r="O51" s="55"/>
      <c r="P51" s="56"/>
      <c r="S51" s="3"/>
    </row>
    <row r="52" spans="1:19" x14ac:dyDescent="0.25">
      <c r="A52" s="241"/>
      <c r="B52" s="245"/>
      <c r="C52" s="250" t="s">
        <v>398</v>
      </c>
      <c r="D52" s="251"/>
      <c r="E52" s="64">
        <f>E49+E50</f>
        <v>4118.7499573724999</v>
      </c>
      <c r="F52" s="64">
        <f>F49+F50</f>
        <v>27041.481941292495</v>
      </c>
      <c r="G52" s="64">
        <f>G50+G49</f>
        <v>36102.166920834999</v>
      </c>
      <c r="H52" s="64">
        <f>H49+H50</f>
        <v>33571.019044624998</v>
      </c>
      <c r="I52" s="64">
        <f>I50+I49</f>
        <v>11987.540113000001</v>
      </c>
      <c r="J52" s="64">
        <f>J50+J49</f>
        <v>6778.5116654999993</v>
      </c>
      <c r="K52" s="64">
        <f>K50+K49</f>
        <v>0</v>
      </c>
      <c r="L52" s="64">
        <f>L50+L49</f>
        <v>0</v>
      </c>
      <c r="M52" s="64" t="e">
        <f>M50+M49</f>
        <v>#REF!</v>
      </c>
      <c r="N52" s="55"/>
      <c r="O52" s="55"/>
      <c r="P52" s="56"/>
      <c r="S52" s="3"/>
    </row>
    <row r="53" spans="1:19" x14ac:dyDescent="0.25">
      <c r="A53" s="241"/>
      <c r="B53" s="252" t="s">
        <v>399</v>
      </c>
      <c r="C53" s="255" t="s">
        <v>393</v>
      </c>
      <c r="D53" s="256"/>
      <c r="E53" s="65">
        <f>E48</f>
        <v>3.443786109631139E-2</v>
      </c>
      <c r="F53" s="66">
        <f t="shared" ref="F53:M55" si="4">E53+F48</f>
        <v>0.26053820915597425</v>
      </c>
      <c r="G53" s="66">
        <f t="shared" si="4"/>
        <v>0.56239712813941689</v>
      </c>
      <c r="H53" s="66">
        <f t="shared" si="4"/>
        <v>0.84309250967162019</v>
      </c>
      <c r="I53" s="66">
        <f t="shared" si="4"/>
        <v>0.9433232217980031</v>
      </c>
      <c r="J53" s="66">
        <f t="shared" si="4"/>
        <v>0.99999999159277198</v>
      </c>
      <c r="K53" s="66">
        <f t="shared" si="4"/>
        <v>0.99999999159277198</v>
      </c>
      <c r="L53" s="66">
        <f t="shared" si="4"/>
        <v>0.99999999159277198</v>
      </c>
      <c r="M53" s="66" t="e">
        <f t="shared" si="4"/>
        <v>#REF!</v>
      </c>
      <c r="N53" s="55"/>
      <c r="O53" s="55"/>
      <c r="P53" s="56"/>
      <c r="S53" s="67"/>
    </row>
    <row r="54" spans="1:19" x14ac:dyDescent="0.25">
      <c r="A54" s="241"/>
      <c r="B54" s="253"/>
      <c r="C54" s="248" t="s">
        <v>394</v>
      </c>
      <c r="D54" s="249"/>
      <c r="E54" s="68">
        <f>E49</f>
        <v>4118.7499573724999</v>
      </c>
      <c r="F54" s="69">
        <f t="shared" si="4"/>
        <v>31160.231898664995</v>
      </c>
      <c r="G54" s="70">
        <f t="shared" si="4"/>
        <v>67262.398819499998</v>
      </c>
      <c r="H54" s="69">
        <f t="shared" si="4"/>
        <v>100833.41786412499</v>
      </c>
      <c r="I54" s="71">
        <f t="shared" si="4"/>
        <v>112820.95797712498</v>
      </c>
      <c r="J54" s="72">
        <f t="shared" si="4"/>
        <v>119599.46964262499</v>
      </c>
      <c r="K54" s="53">
        <f t="shared" si="4"/>
        <v>119599.46964262499</v>
      </c>
      <c r="L54" s="54">
        <f t="shared" si="4"/>
        <v>119599.46964262499</v>
      </c>
      <c r="M54" s="54" t="e">
        <f t="shared" si="4"/>
        <v>#REF!</v>
      </c>
      <c r="N54" s="55"/>
      <c r="O54" s="55"/>
      <c r="P54" s="56"/>
    </row>
    <row r="55" spans="1:19" x14ac:dyDescent="0.25">
      <c r="A55" s="241"/>
      <c r="B55" s="253"/>
      <c r="C55" s="250" t="s">
        <v>395</v>
      </c>
      <c r="D55" s="251"/>
      <c r="E55" s="73">
        <f>E50</f>
        <v>0</v>
      </c>
      <c r="F55" s="74">
        <f>E55+F50</f>
        <v>0</v>
      </c>
      <c r="G55" s="75">
        <f t="shared" si="4"/>
        <v>0</v>
      </c>
      <c r="H55" s="75">
        <f t="shared" si="4"/>
        <v>0</v>
      </c>
      <c r="I55" s="75">
        <f t="shared" si="4"/>
        <v>0</v>
      </c>
      <c r="J55" s="75">
        <f t="shared" si="4"/>
        <v>0</v>
      </c>
      <c r="K55" s="75">
        <f t="shared" si="4"/>
        <v>0</v>
      </c>
      <c r="L55" s="75">
        <f t="shared" si="4"/>
        <v>0</v>
      </c>
      <c r="M55" s="75">
        <f t="shared" si="4"/>
        <v>0</v>
      </c>
      <c r="N55" s="55"/>
      <c r="O55" s="55"/>
      <c r="P55" s="56"/>
    </row>
    <row r="56" spans="1:19" x14ac:dyDescent="0.25">
      <c r="A56" s="241"/>
      <c r="B56" s="253"/>
      <c r="C56" s="236" t="s">
        <v>396</v>
      </c>
      <c r="D56" s="237"/>
      <c r="E56" s="59" t="s">
        <v>397</v>
      </c>
      <c r="F56" s="60" t="s">
        <v>397</v>
      </c>
      <c r="G56" s="60"/>
      <c r="H56" s="59"/>
      <c r="I56" s="61"/>
      <c r="J56" s="62"/>
      <c r="K56" s="63"/>
      <c r="L56" s="55"/>
      <c r="M56" s="55"/>
      <c r="N56" s="55"/>
      <c r="O56" s="55"/>
      <c r="P56" s="56"/>
    </row>
    <row r="57" spans="1:19" ht="14.4" thickBot="1" x14ac:dyDescent="0.3">
      <c r="A57" s="242"/>
      <c r="B57" s="254"/>
      <c r="C57" s="238" t="s">
        <v>398</v>
      </c>
      <c r="D57" s="239"/>
      <c r="E57" s="76">
        <f>E52</f>
        <v>4118.7499573724999</v>
      </c>
      <c r="F57" s="77">
        <f t="shared" ref="F57:M57" si="5">E57+F52</f>
        <v>31160.231898664995</v>
      </c>
      <c r="G57" s="77">
        <f t="shared" si="5"/>
        <v>67262.398819499998</v>
      </c>
      <c r="H57" s="77">
        <f t="shared" si="5"/>
        <v>100833.41786412499</v>
      </c>
      <c r="I57" s="77">
        <f t="shared" si="5"/>
        <v>112820.95797712498</v>
      </c>
      <c r="J57" s="77">
        <f t="shared" si="5"/>
        <v>119599.46964262499</v>
      </c>
      <c r="K57" s="77">
        <f t="shared" si="5"/>
        <v>119599.46964262499</v>
      </c>
      <c r="L57" s="77">
        <f t="shared" si="5"/>
        <v>119599.46964262499</v>
      </c>
      <c r="M57" s="77" t="e">
        <f t="shared" si="5"/>
        <v>#REF!</v>
      </c>
      <c r="N57" s="41"/>
      <c r="O57" s="41"/>
      <c r="P57" s="42"/>
    </row>
    <row r="59" spans="1:19" x14ac:dyDescent="0.25">
      <c r="E59" s="3" t="e">
        <f>SUM(E13+E15+E17+E19+E21+E23+E25+E27+E29+E31+E33+E35+E37+E39+E41+E43+E45+E47+#REF!)</f>
        <v>#REF!</v>
      </c>
      <c r="F59" s="3" t="e">
        <f>SUM(F13+F15+F17+F19+F21+F23+F25+F27+F29+F31+F33+F35+F37+F39+F41+F43+F45+F47+#REF!)</f>
        <v>#REF!</v>
      </c>
      <c r="G59" s="3" t="e">
        <f>SUM(G13+G15+G17+G19+G21+G23+G25+G27+G29+G31+G33+G35+G37+G39+G41+G43+G45+G47+#REF!)</f>
        <v>#REF!</v>
      </c>
      <c r="H59" s="3" t="e">
        <f>SUM(H13+H15+H17+H19+H21+H23+H25+H27+H29+H31+H33+H35+H37+H39+H41+H43+H45+H47+#REF!)</f>
        <v>#VALUE!</v>
      </c>
      <c r="I59" s="3" t="e">
        <f>SUM(I13+I15+I17+I19+I21+I23+I25+I27+I29+I31+I33+I35+I37+I39+I41+I43+I45+I47+#REF!)</f>
        <v>#REF!</v>
      </c>
      <c r="J59" s="3" t="e">
        <f>SUM(J13+J15+J17+J19+J21+J23+J25+J27+J29+J31+J33+J35+J37+J39+J41+J43+J45+J47+#REF!)</f>
        <v>#REF!</v>
      </c>
      <c r="K59" s="3" t="e">
        <f>SUM(K13+K15+K17+K19+K21+K23+K25+K27+K29+K31+K33+K35+K37+K39+K41+K43+K45+K47+#REF!)</f>
        <v>#REF!</v>
      </c>
      <c r="L59" s="3" t="e">
        <f>SUM(L13+L15+L17+L19+L21+L23+L25+L27+L29+L31+L33+L35+L37+L39+L41+L43+L45+L47+#REF!)</f>
        <v>#REF!</v>
      </c>
      <c r="M59" s="3" t="e">
        <f>SUM(M13+M15+M17+M19+M21+M23+M25+M27+M29+M31+M33+M35+M37+M39+M41+M43+M45+M47+#REF!)</f>
        <v>#REF!</v>
      </c>
      <c r="N59" s="3" t="e">
        <f>SUM(N13+N15+N17+N19+N21+N23+N25+N27+N29+N31+N33+N35+N37+N39+N41+N43+N45+N47+#REF!)</f>
        <v>#REF!</v>
      </c>
      <c r="O59" s="3" t="e">
        <f>SUM(O13+O15+O17+O19+O21+O23+O25+O27+O29+O31+O33+O35+O37+O39+O41+O43+O45+O47+#REF!)</f>
        <v>#REF!</v>
      </c>
      <c r="P59" s="3" t="e">
        <f>SUM(P13+P15+P17+P19+P21+P23+P25+P27+P29+P31+P33+P35+P37+P39+P41+P43+P45+P47+#REF!)</f>
        <v>#REF!</v>
      </c>
    </row>
    <row r="60" spans="1:19" x14ac:dyDescent="0.25">
      <c r="E60" s="57" t="e">
        <f>E49-E59</f>
        <v>#REF!</v>
      </c>
      <c r="F60" s="57" t="e">
        <f t="shared" ref="F60:J60" si="6">F49-F59</f>
        <v>#REF!</v>
      </c>
      <c r="G60" s="57" t="e">
        <f t="shared" si="6"/>
        <v>#REF!</v>
      </c>
      <c r="H60" s="57" t="e">
        <f t="shared" si="6"/>
        <v>#VALUE!</v>
      </c>
      <c r="I60" s="57" t="e">
        <f t="shared" si="6"/>
        <v>#REF!</v>
      </c>
      <c r="J60" s="57" t="e">
        <f t="shared" si="6"/>
        <v>#REF!</v>
      </c>
    </row>
    <row r="61" spans="1:19" x14ac:dyDescent="0.25">
      <c r="D61" s="78"/>
      <c r="E61" s="3"/>
      <c r="F61" s="3"/>
      <c r="G61" s="79"/>
      <c r="H61" s="80"/>
      <c r="I61" s="80"/>
    </row>
    <row r="62" spans="1:19" x14ac:dyDescent="0.25">
      <c r="A62" s="67">
        <f>A48/25</f>
        <v>4783.9788259249999</v>
      </c>
      <c r="D62" s="67"/>
      <c r="E62" s="3"/>
      <c r="F62" s="3"/>
      <c r="G62" s="79">
        <f>119599.47-117587.37</f>
        <v>2012.1000000000058</v>
      </c>
      <c r="H62" s="3"/>
      <c r="I62" s="3"/>
    </row>
    <row r="64" spans="1:19" x14ac:dyDescent="0.25">
      <c r="E64" s="67"/>
      <c r="F64" s="67"/>
      <c r="G64" s="67"/>
      <c r="H64" s="80"/>
    </row>
    <row r="65" spans="5:9" x14ac:dyDescent="0.25">
      <c r="E65" s="67"/>
      <c r="F65" s="67"/>
      <c r="G65" s="67"/>
      <c r="H65" s="80"/>
    </row>
    <row r="66" spans="5:9" x14ac:dyDescent="0.25">
      <c r="E66" s="67"/>
      <c r="F66" s="67"/>
      <c r="G66" s="67"/>
      <c r="H66" s="81"/>
    </row>
    <row r="71" spans="5:9" x14ac:dyDescent="0.25">
      <c r="E71" s="3"/>
      <c r="F71" s="3"/>
      <c r="G71" s="3"/>
      <c r="H71" s="80"/>
      <c r="I71" s="80"/>
    </row>
  </sheetData>
  <mergeCells count="94">
    <mergeCell ref="C57:D57"/>
    <mergeCell ref="A48:A57"/>
    <mergeCell ref="B48:B52"/>
    <mergeCell ref="C48:D48"/>
    <mergeCell ref="C49:D49"/>
    <mergeCell ref="C50:D50"/>
    <mergeCell ref="C51:D51"/>
    <mergeCell ref="C52:D52"/>
    <mergeCell ref="B53:B57"/>
    <mergeCell ref="C53:D53"/>
    <mergeCell ref="C54:D54"/>
    <mergeCell ref="C55:D55"/>
    <mergeCell ref="A42:A43"/>
    <mergeCell ref="B42:B43"/>
    <mergeCell ref="C42:C43"/>
    <mergeCell ref="D42:D43"/>
    <mergeCell ref="C56:D56"/>
    <mergeCell ref="A44:A45"/>
    <mergeCell ref="B44:B45"/>
    <mergeCell ref="C44:C45"/>
    <mergeCell ref="D44:D45"/>
    <mergeCell ref="A46:A47"/>
    <mergeCell ref="B46:B47"/>
    <mergeCell ref="C46:C47"/>
    <mergeCell ref="D46:D47"/>
    <mergeCell ref="A38:A39"/>
    <mergeCell ref="B38:B39"/>
    <mergeCell ref="C38:C39"/>
    <mergeCell ref="D38:D39"/>
    <mergeCell ref="A40:A41"/>
    <mergeCell ref="B40:B41"/>
    <mergeCell ref="C40:C41"/>
    <mergeCell ref="D40:D41"/>
    <mergeCell ref="A34:A35"/>
    <mergeCell ref="B34:B35"/>
    <mergeCell ref="C34:C35"/>
    <mergeCell ref="D34:D35"/>
    <mergeCell ref="A36:A37"/>
    <mergeCell ref="B36:B37"/>
    <mergeCell ref="C36:C37"/>
    <mergeCell ref="D36:D37"/>
    <mergeCell ref="A30:A31"/>
    <mergeCell ref="B30:B31"/>
    <mergeCell ref="C30:C31"/>
    <mergeCell ref="D30:D31"/>
    <mergeCell ref="A32:A33"/>
    <mergeCell ref="B32:B33"/>
    <mergeCell ref="C32:C33"/>
    <mergeCell ref="D32:D33"/>
    <mergeCell ref="A26:A27"/>
    <mergeCell ref="B26:B27"/>
    <mergeCell ref="C26:C27"/>
    <mergeCell ref="D26:D27"/>
    <mergeCell ref="A28:A29"/>
    <mergeCell ref="B28:B29"/>
    <mergeCell ref="C28:C29"/>
    <mergeCell ref="D28:D29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B20:B21"/>
    <mergeCell ref="C20:C21"/>
    <mergeCell ref="D20:D21"/>
    <mergeCell ref="A16:A17"/>
    <mergeCell ref="B16:B17"/>
    <mergeCell ref="C16:C17"/>
    <mergeCell ref="D16:D17"/>
    <mergeCell ref="A14:A15"/>
    <mergeCell ref="B14:B15"/>
    <mergeCell ref="C14:C15"/>
    <mergeCell ref="D14:D15"/>
    <mergeCell ref="A2:K2"/>
    <mergeCell ref="A9:P9"/>
    <mergeCell ref="A12:A13"/>
    <mergeCell ref="B12:B13"/>
    <mergeCell ref="C12:C13"/>
    <mergeCell ref="D12:D13"/>
    <mergeCell ref="L2:P8"/>
    <mergeCell ref="A3:K3"/>
    <mergeCell ref="A4:K4"/>
    <mergeCell ref="A5:K5"/>
    <mergeCell ref="A6:K6"/>
    <mergeCell ref="A7:K7"/>
    <mergeCell ref="A8:K8"/>
  </mergeCells>
  <printOptions horizontalCentered="1"/>
  <pageMargins left="0.27559055118110237" right="0.11811023622047245" top="0.35433070866141736" bottom="0.39370078740157483" header="0.15748031496062992" footer="0.31496062992125984"/>
  <pageSetup paperSize="9" scale="6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2F4B1-5FD1-455A-A01D-D0F40F14686A}">
  <dimension ref="A1:N207"/>
  <sheetViews>
    <sheetView view="pageBreakPreview" topLeftCell="A184" zoomScaleNormal="100" zoomScaleSheetLayoutView="100" workbookViewId="0">
      <selection activeCell="D18" sqref="D18"/>
    </sheetView>
  </sheetViews>
  <sheetFormatPr defaultRowHeight="13.8" x14ac:dyDescent="0.25"/>
  <cols>
    <col min="1" max="1" width="6.8984375" style="126" customWidth="1"/>
    <col min="2" max="2" width="77.59765625" style="126" customWidth="1"/>
    <col min="3" max="3" width="7" style="126" customWidth="1"/>
    <col min="4" max="4" width="9.5" style="128" customWidth="1"/>
    <col min="5" max="5" width="11.69921875" style="128" customWidth="1"/>
    <col min="6" max="6" width="12.09765625" style="128" customWidth="1"/>
    <col min="7" max="7" width="8.69921875" style="128" customWidth="1"/>
    <col min="8" max="8" width="9.19921875" style="128" customWidth="1"/>
    <col min="9" max="9" width="12.796875" style="128" customWidth="1"/>
    <col min="10" max="10" width="11.5" style="128" customWidth="1"/>
    <col min="11" max="11" width="10.09765625" style="128" customWidth="1"/>
    <col min="12" max="12" width="12.796875" style="128" customWidth="1"/>
    <col min="13" max="13" width="10.8984375" bestFit="1" customWidth="1"/>
    <col min="14" max="14" width="10.796875" customWidth="1"/>
  </cols>
  <sheetData>
    <row r="1" spans="1:14" x14ac:dyDescent="0.25">
      <c r="C1" s="316" t="s">
        <v>409</v>
      </c>
      <c r="D1" s="316"/>
      <c r="E1" s="316"/>
      <c r="F1" s="316"/>
      <c r="G1" s="316"/>
      <c r="H1" s="316"/>
      <c r="I1" s="127"/>
      <c r="J1" s="127"/>
      <c r="K1" s="127"/>
      <c r="L1" s="317" t="s">
        <v>410</v>
      </c>
    </row>
    <row r="2" spans="1:14" x14ac:dyDescent="0.25">
      <c r="H2" s="127"/>
      <c r="I2" s="127"/>
      <c r="J2" s="127"/>
      <c r="K2" s="127"/>
      <c r="L2" s="318"/>
    </row>
    <row r="3" spans="1:14" x14ac:dyDescent="0.25">
      <c r="A3" s="131" t="s">
        <v>411</v>
      </c>
      <c r="B3" s="131"/>
      <c r="C3" s="319" t="s">
        <v>412</v>
      </c>
      <c r="D3" s="320"/>
      <c r="E3" s="321"/>
      <c r="F3" s="319" t="s">
        <v>413</v>
      </c>
      <c r="G3" s="320"/>
      <c r="H3" s="320"/>
      <c r="I3" s="321"/>
      <c r="J3" s="319" t="s">
        <v>414</v>
      </c>
      <c r="K3" s="320"/>
      <c r="L3" s="321"/>
    </row>
    <row r="4" spans="1:14" x14ac:dyDescent="0.25">
      <c r="A4" s="289" t="s">
        <v>441</v>
      </c>
      <c r="B4" s="290"/>
      <c r="C4" s="289" t="s">
        <v>442</v>
      </c>
      <c r="D4" s="291"/>
      <c r="E4" s="290"/>
      <c r="F4" s="311" t="s">
        <v>445</v>
      </c>
      <c r="G4" s="312"/>
      <c r="H4" s="312"/>
      <c r="I4" s="313"/>
      <c r="J4" s="311" t="s">
        <v>446</v>
      </c>
      <c r="K4" s="312"/>
      <c r="L4" s="313"/>
    </row>
    <row r="5" spans="1:14" x14ac:dyDescent="0.25">
      <c r="A5" s="129"/>
      <c r="B5" s="129"/>
      <c r="C5" s="129"/>
      <c r="D5" s="129"/>
      <c r="E5" s="130"/>
      <c r="F5" s="129"/>
      <c r="G5" s="129"/>
      <c r="H5" s="129"/>
      <c r="I5" s="129"/>
      <c r="J5" s="129"/>
      <c r="K5" s="129"/>
      <c r="L5"/>
    </row>
    <row r="6" spans="1:14" x14ac:dyDescent="0.25">
      <c r="A6" s="314" t="s">
        <v>415</v>
      </c>
      <c r="B6" s="314"/>
      <c r="C6" s="314" t="s">
        <v>416</v>
      </c>
      <c r="D6" s="314"/>
      <c r="E6" s="314"/>
      <c r="F6" s="131" t="s">
        <v>417</v>
      </c>
      <c r="G6" s="315" t="s">
        <v>418</v>
      </c>
      <c r="H6" s="315"/>
      <c r="I6" s="315"/>
      <c r="J6" s="315"/>
      <c r="K6" s="314" t="s">
        <v>419</v>
      </c>
      <c r="L6" s="314"/>
    </row>
    <row r="7" spans="1:14" x14ac:dyDescent="0.25">
      <c r="A7" s="300" t="s">
        <v>451</v>
      </c>
      <c r="B7" s="300"/>
      <c r="C7" s="301" t="s">
        <v>447</v>
      </c>
      <c r="D7" s="301"/>
      <c r="E7" s="301"/>
      <c r="F7" s="132"/>
      <c r="G7" s="302" t="str">
        <f>J4</f>
        <v>CONSTRUÇÃO DE 25 CASAS POPULARES</v>
      </c>
      <c r="H7" s="302"/>
      <c r="I7" s="302"/>
      <c r="J7" s="302"/>
      <c r="K7" s="303">
        <v>46104</v>
      </c>
      <c r="L7" s="301"/>
    </row>
    <row r="8" spans="1:14" x14ac:dyDescent="0.25">
      <c r="A8" s="133"/>
      <c r="B8" s="133"/>
      <c r="C8" s="133"/>
      <c r="D8" s="133"/>
      <c r="E8" s="133"/>
      <c r="F8" s="134"/>
      <c r="G8" s="135"/>
      <c r="H8" s="135"/>
      <c r="I8" s="135"/>
      <c r="J8" s="135"/>
      <c r="K8" s="135"/>
      <c r="L8" s="135"/>
    </row>
    <row r="9" spans="1:14" x14ac:dyDescent="0.25">
      <c r="A9" s="136"/>
      <c r="B9" s="136"/>
      <c r="C9" s="137"/>
      <c r="D9" s="138"/>
      <c r="E9" s="139" t="s">
        <v>420</v>
      </c>
      <c r="F9" s="140" t="e">
        <f>I192</f>
        <v>#REF!</v>
      </c>
      <c r="G9" s="141" t="s">
        <v>392</v>
      </c>
      <c r="H9" s="304" t="s">
        <v>449</v>
      </c>
      <c r="I9" s="305"/>
      <c r="J9" s="139" t="s">
        <v>421</v>
      </c>
      <c r="K9" s="142">
        <v>1</v>
      </c>
      <c r="L9" s="143"/>
    </row>
    <row r="10" spans="1:14" x14ac:dyDescent="0.25">
      <c r="A10" s="144"/>
      <c r="B10" s="144"/>
      <c r="C10" s="144"/>
      <c r="D10" s="145"/>
      <c r="E10" s="145"/>
      <c r="F10" s="145"/>
      <c r="G10" s="146"/>
      <c r="H10" s="145"/>
      <c r="I10" s="145"/>
      <c r="J10" s="147"/>
      <c r="K10" s="148"/>
      <c r="L10" s="149"/>
    </row>
    <row r="11" spans="1:14" x14ac:dyDescent="0.25">
      <c r="A11" s="306" t="s">
        <v>422</v>
      </c>
      <c r="B11" s="306"/>
      <c r="C11" s="306"/>
      <c r="D11" s="306"/>
      <c r="E11" s="306"/>
      <c r="F11" s="307"/>
      <c r="G11" s="308" t="e">
        <f>F192</f>
        <v>#REF!</v>
      </c>
      <c r="H11" s="309"/>
      <c r="I11" s="310"/>
      <c r="J11" s="308" t="s">
        <v>423</v>
      </c>
      <c r="K11" s="309"/>
      <c r="L11" s="310"/>
    </row>
    <row r="12" spans="1:14" ht="24" x14ac:dyDescent="0.25">
      <c r="A12" s="150" t="s">
        <v>4</v>
      </c>
      <c r="B12" s="150" t="s">
        <v>424</v>
      </c>
      <c r="C12" s="150" t="s">
        <v>425</v>
      </c>
      <c r="D12" s="151" t="s">
        <v>426</v>
      </c>
      <c r="E12" s="151" t="s">
        <v>427</v>
      </c>
      <c r="F12" s="151" t="s">
        <v>428</v>
      </c>
      <c r="G12" s="151" t="s">
        <v>429</v>
      </c>
      <c r="H12" s="151" t="s">
        <v>430</v>
      </c>
      <c r="I12" s="151" t="s">
        <v>431</v>
      </c>
      <c r="J12" s="152" t="s">
        <v>429</v>
      </c>
      <c r="K12" s="151" t="s">
        <v>430</v>
      </c>
      <c r="L12" s="151" t="s">
        <v>431</v>
      </c>
    </row>
    <row r="13" spans="1:14" x14ac:dyDescent="0.25">
      <c r="A13" s="153" t="str">
        <f>'Orçamento Sintético'!A5</f>
        <v xml:space="preserve"> 1 </v>
      </c>
      <c r="B13" s="154" t="str">
        <f>'Orçamento Sintético'!D5</f>
        <v>AMPLIAÇÃO DA UBS DE ITAPIRATINS</v>
      </c>
      <c r="C13" s="156"/>
      <c r="D13" s="186"/>
      <c r="E13" s="186"/>
      <c r="F13" s="187"/>
      <c r="G13" s="155"/>
      <c r="H13" s="155"/>
      <c r="I13" s="155"/>
      <c r="J13" s="155"/>
      <c r="K13" s="155"/>
      <c r="L13" s="155"/>
    </row>
    <row r="14" spans="1:14" x14ac:dyDescent="0.25">
      <c r="A14" s="153" t="str">
        <f>'Orçamento Sintético'!A6</f>
        <v xml:space="preserve"> 1.1 </v>
      </c>
      <c r="B14" s="154" t="str">
        <f>'Orçamento Sintético'!D6</f>
        <v>ADMINISTRAÇÃO LOCAL DA OBRA</v>
      </c>
      <c r="C14" s="156"/>
      <c r="D14" s="186"/>
      <c r="E14" s="186"/>
      <c r="F14" s="187"/>
      <c r="G14" s="155"/>
      <c r="H14" s="155"/>
      <c r="I14" s="155"/>
      <c r="J14" s="155"/>
      <c r="K14" s="155"/>
      <c r="L14" s="155"/>
    </row>
    <row r="15" spans="1:14" s="185" customFormat="1" x14ac:dyDescent="0.25">
      <c r="A15" s="156" t="str">
        <f>'Orçamento Sintético'!A7</f>
        <v xml:space="preserve"> 1.1.1 </v>
      </c>
      <c r="B15" s="157" t="str">
        <f>'Orçamento Sintético'!D7</f>
        <v>ADMINISTRAÇÃO LOCAL</v>
      </c>
      <c r="C15" s="156" t="str">
        <f>'Orçamento Sintético'!E7</f>
        <v>und</v>
      </c>
      <c r="D15" s="186">
        <f>'Orçamento Sintético'!F7</f>
        <v>1</v>
      </c>
      <c r="E15" s="186">
        <f>'Orçamento Sintético'!H7</f>
        <v>5500</v>
      </c>
      <c r="F15" s="187">
        <f t="shared" ref="F15" si="0">ROUND(E15*D15,2)</f>
        <v>5500</v>
      </c>
      <c r="G15" s="184">
        <v>0</v>
      </c>
      <c r="H15" s="184">
        <f>K15/F15</f>
        <v>0.20567818181818182</v>
      </c>
      <c r="I15" s="184">
        <f t="shared" ref="I15" si="1">H15+G15</f>
        <v>0.20567818181818182</v>
      </c>
      <c r="J15" s="184">
        <v>0</v>
      </c>
      <c r="K15" s="184">
        <v>1131.23</v>
      </c>
      <c r="L15" s="184">
        <f t="shared" ref="L15" si="2">K15+J15</f>
        <v>1131.23</v>
      </c>
      <c r="M15" s="191">
        <f>F15</f>
        <v>5500</v>
      </c>
      <c r="N15" s="67">
        <f>M15/25</f>
        <v>220</v>
      </c>
    </row>
    <row r="16" spans="1:14" s="190" customFormat="1" x14ac:dyDescent="0.25">
      <c r="A16" s="153" t="str">
        <f>'Orçamento Sintético'!A8</f>
        <v xml:space="preserve"> 1.2 </v>
      </c>
      <c r="B16" s="154" t="str">
        <f>'Orçamento Sintético'!D8</f>
        <v>SERVIÇOS PRELIMINARES</v>
      </c>
      <c r="C16" s="153"/>
      <c r="D16" s="188"/>
      <c r="E16" s="188"/>
      <c r="F16" s="189"/>
      <c r="G16" s="158"/>
      <c r="H16" s="158"/>
      <c r="I16" s="158"/>
      <c r="J16" s="158"/>
      <c r="K16" s="158"/>
      <c r="L16" s="158"/>
    </row>
    <row r="17" spans="1:14" ht="26.4" x14ac:dyDescent="0.25">
      <c r="A17" s="156" t="str">
        <f>'Orçamento Sintético'!A9</f>
        <v xml:space="preserve"> 1.2.0.1. </v>
      </c>
      <c r="B17" s="157" t="str">
        <f>'Orçamento Sintético'!D9</f>
        <v>FORNECIMENTO E INSTALAÇÃO DE PLACA DE OBRA COM CHAPA GALVANIZADA E ESTRUTURA DE MADEIRA. AF_03/2022_PS</v>
      </c>
      <c r="C17" s="156" t="str">
        <f>'Orçamento Sintético'!E9</f>
        <v>m²</v>
      </c>
      <c r="D17" s="186">
        <f>'Orçamento Sintético'!F9</f>
        <v>2</v>
      </c>
      <c r="E17" s="186">
        <f>'Orçamento Sintético'!H9</f>
        <v>622.875</v>
      </c>
      <c r="F17" s="187">
        <f t="shared" ref="F17:F79" si="3">ROUND(E17*D17,2)</f>
        <v>1245.75</v>
      </c>
      <c r="G17" s="184">
        <v>0</v>
      </c>
      <c r="H17" s="184">
        <f>D17</f>
        <v>2</v>
      </c>
      <c r="I17" s="184">
        <f t="shared" ref="I17:I79" si="4">H17+G17</f>
        <v>2</v>
      </c>
      <c r="J17" s="184">
        <v>0</v>
      </c>
      <c r="K17" s="184">
        <f t="shared" ref="K17:K79" si="5">ROUND(E17*H17,2)-0</f>
        <v>1245.75</v>
      </c>
      <c r="L17" s="184">
        <f t="shared" ref="L17:L79" si="6">K17+J17</f>
        <v>1245.75</v>
      </c>
    </row>
    <row r="18" spans="1:14" x14ac:dyDescent="0.25">
      <c r="A18" s="156" t="e">
        <f>'Orçamento Sintético'!#REF!</f>
        <v>#REF!</v>
      </c>
      <c r="B18" s="157" t="e">
        <f>'Orçamento Sintético'!#REF!</f>
        <v>#REF!</v>
      </c>
      <c r="C18" s="156" t="e">
        <f>'Orçamento Sintético'!#REF!</f>
        <v>#REF!</v>
      </c>
      <c r="D18" s="186" t="e">
        <f>'Orçamento Sintético'!#REF!</f>
        <v>#REF!</v>
      </c>
      <c r="E18" s="186" t="e">
        <f>'Orçamento Sintético'!#REF!</f>
        <v>#REF!</v>
      </c>
      <c r="F18" s="187" t="e">
        <f t="shared" si="3"/>
        <v>#REF!</v>
      </c>
      <c r="G18" s="184">
        <v>0</v>
      </c>
      <c r="H18" s="184" t="e">
        <f>D18</f>
        <v>#REF!</v>
      </c>
      <c r="I18" s="184" t="e">
        <f t="shared" si="4"/>
        <v>#REF!</v>
      </c>
      <c r="J18" s="184">
        <v>0</v>
      </c>
      <c r="K18" s="184" t="e">
        <f t="shared" si="5"/>
        <v>#REF!</v>
      </c>
      <c r="L18" s="184" t="e">
        <f t="shared" si="6"/>
        <v>#REF!</v>
      </c>
    </row>
    <row r="19" spans="1:14" x14ac:dyDescent="0.25">
      <c r="A19" s="156" t="e">
        <f>'Orçamento Sintético'!#REF!</f>
        <v>#REF!</v>
      </c>
      <c r="B19" s="157" t="e">
        <f>'Orçamento Sintético'!#REF!</f>
        <v>#REF!</v>
      </c>
      <c r="C19" s="156" t="e">
        <f>'Orçamento Sintético'!#REF!</f>
        <v>#REF!</v>
      </c>
      <c r="D19" s="186" t="e">
        <f>'Orçamento Sintético'!#REF!</f>
        <v>#REF!</v>
      </c>
      <c r="E19" s="186" t="e">
        <f>'Orçamento Sintético'!#REF!</f>
        <v>#REF!</v>
      </c>
      <c r="F19" s="187" t="e">
        <f t="shared" si="3"/>
        <v>#REF!</v>
      </c>
      <c r="G19" s="184">
        <v>0</v>
      </c>
      <c r="H19" s="184" t="e">
        <f>D19</f>
        <v>#REF!</v>
      </c>
      <c r="I19" s="184" t="e">
        <f t="shared" si="4"/>
        <v>#REF!</v>
      </c>
      <c r="J19" s="184">
        <v>0</v>
      </c>
      <c r="K19" s="184" t="e">
        <f t="shared" si="5"/>
        <v>#REF!</v>
      </c>
      <c r="L19" s="184" t="e">
        <f t="shared" si="6"/>
        <v>#REF!</v>
      </c>
    </row>
    <row r="20" spans="1:14" x14ac:dyDescent="0.25">
      <c r="A20" s="156" t="e">
        <f>'Orçamento Sintético'!#REF!</f>
        <v>#REF!</v>
      </c>
      <c r="B20" s="157" t="e">
        <f>'Orçamento Sintético'!#REF!</f>
        <v>#REF!</v>
      </c>
      <c r="C20" s="156" t="e">
        <f>'Orçamento Sintético'!#REF!</f>
        <v>#REF!</v>
      </c>
      <c r="D20" s="186" t="e">
        <f>'Orçamento Sintético'!#REF!</f>
        <v>#REF!</v>
      </c>
      <c r="E20" s="186" t="e">
        <f>'Orçamento Sintético'!#REF!</f>
        <v>#REF!</v>
      </c>
      <c r="F20" s="187" t="e">
        <f t="shared" si="3"/>
        <v>#REF!</v>
      </c>
      <c r="G20" s="184">
        <v>0</v>
      </c>
      <c r="H20" s="184">
        <v>0</v>
      </c>
      <c r="I20" s="184">
        <f t="shared" si="4"/>
        <v>0</v>
      </c>
      <c r="J20" s="184">
        <v>0</v>
      </c>
      <c r="K20" s="184" t="e">
        <f t="shared" si="5"/>
        <v>#REF!</v>
      </c>
      <c r="L20" s="184" t="e">
        <f t="shared" si="6"/>
        <v>#REF!</v>
      </c>
      <c r="M20" s="67" t="e">
        <f>SUM(F17:F20)</f>
        <v>#REF!</v>
      </c>
      <c r="N20" s="67" t="e">
        <f>M20/25</f>
        <v>#REF!</v>
      </c>
    </row>
    <row r="21" spans="1:14" s="190" customFormat="1" x14ac:dyDescent="0.25">
      <c r="A21" s="153" t="str">
        <f>'Orçamento Sintético'!A10</f>
        <v xml:space="preserve"> 1.3 </v>
      </c>
      <c r="B21" s="154" t="str">
        <f>'Orçamento Sintético'!D10</f>
        <v>FUNDAÇÃO</v>
      </c>
      <c r="C21" s="153"/>
      <c r="D21" s="188"/>
      <c r="E21" s="188"/>
      <c r="F21" s="189"/>
      <c r="G21" s="158"/>
      <c r="H21" s="158"/>
      <c r="I21" s="158"/>
      <c r="J21" s="158"/>
      <c r="K21" s="158"/>
      <c r="L21" s="158"/>
    </row>
    <row r="22" spans="1:14" ht="26.4" x14ac:dyDescent="0.25">
      <c r="A22" s="156" t="str">
        <f>'Orçamento Sintético'!A11</f>
        <v xml:space="preserve"> 1.3.0.1. </v>
      </c>
      <c r="B22" s="157" t="str">
        <f>'Orçamento Sintético'!D11</f>
        <v>ESTACA BROCA DE CONCRETO, DIÂMETRO DE 30CM, ESCAVAÇÃO MANUAL COM TRADO CONCHA, COM ARMADURA DE ARRANQUE. AF_05/2020</v>
      </c>
      <c r="C22" s="156" t="str">
        <f>'Orçamento Sintético'!E11</f>
        <v>M</v>
      </c>
      <c r="D22" s="186">
        <f>'Orçamento Sintético'!F11</f>
        <v>14</v>
      </c>
      <c r="E22" s="186">
        <f>'Orçamento Sintético'!H11</f>
        <v>162.91250000000002</v>
      </c>
      <c r="F22" s="187">
        <f t="shared" si="3"/>
        <v>2280.7800000000002</v>
      </c>
      <c r="G22" s="184">
        <v>0</v>
      </c>
      <c r="H22" s="184">
        <f>D22</f>
        <v>14</v>
      </c>
      <c r="I22" s="184">
        <f t="shared" si="4"/>
        <v>14</v>
      </c>
      <c r="J22" s="184">
        <v>0</v>
      </c>
      <c r="K22" s="184">
        <f t="shared" si="5"/>
        <v>2280.7800000000002</v>
      </c>
      <c r="L22" s="184">
        <f t="shared" si="6"/>
        <v>2280.7800000000002</v>
      </c>
    </row>
    <row r="23" spans="1:14" s="190" customFormat="1" x14ac:dyDescent="0.25">
      <c r="A23" s="153" t="str">
        <f>'Orçamento Sintético'!A12</f>
        <v xml:space="preserve"> 1.4 </v>
      </c>
      <c r="B23" s="154" t="str">
        <f>'Orçamento Sintético'!D12</f>
        <v>BALDRAMES</v>
      </c>
      <c r="C23" s="153"/>
      <c r="D23" s="188"/>
      <c r="E23" s="188"/>
      <c r="F23" s="189"/>
      <c r="G23" s="158"/>
      <c r="H23" s="158"/>
      <c r="I23" s="158"/>
      <c r="J23" s="158"/>
      <c r="K23" s="158"/>
      <c r="L23" s="158"/>
    </row>
    <row r="24" spans="1:14" ht="26.4" x14ac:dyDescent="0.25">
      <c r="A24" s="156" t="str">
        <f>'Orçamento Sintético'!A13</f>
        <v xml:space="preserve"> 1.4.0.1. </v>
      </c>
      <c r="B24" s="157" t="str">
        <f>'Orçamento Sintético'!D13</f>
        <v>ESCAVAÇÃO MANUAL PARA VIGA BALDRAME OU SAPATA CORRIDA (INCLUINDO ESCAVAÇÃO PARA COLOCAÇÃO DE FÔRMAS). AF_01/2024</v>
      </c>
      <c r="C24" s="156" t="str">
        <f>'Orçamento Sintético'!E13</f>
        <v>m³</v>
      </c>
      <c r="D24" s="186">
        <f>'Orçamento Sintético'!F13</f>
        <v>9.3309999999999995</v>
      </c>
      <c r="E24" s="186">
        <f>'Orçamento Sintético'!H13</f>
        <v>138.9</v>
      </c>
      <c r="F24" s="187">
        <f t="shared" si="3"/>
        <v>1296.08</v>
      </c>
      <c r="G24" s="184">
        <v>0</v>
      </c>
      <c r="H24" s="184">
        <f t="shared" ref="H24:H31" si="7">D24</f>
        <v>9.3309999999999995</v>
      </c>
      <c r="I24" s="184">
        <f t="shared" si="4"/>
        <v>9.3309999999999995</v>
      </c>
      <c r="J24" s="184">
        <v>0</v>
      </c>
      <c r="K24" s="184">
        <f t="shared" si="5"/>
        <v>1296.08</v>
      </c>
      <c r="L24" s="184">
        <f t="shared" si="6"/>
        <v>1296.08</v>
      </c>
    </row>
    <row r="25" spans="1:14" ht="26.4" x14ac:dyDescent="0.25">
      <c r="A25" s="156" t="str">
        <f>'Orçamento Sintético'!A14</f>
        <v xml:space="preserve"> 1.4.0.2. </v>
      </c>
      <c r="B25" s="157" t="str">
        <f>'Orçamento Sintético'!D14</f>
        <v>LASTRO DE CONCRETO MAGRO, APLICADO EM BLOCOS DE COROAMENTO OU SAPATAS, ESPESSURA DE 5 CM. AF_01/2024</v>
      </c>
      <c r="C25" s="156" t="str">
        <f>'Orçamento Sintético'!E14</f>
        <v>m²</v>
      </c>
      <c r="D25" s="186">
        <f>'Orçamento Sintético'!F14</f>
        <v>11.374000000000001</v>
      </c>
      <c r="E25" s="186">
        <f>'Orçamento Sintético'!H14</f>
        <v>60.025000000000006</v>
      </c>
      <c r="F25" s="187">
        <f t="shared" si="3"/>
        <v>682.72</v>
      </c>
      <c r="G25" s="184">
        <v>0</v>
      </c>
      <c r="H25" s="184">
        <f t="shared" si="7"/>
        <v>11.374000000000001</v>
      </c>
      <c r="I25" s="184">
        <f t="shared" si="4"/>
        <v>11.374000000000001</v>
      </c>
      <c r="J25" s="184">
        <v>0</v>
      </c>
      <c r="K25" s="184">
        <f t="shared" si="5"/>
        <v>682.72</v>
      </c>
      <c r="L25" s="184">
        <f t="shared" si="6"/>
        <v>682.72</v>
      </c>
    </row>
    <row r="26" spans="1:14" ht="39.6" x14ac:dyDescent="0.25">
      <c r="A26" s="156" t="str">
        <f>'Orçamento Sintético'!A15</f>
        <v xml:space="preserve"> 1.4.0.3. </v>
      </c>
      <c r="B26" s="157" t="str">
        <f>'Orçamento Sintético'!D15</f>
        <v>ALVENARIA DE VEDAÇÃO DE BLOCOS CERÂMICOS FURADOS NA HORIZONTAL DE 14X9X19 CM (ESPESSURA 14 CM, BLOCO DEITADO) E ARGAMASSA DE ASSENTAMENTO COM PREPARO EM BETONEIRA. AF_12/2021</v>
      </c>
      <c r="C26" s="156" t="str">
        <f>'Orçamento Sintético'!E15</f>
        <v>m²</v>
      </c>
      <c r="D26" s="186">
        <f>'Orçamento Sintético'!F15</f>
        <v>8.9905000000000008</v>
      </c>
      <c r="E26" s="186">
        <f>'Orçamento Sintético'!H15</f>
        <v>203.21249999999998</v>
      </c>
      <c r="F26" s="187">
        <f t="shared" si="3"/>
        <v>1826.98</v>
      </c>
      <c r="G26" s="184">
        <v>0</v>
      </c>
      <c r="H26" s="184">
        <f t="shared" si="7"/>
        <v>8.9905000000000008</v>
      </c>
      <c r="I26" s="184">
        <f t="shared" si="4"/>
        <v>8.9905000000000008</v>
      </c>
      <c r="J26" s="184">
        <v>0</v>
      </c>
      <c r="K26" s="184">
        <f t="shared" si="5"/>
        <v>1826.98</v>
      </c>
      <c r="L26" s="184">
        <f t="shared" si="6"/>
        <v>1826.98</v>
      </c>
    </row>
    <row r="27" spans="1:14" ht="26.4" x14ac:dyDescent="0.25">
      <c r="A27" s="156" t="str">
        <f>'Orçamento Sintético'!A16</f>
        <v xml:space="preserve"> 1.4.0.4. </v>
      </c>
      <c r="B27" s="157" t="str">
        <f>'Orçamento Sintético'!D16</f>
        <v>FABRICAÇÃO, MONTAGEM E DESMONTAGEM DE FÔRMA PARA VIGA BALDRAME, EM MADEIRA SERRADA, E=25 MM, 4 UTILIZAÇÕES. AF_01/2024</v>
      </c>
      <c r="C27" s="156" t="str">
        <f>'Orçamento Sintético'!E16</f>
        <v>m²</v>
      </c>
      <c r="D27" s="186">
        <f>'Orçamento Sintético'!F16</f>
        <v>13.190000000000001</v>
      </c>
      <c r="E27" s="186">
        <f>'Orçamento Sintético'!H16</f>
        <v>94.5</v>
      </c>
      <c r="F27" s="187">
        <f t="shared" si="3"/>
        <v>1246.46</v>
      </c>
      <c r="G27" s="184">
        <v>0</v>
      </c>
      <c r="H27" s="184">
        <f t="shared" si="7"/>
        <v>13.190000000000001</v>
      </c>
      <c r="I27" s="184">
        <f t="shared" si="4"/>
        <v>13.190000000000001</v>
      </c>
      <c r="J27" s="184">
        <v>0</v>
      </c>
      <c r="K27" s="184">
        <f t="shared" si="5"/>
        <v>1246.46</v>
      </c>
      <c r="L27" s="184">
        <f t="shared" si="6"/>
        <v>1246.46</v>
      </c>
    </row>
    <row r="28" spans="1:14" ht="26.4" x14ac:dyDescent="0.25">
      <c r="A28" s="156" t="str">
        <f>'Orçamento Sintético'!A17</f>
        <v xml:space="preserve"> 1.4.0.5. </v>
      </c>
      <c r="B28" s="157" t="str">
        <f>'Orçamento Sintético'!D17</f>
        <v>ARMAÇÃO DE SAPATA ISOLADA, VIGA BALDRAME E SAPATA CORRIDA UTILIZANDO AÇO CA-50 DE 10 MM -MONTAGEM. AF_01/2024</v>
      </c>
      <c r="C28" s="156" t="str">
        <f>'Orçamento Sintético'!E17</f>
        <v>KG</v>
      </c>
      <c r="D28" s="186">
        <f>'Orçamento Sintético'!F17</f>
        <v>65.919662999999986</v>
      </c>
      <c r="E28" s="186">
        <f>'Orçamento Sintético'!H17</f>
        <v>14.9</v>
      </c>
      <c r="F28" s="187">
        <f t="shared" si="3"/>
        <v>982.2</v>
      </c>
      <c r="G28" s="184">
        <v>0</v>
      </c>
      <c r="H28" s="184">
        <f t="shared" si="7"/>
        <v>65.919662999999986</v>
      </c>
      <c r="I28" s="184">
        <f t="shared" si="4"/>
        <v>65.919662999999986</v>
      </c>
      <c r="J28" s="184">
        <v>0</v>
      </c>
      <c r="K28" s="184">
        <f t="shared" si="5"/>
        <v>982.2</v>
      </c>
      <c r="L28" s="184">
        <f t="shared" si="6"/>
        <v>982.2</v>
      </c>
    </row>
    <row r="29" spans="1:14" ht="26.4" x14ac:dyDescent="0.25">
      <c r="A29" s="156" t="str">
        <f>'Orçamento Sintético'!A18</f>
        <v xml:space="preserve"> 1.4.0.6. </v>
      </c>
      <c r="B29" s="157" t="str">
        <f>'Orçamento Sintético'!D18</f>
        <v>ARMAÇÃO DE SAPATA ISOLADA, VIGA BALDRAME E SAPATA CORRIDA UTILIZANDO AÇO CA-50 DE 6,3 MM - MONTAGEM. AF_01/2024</v>
      </c>
      <c r="C29" s="156" t="str">
        <f>'Orçamento Sintético'!E18</f>
        <v>KG</v>
      </c>
      <c r="D29" s="186">
        <f>'Orçamento Sintético'!F18</f>
        <v>13.249354999999998</v>
      </c>
      <c r="E29" s="186">
        <f>'Orçamento Sintético'!H18</f>
        <v>18.45</v>
      </c>
      <c r="F29" s="187">
        <f t="shared" si="3"/>
        <v>244.45</v>
      </c>
      <c r="G29" s="184">
        <v>0</v>
      </c>
      <c r="H29" s="184">
        <f t="shared" si="7"/>
        <v>13.249354999999998</v>
      </c>
      <c r="I29" s="184">
        <f t="shared" si="4"/>
        <v>13.249354999999998</v>
      </c>
      <c r="J29" s="184">
        <v>0</v>
      </c>
      <c r="K29" s="184">
        <f t="shared" si="5"/>
        <v>244.45</v>
      </c>
      <c r="L29" s="184">
        <f t="shared" si="6"/>
        <v>244.45</v>
      </c>
    </row>
    <row r="30" spans="1:14" ht="26.4" x14ac:dyDescent="0.25">
      <c r="A30" s="156" t="str">
        <f>'Orçamento Sintético'!A19</f>
        <v xml:space="preserve"> 1.4.0.7. </v>
      </c>
      <c r="B30" s="157" t="str">
        <f>'Orçamento Sintético'!D19</f>
        <v>ARMAÇÃO DE SAPATA ISOLADA, VIGA BALDRAME E SAPATA CORRIDA UTILIZANDO AÇO CA-60 DE 5 MM - MONTAGEM. AF_01/2024</v>
      </c>
      <c r="C30" s="156" t="str">
        <f>'Orçamento Sintético'!E19</f>
        <v>KG</v>
      </c>
      <c r="D30" s="186">
        <f>'Orçamento Sintético'!F19</f>
        <v>21.666773333333335</v>
      </c>
      <c r="E30" s="186">
        <f>'Orçamento Sintético'!H19</f>
        <v>20.325000000000003</v>
      </c>
      <c r="F30" s="187">
        <f t="shared" si="3"/>
        <v>440.38</v>
      </c>
      <c r="G30" s="184">
        <v>0</v>
      </c>
      <c r="H30" s="184">
        <f t="shared" si="7"/>
        <v>21.666773333333335</v>
      </c>
      <c r="I30" s="184">
        <f t="shared" si="4"/>
        <v>21.666773333333335</v>
      </c>
      <c r="J30" s="184">
        <v>0</v>
      </c>
      <c r="K30" s="184">
        <f t="shared" si="5"/>
        <v>440.38</v>
      </c>
      <c r="L30" s="184">
        <f t="shared" si="6"/>
        <v>440.38</v>
      </c>
    </row>
    <row r="31" spans="1:14" ht="26.4" x14ac:dyDescent="0.25">
      <c r="A31" s="156" t="str">
        <f>'Orçamento Sintético'!A20</f>
        <v xml:space="preserve"> 1.4.0.8. </v>
      </c>
      <c r="B31" s="157" t="str">
        <f>'Orçamento Sintético'!D20</f>
        <v>CONCRETAGEM DE VIGA BALDRAME, FCK 20 MPA, COM USO DE JERICA - LANÇAMENTO, ADENSAMENTO E ACABAMENTO. AF_01/2024</v>
      </c>
      <c r="C31" s="156" t="str">
        <f>'Orçamento Sintético'!E20</f>
        <v>M³</v>
      </c>
      <c r="D31" s="186">
        <f>'Orçamento Sintético'!F20</f>
        <v>0.98924999999999996</v>
      </c>
      <c r="E31" s="186">
        <f>'Orçamento Sintético'!H20</f>
        <v>951.9375</v>
      </c>
      <c r="F31" s="187">
        <f t="shared" si="3"/>
        <v>941.7</v>
      </c>
      <c r="G31" s="184">
        <v>0</v>
      </c>
      <c r="H31" s="184">
        <f t="shared" si="7"/>
        <v>0.98924999999999996</v>
      </c>
      <c r="I31" s="184">
        <f t="shared" si="4"/>
        <v>0.98924999999999996</v>
      </c>
      <c r="J31" s="184">
        <v>0</v>
      </c>
      <c r="K31" s="184">
        <f t="shared" si="5"/>
        <v>941.7</v>
      </c>
      <c r="L31" s="184">
        <f t="shared" si="6"/>
        <v>941.7</v>
      </c>
      <c r="M31" s="67">
        <f>SUM(F24:F31)</f>
        <v>7660.9699999999993</v>
      </c>
      <c r="N31" s="67">
        <f>M31/25</f>
        <v>306.43879999999996</v>
      </c>
    </row>
    <row r="32" spans="1:14" s="190" customFormat="1" x14ac:dyDescent="0.25">
      <c r="A32" s="153" t="str">
        <f>'Orçamento Sintético'!A21</f>
        <v xml:space="preserve"> 1.5 </v>
      </c>
      <c r="B32" s="154" t="str">
        <f>'Orçamento Sintético'!D21</f>
        <v>IMPERMEABILIZAÇÃO</v>
      </c>
      <c r="C32" s="153"/>
      <c r="D32" s="188"/>
      <c r="E32" s="188"/>
      <c r="F32" s="189"/>
      <c r="G32" s="158"/>
      <c r="H32" s="158"/>
      <c r="I32" s="158"/>
      <c r="J32" s="158"/>
      <c r="K32" s="158"/>
      <c r="L32" s="158"/>
    </row>
    <row r="33" spans="1:14" ht="26.4" x14ac:dyDescent="0.25">
      <c r="A33" s="156" t="str">
        <f>'Orçamento Sintético'!A22</f>
        <v xml:space="preserve"> 1.5.0.1. </v>
      </c>
      <c r="B33" s="157" t="str">
        <f>'Orçamento Sintético'!D22</f>
        <v>CHAPISCO APLICADO EM ALVENARIAS E ESTRUTURAS DE CONCRETO INTERNAS, COM COLHER DE PEDREIRO. ARGAMASSA TRAÇO 1:3 COM PREPARO MANUAL. AF_10/2022</v>
      </c>
      <c r="C33" s="156" t="str">
        <f>'Orçamento Sintético'!E22</f>
        <v>m²</v>
      </c>
      <c r="D33" s="186">
        <f>'Orçamento Sintético'!F22</f>
        <v>13.19</v>
      </c>
      <c r="E33" s="186">
        <f>'Orçamento Sintético'!H22</f>
        <v>6.9749999999999996</v>
      </c>
      <c r="F33" s="187">
        <f t="shared" si="3"/>
        <v>92</v>
      </c>
      <c r="G33" s="184">
        <v>0</v>
      </c>
      <c r="H33" s="184">
        <v>0</v>
      </c>
      <c r="I33" s="184">
        <f t="shared" si="4"/>
        <v>0</v>
      </c>
      <c r="J33" s="184">
        <v>0</v>
      </c>
      <c r="K33" s="184">
        <f t="shared" si="5"/>
        <v>0</v>
      </c>
      <c r="L33" s="184">
        <f t="shared" si="6"/>
        <v>0</v>
      </c>
    </row>
    <row r="34" spans="1:14" ht="26.4" x14ac:dyDescent="0.25">
      <c r="A34" s="156" t="str">
        <f>'Orçamento Sintético'!A23</f>
        <v xml:space="preserve"> 1.5.0.2. </v>
      </c>
      <c r="B34" s="157" t="str">
        <f>'Orçamento Sintético'!D23</f>
        <v>IMPERMEABILIZAÇÃO DE SUPERFÍCIE COM ARGAMASSA DE CIMENTO E AREIA, COM ADITIVO IMPERMEABILIZANTE, E = 1,5CM. AF_09/2023</v>
      </c>
      <c r="C34" s="156" t="str">
        <f>'Orçamento Sintético'!E23</f>
        <v>m²</v>
      </c>
      <c r="D34" s="186">
        <f>'Orçamento Sintético'!F23</f>
        <v>13.19</v>
      </c>
      <c r="E34" s="186">
        <f>'Orçamento Sintético'!H23</f>
        <v>69.337500000000006</v>
      </c>
      <c r="F34" s="187">
        <f t="shared" si="3"/>
        <v>914.56</v>
      </c>
      <c r="G34" s="184">
        <v>0</v>
      </c>
      <c r="H34" s="184">
        <v>0</v>
      </c>
      <c r="I34" s="184">
        <f t="shared" si="4"/>
        <v>0</v>
      </c>
      <c r="J34" s="184">
        <v>0</v>
      </c>
      <c r="K34" s="184">
        <f t="shared" si="5"/>
        <v>0</v>
      </c>
      <c r="L34" s="184">
        <f t="shared" si="6"/>
        <v>0</v>
      </c>
    </row>
    <row r="35" spans="1:14" x14ac:dyDescent="0.25">
      <c r="A35" s="156" t="str">
        <f>'Orçamento Sintético'!A24</f>
        <v xml:space="preserve"> 1.5.0.3. </v>
      </c>
      <c r="B35" s="157" t="str">
        <f>'Orçamento Sintético'!D24</f>
        <v>IMPERMEABILIZAÇÃO DE SUPERFÍCIE COM EMULSÃO ASFÁLTICA, 2 DEMÃOS. AF_09/2023</v>
      </c>
      <c r="C35" s="156" t="str">
        <f>'Orçamento Sintético'!E24</f>
        <v>m²</v>
      </c>
      <c r="D35" s="186">
        <f>'Orçamento Sintético'!F24</f>
        <v>13.19</v>
      </c>
      <c r="E35" s="186">
        <f>'Orçamento Sintético'!H24</f>
        <v>49.25</v>
      </c>
      <c r="F35" s="187">
        <f t="shared" si="3"/>
        <v>649.61</v>
      </c>
      <c r="G35" s="184">
        <v>0</v>
      </c>
      <c r="H35" s="184">
        <v>0</v>
      </c>
      <c r="I35" s="184">
        <f t="shared" si="4"/>
        <v>0</v>
      </c>
      <c r="J35" s="184">
        <v>0</v>
      </c>
      <c r="K35" s="184">
        <f t="shared" si="5"/>
        <v>0</v>
      </c>
      <c r="L35" s="184">
        <f t="shared" si="6"/>
        <v>0</v>
      </c>
      <c r="M35" s="67">
        <f>SUM(F33:F35)</f>
        <v>1656.17</v>
      </c>
      <c r="N35" s="67">
        <f>M35/25</f>
        <v>66.246800000000007</v>
      </c>
    </row>
    <row r="36" spans="1:14" s="190" customFormat="1" x14ac:dyDescent="0.25">
      <c r="A36" s="153" t="str">
        <f>'Orçamento Sintético'!A25</f>
        <v xml:space="preserve"> 1.6 </v>
      </c>
      <c r="B36" s="154" t="str">
        <f>'Orçamento Sintético'!D25</f>
        <v>PILARES, VIGAS E LAJES</v>
      </c>
      <c r="C36" s="153"/>
      <c r="D36" s="188"/>
      <c r="E36" s="188"/>
      <c r="F36" s="189"/>
      <c r="G36" s="158"/>
      <c r="H36" s="158"/>
      <c r="I36" s="158"/>
      <c r="J36" s="158"/>
      <c r="K36" s="158"/>
      <c r="L36" s="158"/>
    </row>
    <row r="37" spans="1:14" ht="39.6" x14ac:dyDescent="0.25">
      <c r="A37" s="156" t="str">
        <f>'Orçamento Sintético'!A26</f>
        <v xml:space="preserve"> 1.6.0.1. </v>
      </c>
      <c r="B37" s="157" t="str">
        <f>'Orçamento Sintético'!D26</f>
        <v>MONTAGEM E DESMONTAGEM DE FÔRMA DE PILARES RETANGULARES E ESTRUTURAS SIMILARES, PÉ-DIREITO SIMPLES, EM CHAPA DE MADEIRA COMPENSADA RESINADA, 8 UTILIZAÇÕES. AF_09/2020</v>
      </c>
      <c r="C37" s="156" t="str">
        <f>'Orçamento Sintético'!E26</f>
        <v>m²</v>
      </c>
      <c r="D37" s="186">
        <f>'Orçamento Sintético'!F26</f>
        <v>23.19</v>
      </c>
      <c r="E37" s="186">
        <f>'Orçamento Sintético'!H26</f>
        <v>89.9375</v>
      </c>
      <c r="F37" s="187">
        <f t="shared" si="3"/>
        <v>2085.65</v>
      </c>
      <c r="G37" s="184">
        <v>0</v>
      </c>
      <c r="H37" s="184">
        <v>0</v>
      </c>
      <c r="I37" s="184">
        <f t="shared" si="4"/>
        <v>0</v>
      </c>
      <c r="J37" s="184">
        <v>0</v>
      </c>
      <c r="K37" s="184">
        <f t="shared" si="5"/>
        <v>0</v>
      </c>
      <c r="L37" s="184">
        <f t="shared" si="6"/>
        <v>0</v>
      </c>
    </row>
    <row r="38" spans="1:14" ht="26.4" x14ac:dyDescent="0.25">
      <c r="A38" s="156" t="str">
        <f>'Orçamento Sintético'!A27</f>
        <v xml:space="preserve"> 1.6.0.2. </v>
      </c>
      <c r="B38" s="157" t="str">
        <f>'Orçamento Sintético'!D27</f>
        <v>MONTAGEM E DESMONTAGEM DE FÔRMA DE VIGA, SEM ESCORAMENTO, PÉ-DIREITO SIMPLES, EM CHAPA DE MADEIRA RESINADA, 8 UTILIZAÇÕES</v>
      </c>
      <c r="C38" s="156" t="str">
        <f>'Orçamento Sintético'!E27</f>
        <v>M²</v>
      </c>
      <c r="D38" s="186">
        <f>'Orçamento Sintético'!F27</f>
        <v>29.768000000000001</v>
      </c>
      <c r="E38" s="186">
        <f>'Orçamento Sintético'!H27</f>
        <v>81.962499999999991</v>
      </c>
      <c r="F38" s="187">
        <f t="shared" si="3"/>
        <v>2439.86</v>
      </c>
      <c r="G38" s="184">
        <v>0</v>
      </c>
      <c r="H38" s="184">
        <v>0</v>
      </c>
      <c r="I38" s="184">
        <f t="shared" si="4"/>
        <v>0</v>
      </c>
      <c r="J38" s="184">
        <v>0</v>
      </c>
      <c r="K38" s="184">
        <f t="shared" si="5"/>
        <v>0</v>
      </c>
      <c r="L38" s="184">
        <f t="shared" si="6"/>
        <v>0</v>
      </c>
    </row>
    <row r="39" spans="1:14" ht="26.4" x14ac:dyDescent="0.25">
      <c r="A39" s="156" t="str">
        <f>'Orçamento Sintético'!A28</f>
        <v xml:space="preserve"> 1.6.0.3. </v>
      </c>
      <c r="B39" s="157" t="str">
        <f>'Orçamento Sintético'!D28</f>
        <v>MONTAGEM E DESMONTAGEM DE FÔRMA DE VIGA, ESCORAMENTO COM GARFO DE MADEIRA, PÉ-DIREITO SIMPLES, EM CHAPA DE MADEIRA RESINADA, 8 UTILIZAÇÕES. AF_09/2020</v>
      </c>
      <c r="C39" s="156" t="str">
        <f>'Orçamento Sintético'!E28</f>
        <v>m²</v>
      </c>
      <c r="D39" s="186">
        <f>'Orçamento Sintético'!F28</f>
        <v>2.27</v>
      </c>
      <c r="E39" s="186">
        <f>'Orçamento Sintético'!H28</f>
        <v>166.16250000000002</v>
      </c>
      <c r="F39" s="187">
        <f t="shared" si="3"/>
        <v>377.19</v>
      </c>
      <c r="G39" s="184">
        <v>0</v>
      </c>
      <c r="H39" s="184">
        <v>0</v>
      </c>
      <c r="I39" s="184">
        <f t="shared" si="4"/>
        <v>0</v>
      </c>
      <c r="J39" s="184">
        <v>0</v>
      </c>
      <c r="K39" s="184">
        <f t="shared" si="5"/>
        <v>0</v>
      </c>
      <c r="L39" s="184">
        <f t="shared" si="6"/>
        <v>0</v>
      </c>
    </row>
    <row r="40" spans="1:14" ht="26.4" x14ac:dyDescent="0.25">
      <c r="A40" s="156" t="str">
        <f>'Orçamento Sintético'!A29</f>
        <v xml:space="preserve"> 1.6.0.4. </v>
      </c>
      <c r="B40" s="157" t="str">
        <f>'Orçamento Sintético'!D29</f>
        <v>ARMAÇÃO DE PILAR OU VIGA DE ESTRUTURA CONVENCIONAL DE CONCRETO ARMADO UTILIZANDO AÇO CA-60 DE 5,0 MM - MONTAGEM. AF_06/2022</v>
      </c>
      <c r="C40" s="156" t="str">
        <f>'Orçamento Sintético'!E29</f>
        <v>KG</v>
      </c>
      <c r="D40" s="186">
        <f>'Orçamento Sintético'!F29</f>
        <v>98.280541333333332</v>
      </c>
      <c r="E40" s="186">
        <f>'Orçamento Sintético'!H29</f>
        <v>16.725000000000001</v>
      </c>
      <c r="F40" s="187">
        <f t="shared" si="3"/>
        <v>1643.74</v>
      </c>
      <c r="G40" s="184">
        <v>0</v>
      </c>
      <c r="H40" s="184">
        <v>0</v>
      </c>
      <c r="I40" s="184">
        <f t="shared" si="4"/>
        <v>0</v>
      </c>
      <c r="J40" s="184">
        <v>0</v>
      </c>
      <c r="K40" s="184">
        <f t="shared" si="5"/>
        <v>0</v>
      </c>
      <c r="L40" s="184">
        <f t="shared" si="6"/>
        <v>0</v>
      </c>
    </row>
    <row r="41" spans="1:14" x14ac:dyDescent="0.25">
      <c r="A41" s="156" t="e">
        <f>'Orçamento Sintético'!#REF!</f>
        <v>#REF!</v>
      </c>
      <c r="B41" s="157" t="e">
        <f>'Orçamento Sintético'!#REF!</f>
        <v>#REF!</v>
      </c>
      <c r="C41" s="156" t="e">
        <f>'Orçamento Sintético'!#REF!</f>
        <v>#REF!</v>
      </c>
      <c r="D41" s="186" t="e">
        <f>'Orçamento Sintético'!#REF!</f>
        <v>#REF!</v>
      </c>
      <c r="E41" s="186" t="e">
        <f>'Orçamento Sintético'!#REF!</f>
        <v>#REF!</v>
      </c>
      <c r="F41" s="187" t="e">
        <f t="shared" si="3"/>
        <v>#REF!</v>
      </c>
      <c r="G41" s="184">
        <v>0</v>
      </c>
      <c r="H41" s="184">
        <v>0</v>
      </c>
      <c r="I41" s="184">
        <f t="shared" si="4"/>
        <v>0</v>
      </c>
      <c r="J41" s="184">
        <v>0</v>
      </c>
      <c r="K41" s="184" t="e">
        <f t="shared" si="5"/>
        <v>#REF!</v>
      </c>
      <c r="L41" s="184" t="e">
        <f t="shared" si="6"/>
        <v>#REF!</v>
      </c>
    </row>
    <row r="42" spans="1:14" x14ac:dyDescent="0.25">
      <c r="A42" s="156" t="e">
        <f>'Orçamento Sintético'!#REF!</f>
        <v>#REF!</v>
      </c>
      <c r="B42" s="157" t="e">
        <f>'Orçamento Sintético'!#REF!</f>
        <v>#REF!</v>
      </c>
      <c r="C42" s="156" t="e">
        <f>'Orçamento Sintético'!#REF!</f>
        <v>#REF!</v>
      </c>
      <c r="D42" s="186" t="e">
        <f>'Orçamento Sintético'!#REF!</f>
        <v>#REF!</v>
      </c>
      <c r="E42" s="186" t="e">
        <f>'Orçamento Sintético'!#REF!</f>
        <v>#REF!</v>
      </c>
      <c r="F42" s="187" t="e">
        <f t="shared" si="3"/>
        <v>#REF!</v>
      </c>
      <c r="G42" s="184">
        <v>0</v>
      </c>
      <c r="H42" s="184">
        <v>0</v>
      </c>
      <c r="I42" s="184">
        <f t="shared" si="4"/>
        <v>0</v>
      </c>
      <c r="J42" s="184">
        <v>0</v>
      </c>
      <c r="K42" s="184" t="e">
        <f t="shared" si="5"/>
        <v>#REF!</v>
      </c>
      <c r="L42" s="184" t="e">
        <f t="shared" si="6"/>
        <v>#REF!</v>
      </c>
    </row>
    <row r="43" spans="1:14" ht="26.4" x14ac:dyDescent="0.25">
      <c r="A43" s="156" t="str">
        <f>'Orçamento Sintético'!A30</f>
        <v xml:space="preserve"> 1.6.0.7. </v>
      </c>
      <c r="B43" s="157" t="str">
        <f>'Orçamento Sintético'!D30</f>
        <v>ARMAÇÃO DE PILAR OU VIGA DE ESTRUTURA CONVENCIONAL DE CONCRETO ARMADO UTILIZANDO AÇO CA-50 DE 10,0 MM - MONTAGEM. AF_06/2022</v>
      </c>
      <c r="C43" s="156" t="str">
        <f>'Orçamento Sintético'!E30</f>
        <v>KG</v>
      </c>
      <c r="D43" s="186">
        <f>'Orçamento Sintético'!F30</f>
        <v>108.94985999999999</v>
      </c>
      <c r="E43" s="186">
        <f>'Orçamento Sintético'!H30</f>
        <v>12.5375</v>
      </c>
      <c r="F43" s="187">
        <f t="shared" si="3"/>
        <v>1365.96</v>
      </c>
      <c r="G43" s="184">
        <v>0</v>
      </c>
      <c r="H43" s="184">
        <v>0</v>
      </c>
      <c r="I43" s="184">
        <f t="shared" si="4"/>
        <v>0</v>
      </c>
      <c r="J43" s="184">
        <v>0</v>
      </c>
      <c r="K43" s="184">
        <f t="shared" si="5"/>
        <v>0</v>
      </c>
      <c r="L43" s="184">
        <f t="shared" si="6"/>
        <v>0</v>
      </c>
    </row>
    <row r="44" spans="1:14" x14ac:dyDescent="0.25">
      <c r="A44" s="156" t="e">
        <f>'Orçamento Sintético'!#REF!</f>
        <v>#REF!</v>
      </c>
      <c r="B44" s="157" t="e">
        <f>'Orçamento Sintético'!#REF!</f>
        <v>#REF!</v>
      </c>
      <c r="C44" s="156" t="e">
        <f>'Orçamento Sintético'!#REF!</f>
        <v>#REF!</v>
      </c>
      <c r="D44" s="186" t="e">
        <f>'Orçamento Sintético'!#REF!</f>
        <v>#REF!</v>
      </c>
      <c r="E44" s="186" t="e">
        <f>'Orçamento Sintético'!#REF!</f>
        <v>#REF!</v>
      </c>
      <c r="F44" s="187" t="e">
        <f t="shared" si="3"/>
        <v>#REF!</v>
      </c>
      <c r="G44" s="184">
        <v>0</v>
      </c>
      <c r="H44" s="184">
        <v>0</v>
      </c>
      <c r="I44" s="184">
        <f t="shared" si="4"/>
        <v>0</v>
      </c>
      <c r="J44" s="184">
        <v>0</v>
      </c>
      <c r="K44" s="184" t="e">
        <f t="shared" si="5"/>
        <v>#REF!</v>
      </c>
      <c r="L44" s="184" t="e">
        <f t="shared" si="6"/>
        <v>#REF!</v>
      </c>
    </row>
    <row r="45" spans="1:14" ht="26.4" x14ac:dyDescent="0.25">
      <c r="A45" s="156" t="str">
        <f>'Orçamento Sintético'!A31</f>
        <v xml:space="preserve"> 1.6.0.9. </v>
      </c>
      <c r="B45" s="157" t="str">
        <f>'Orçamento Sintético'!D31</f>
        <v>CONCRETAGEM DE PILARES, FCK = 20 MPA, COM USO DE BALDES - LANÇAMENTO, ADENSAMENTO E ACABAMENTO. AF_02/2022</v>
      </c>
      <c r="C45" s="156" t="str">
        <f>'Orçamento Sintético'!E31</f>
        <v>M³</v>
      </c>
      <c r="D45" s="186">
        <f>'Orçamento Sintético'!F31</f>
        <v>1.962</v>
      </c>
      <c r="E45" s="186">
        <f>'Orçamento Sintético'!H31</f>
        <v>1231.9000000000001</v>
      </c>
      <c r="F45" s="187">
        <f t="shared" si="3"/>
        <v>2416.9899999999998</v>
      </c>
      <c r="G45" s="184">
        <v>0</v>
      </c>
      <c r="H45" s="184">
        <v>0</v>
      </c>
      <c r="I45" s="184">
        <f t="shared" si="4"/>
        <v>0</v>
      </c>
      <c r="J45" s="184">
        <v>0</v>
      </c>
      <c r="K45" s="184">
        <f t="shared" si="5"/>
        <v>0</v>
      </c>
      <c r="L45" s="184">
        <f t="shared" si="6"/>
        <v>0</v>
      </c>
    </row>
    <row r="46" spans="1:14" ht="29.55" customHeight="1" x14ac:dyDescent="0.25">
      <c r="A46" s="156" t="str">
        <f>'Orçamento Sintético'!A32</f>
        <v xml:space="preserve"> 1.6.0.10. </v>
      </c>
      <c r="B46" s="157" t="str">
        <f>'Orçamento Sintético'!D32</f>
        <v>CONCRETAGEM DE VIGAS E LAJES, FCK=20 MPA, PARA QUALQUER TIPO DE LAJE COM BALDES EM EDIFICAÇÃO TÉRREA - LANÇAMENTO, ADENSAMENTO E ACABAMENTO. AF_02/2022</v>
      </c>
      <c r="C46" s="156" t="str">
        <f>'Orçamento Sintético'!E32</f>
        <v>M³</v>
      </c>
      <c r="D46" s="186">
        <f>'Orçamento Sintético'!F32</f>
        <v>1.9222800000000002</v>
      </c>
      <c r="E46" s="186">
        <f>'Orçamento Sintético'!H32</f>
        <v>1253.9375</v>
      </c>
      <c r="F46" s="187">
        <f t="shared" si="3"/>
        <v>2410.42</v>
      </c>
      <c r="G46" s="184">
        <v>0</v>
      </c>
      <c r="H46" s="184">
        <v>0</v>
      </c>
      <c r="I46" s="184">
        <f t="shared" si="4"/>
        <v>0</v>
      </c>
      <c r="J46" s="184">
        <v>0</v>
      </c>
      <c r="K46" s="184">
        <f t="shared" si="5"/>
        <v>0</v>
      </c>
      <c r="L46" s="184">
        <f t="shared" si="6"/>
        <v>0</v>
      </c>
    </row>
    <row r="47" spans="1:14" s="190" customFormat="1" x14ac:dyDescent="0.25">
      <c r="A47" s="153" t="str">
        <f>'Orçamento Sintético'!A33</f>
        <v xml:space="preserve"> 1.7 </v>
      </c>
      <c r="B47" s="154" t="str">
        <f>'Orçamento Sintético'!D33</f>
        <v>ALVENARIA/FECHAMENTOS</v>
      </c>
      <c r="C47" s="153"/>
      <c r="D47" s="188"/>
      <c r="E47" s="188"/>
      <c r="F47" s="189"/>
      <c r="G47" s="158"/>
      <c r="H47" s="158"/>
      <c r="I47" s="158"/>
      <c r="J47" s="158"/>
      <c r="K47" s="158"/>
      <c r="L47" s="158"/>
    </row>
    <row r="48" spans="1:14" ht="39.6" x14ac:dyDescent="0.25">
      <c r="A48" s="156" t="str">
        <f>'Orçamento Sintético'!A34</f>
        <v xml:space="preserve"> 1.7.0.1. </v>
      </c>
      <c r="B48" s="157" t="str">
        <f>'Orçamento Sintético'!D34</f>
        <v>ALVENARIA DE VEDAÇÃO DE BLOCOS CERÂMICOS FURADOS NA HORIZONTAL DE 9X19X19 CM (ESPESSURA 9 CM) E ARGAMASSA DE ASSENTAMENTO COM PREPARO EM BETONEIRA. AF_12/2021</v>
      </c>
      <c r="C48" s="156" t="str">
        <f>'Orçamento Sintético'!E34</f>
        <v>m²</v>
      </c>
      <c r="D48" s="186">
        <f>'Orçamento Sintético'!F34</f>
        <v>112.3608</v>
      </c>
      <c r="E48" s="186">
        <f>'Orçamento Sintético'!H34</f>
        <v>132.08750000000001</v>
      </c>
      <c r="F48" s="187">
        <f t="shared" si="3"/>
        <v>14841.46</v>
      </c>
      <c r="G48" s="184">
        <v>0</v>
      </c>
      <c r="H48" s="184">
        <v>0</v>
      </c>
      <c r="I48" s="184">
        <f t="shared" si="4"/>
        <v>0</v>
      </c>
      <c r="J48" s="184">
        <v>0</v>
      </c>
      <c r="K48" s="184">
        <f t="shared" si="5"/>
        <v>0</v>
      </c>
      <c r="L48" s="184">
        <f t="shared" si="6"/>
        <v>0</v>
      </c>
    </row>
    <row r="49" spans="1:12" x14ac:dyDescent="0.25">
      <c r="A49" s="156" t="str">
        <f>'Orçamento Sintético'!A35</f>
        <v xml:space="preserve"> 1.7.0.2. </v>
      </c>
      <c r="B49" s="157" t="str">
        <f>'Orçamento Sintético'!D35</f>
        <v>VERGA MOLDADA IN LOCO EM CONCRETO, ESPESSURA DE *10* CM. AF_03/2024</v>
      </c>
      <c r="C49" s="156" t="str">
        <f>'Orçamento Sintético'!E35</f>
        <v>M</v>
      </c>
      <c r="D49" s="186">
        <f>'Orçamento Sintético'!F35</f>
        <v>6.9</v>
      </c>
      <c r="E49" s="186">
        <f>'Orçamento Sintético'!H35</f>
        <v>70.125</v>
      </c>
      <c r="F49" s="187">
        <f t="shared" si="3"/>
        <v>483.86</v>
      </c>
      <c r="G49" s="184">
        <v>0</v>
      </c>
      <c r="H49" s="184">
        <v>0</v>
      </c>
      <c r="I49" s="184">
        <f t="shared" si="4"/>
        <v>0</v>
      </c>
      <c r="J49" s="184">
        <v>0</v>
      </c>
      <c r="K49" s="184">
        <f t="shared" si="5"/>
        <v>0</v>
      </c>
      <c r="L49" s="184">
        <f t="shared" si="6"/>
        <v>0</v>
      </c>
    </row>
    <row r="50" spans="1:12" x14ac:dyDescent="0.25">
      <c r="A50" s="156" t="str">
        <f>'Orçamento Sintético'!A36</f>
        <v xml:space="preserve"> 1.7.0.3. </v>
      </c>
      <c r="B50" s="157" t="str">
        <f>'Orçamento Sintético'!D36</f>
        <v>CONTRAVERGA MOLDADA IN LOCO EM CONCRETO, ESPESSURA DE *10* CM. AF_03/2024</v>
      </c>
      <c r="C50" s="156" t="str">
        <f>'Orçamento Sintético'!E36</f>
        <v>M</v>
      </c>
      <c r="D50" s="186">
        <f>'Orçamento Sintético'!F36</f>
        <v>3.5</v>
      </c>
      <c r="E50" s="186">
        <f>'Orçamento Sintético'!H36</f>
        <v>54.45</v>
      </c>
      <c r="F50" s="187">
        <f t="shared" si="3"/>
        <v>190.58</v>
      </c>
      <c r="G50" s="184">
        <v>0</v>
      </c>
      <c r="H50" s="184">
        <v>0</v>
      </c>
      <c r="I50" s="184">
        <f t="shared" si="4"/>
        <v>0</v>
      </c>
      <c r="J50" s="184">
        <v>0</v>
      </c>
      <c r="K50" s="184">
        <f t="shared" si="5"/>
        <v>0</v>
      </c>
      <c r="L50" s="184">
        <f t="shared" si="6"/>
        <v>0</v>
      </c>
    </row>
    <row r="51" spans="1:12" s="190" customFormat="1" x14ac:dyDescent="0.25">
      <c r="A51" s="153" t="str">
        <f>'Orçamento Sintético'!A37</f>
        <v xml:space="preserve"> 1.8 </v>
      </c>
      <c r="B51" s="154" t="str">
        <f>'Orçamento Sintético'!D37</f>
        <v>ESQUADRIAS METÁLICAS</v>
      </c>
      <c r="C51" s="153"/>
      <c r="D51" s="188"/>
      <c r="E51" s="188"/>
      <c r="F51" s="189"/>
      <c r="G51" s="158"/>
      <c r="H51" s="158"/>
      <c r="I51" s="158"/>
      <c r="J51" s="158"/>
      <c r="K51" s="158"/>
      <c r="L51" s="158"/>
    </row>
    <row r="52" spans="1:12" ht="26.4" x14ac:dyDescent="0.25">
      <c r="A52" s="156" t="str">
        <f>'Orçamento Sintético'!A38</f>
        <v xml:space="preserve"> 1.8.0.1. </v>
      </c>
      <c r="B52" s="157" t="str">
        <f>'Orçamento Sintético'!D38</f>
        <v>ESQUADRIAS DE VIDRO TEMPERADO FUMÊ, DE CORRER, ESP. 8MM, INCLUSIVE ACESSÓRIOS DE FIXAÇÃO</v>
      </c>
      <c r="C52" s="156" t="str">
        <f>'Orçamento Sintético'!E38</f>
        <v>M²</v>
      </c>
      <c r="D52" s="186">
        <f>'Orçamento Sintético'!F38</f>
        <v>2.2999999999999998</v>
      </c>
      <c r="E52" s="186">
        <f>'Orçamento Sintético'!H38</f>
        <v>990.38749999999993</v>
      </c>
      <c r="F52" s="187">
        <f t="shared" si="3"/>
        <v>2277.89</v>
      </c>
      <c r="G52" s="184">
        <v>0</v>
      </c>
      <c r="H52" s="184">
        <v>0</v>
      </c>
      <c r="I52" s="184">
        <f t="shared" si="4"/>
        <v>0</v>
      </c>
      <c r="J52" s="184">
        <v>0</v>
      </c>
      <c r="K52" s="184">
        <f t="shared" si="5"/>
        <v>0</v>
      </c>
      <c r="L52" s="184">
        <f t="shared" si="6"/>
        <v>0</v>
      </c>
    </row>
    <row r="53" spans="1:12" x14ac:dyDescent="0.25">
      <c r="A53" s="156" t="str">
        <f>'Orçamento Sintético'!A39</f>
        <v xml:space="preserve"> 1.8.0.2. </v>
      </c>
      <c r="B53" s="157" t="str">
        <f>'Orçamento Sintético'!D39</f>
        <v>PORTA DE FERRO, DE ABRIR, TIPO GRADE COM CHAPA, COM GUARNIÇÕES. AF_12/2019</v>
      </c>
      <c r="C53" s="156" t="str">
        <f>'Orçamento Sintético'!E39</f>
        <v>m²</v>
      </c>
      <c r="D53" s="186">
        <f>'Orçamento Sintético'!F39</f>
        <v>5.4600000000000009</v>
      </c>
      <c r="E53" s="186">
        <f>'Orçamento Sintético'!H39</f>
        <v>858.6</v>
      </c>
      <c r="F53" s="187">
        <f t="shared" si="3"/>
        <v>4687.96</v>
      </c>
      <c r="G53" s="184">
        <v>0</v>
      </c>
      <c r="H53" s="184">
        <v>0</v>
      </c>
      <c r="I53" s="184">
        <f t="shared" si="4"/>
        <v>0</v>
      </c>
      <c r="J53" s="184">
        <v>0</v>
      </c>
      <c r="K53" s="184">
        <f t="shared" si="5"/>
        <v>0</v>
      </c>
      <c r="L53" s="184">
        <f t="shared" si="6"/>
        <v>0</v>
      </c>
    </row>
    <row r="54" spans="1:12" x14ac:dyDescent="0.25">
      <c r="A54" s="156" t="e">
        <f>'Orçamento Sintético'!#REF!</f>
        <v>#REF!</v>
      </c>
      <c r="B54" s="157" t="e">
        <f>'Orçamento Sintético'!#REF!</f>
        <v>#REF!</v>
      </c>
      <c r="C54" s="156" t="e">
        <f>'Orçamento Sintético'!#REF!</f>
        <v>#REF!</v>
      </c>
      <c r="D54" s="186" t="e">
        <f>'Orçamento Sintético'!#REF!</f>
        <v>#REF!</v>
      </c>
      <c r="E54" s="186" t="e">
        <f>'Orçamento Sintético'!#REF!</f>
        <v>#REF!</v>
      </c>
      <c r="F54" s="187" t="e">
        <f t="shared" si="3"/>
        <v>#REF!</v>
      </c>
      <c r="G54" s="184">
        <v>0</v>
      </c>
      <c r="H54" s="184">
        <v>0</v>
      </c>
      <c r="I54" s="184">
        <f t="shared" si="4"/>
        <v>0</v>
      </c>
      <c r="J54" s="184">
        <v>0</v>
      </c>
      <c r="K54" s="184" t="e">
        <f t="shared" si="5"/>
        <v>#REF!</v>
      </c>
      <c r="L54" s="184" t="e">
        <f t="shared" si="6"/>
        <v>#REF!</v>
      </c>
    </row>
    <row r="55" spans="1:12" ht="39.6" x14ac:dyDescent="0.25">
      <c r="A55" s="156" t="str">
        <f>'Orçamento Sintético'!A40</f>
        <v xml:space="preserve"> 1.8.0.4. </v>
      </c>
      <c r="B55" s="157" t="str">
        <f>'Orçamento Sintético'!D40</f>
        <v>FECHADURA ESPELHO PARA PORTA EXTERNA, EM ACO INOX (MAQUINA, TESTA E CONTRA-TESTA) E EM ZAMAC (MACANETA, LINGUETA E TRINCOS) COM ACABAMENTO CROMADO, MAQUINA DE 40 MM, INCLUINDO CHAVE TIPO CILINDRO</v>
      </c>
      <c r="C55" s="156" t="str">
        <f>'Orçamento Sintético'!E40</f>
        <v>CJ</v>
      </c>
      <c r="D55" s="186">
        <f>'Orçamento Sintético'!F40</f>
        <v>3</v>
      </c>
      <c r="E55" s="186">
        <f>'Orçamento Sintético'!H40</f>
        <v>93.100000000000009</v>
      </c>
      <c r="F55" s="187">
        <f t="shared" si="3"/>
        <v>279.3</v>
      </c>
      <c r="G55" s="184">
        <v>0</v>
      </c>
      <c r="H55" s="184">
        <v>0</v>
      </c>
      <c r="I55" s="184">
        <f t="shared" si="4"/>
        <v>0</v>
      </c>
      <c r="J55" s="184">
        <v>0</v>
      </c>
      <c r="K55" s="184">
        <f t="shared" si="5"/>
        <v>0</v>
      </c>
      <c r="L55" s="184">
        <f t="shared" si="6"/>
        <v>0</v>
      </c>
    </row>
    <row r="56" spans="1:12" x14ac:dyDescent="0.25">
      <c r="A56" s="156" t="str">
        <f>'Orçamento Sintético'!A41</f>
        <v xml:space="preserve"> 1.8.0.5. </v>
      </c>
      <c r="B56" s="157" t="str">
        <f>'Orçamento Sintético'!D41</f>
        <v>SOLEIRA EM MÁRMORE, LARGURA 15 CM, ESPESSURA 2,0 CM. AF_09/2020</v>
      </c>
      <c r="C56" s="156" t="str">
        <f>'Orçamento Sintético'!E41</f>
        <v>M</v>
      </c>
      <c r="D56" s="186">
        <f>'Orçamento Sintético'!F41</f>
        <v>4.0999999999999996</v>
      </c>
      <c r="E56" s="186">
        <f>'Orçamento Sintético'!H41</f>
        <v>173.9375</v>
      </c>
      <c r="F56" s="187">
        <f t="shared" si="3"/>
        <v>713.14</v>
      </c>
      <c r="G56" s="184">
        <v>0</v>
      </c>
      <c r="H56" s="184">
        <v>0</v>
      </c>
      <c r="I56" s="184">
        <f t="shared" si="4"/>
        <v>0</v>
      </c>
      <c r="J56" s="184">
        <v>0</v>
      </c>
      <c r="K56" s="184">
        <f t="shared" si="5"/>
        <v>0</v>
      </c>
      <c r="L56" s="184">
        <f t="shared" si="6"/>
        <v>0</v>
      </c>
    </row>
    <row r="57" spans="1:12" s="190" customFormat="1" x14ac:dyDescent="0.25">
      <c r="A57" s="153" t="str">
        <f>'Orçamento Sintético'!A42</f>
        <v xml:space="preserve"> 1.9 </v>
      </c>
      <c r="B57" s="154" t="str">
        <f>'Orçamento Sintético'!D42</f>
        <v>COBERTURA</v>
      </c>
      <c r="C57" s="153"/>
      <c r="D57" s="188"/>
      <c r="E57" s="188"/>
      <c r="F57" s="189"/>
      <c r="G57" s="158"/>
      <c r="H57" s="158"/>
      <c r="I57" s="158"/>
      <c r="J57" s="158"/>
      <c r="K57" s="158"/>
      <c r="L57" s="158"/>
    </row>
    <row r="58" spans="1:12" ht="26.4" x14ac:dyDescent="0.25">
      <c r="A58" s="156" t="str">
        <f>'Orçamento Sintético'!A43</f>
        <v xml:space="preserve"> 1.9.0.1. </v>
      </c>
      <c r="B58" s="157" t="str">
        <f>'Orçamento Sintético'!D43</f>
        <v>TRAMA DE AÇO COMPOSTA POR RIPAS E CAIBROS PARA TELHADOS DE ATÉ 2 ÁGUAS PARA TELHA CERÂMICA CAPA-CANAL, INCLUSO TRANSPORTE VERTICAL. AF_07/2019</v>
      </c>
      <c r="C58" s="156" t="str">
        <f>'Orçamento Sintético'!E43</f>
        <v>m²</v>
      </c>
      <c r="D58" s="186">
        <f>'Orçamento Sintético'!F43</f>
        <v>22.64</v>
      </c>
      <c r="E58" s="186">
        <f>'Orçamento Sintético'!H43</f>
        <v>79.5625</v>
      </c>
      <c r="F58" s="187">
        <f t="shared" si="3"/>
        <v>1801.3</v>
      </c>
      <c r="G58" s="184">
        <v>0</v>
      </c>
      <c r="H58" s="184">
        <v>0</v>
      </c>
      <c r="I58" s="184">
        <f t="shared" si="4"/>
        <v>0</v>
      </c>
      <c r="J58" s="184">
        <v>0</v>
      </c>
      <c r="K58" s="184">
        <f t="shared" si="5"/>
        <v>0</v>
      </c>
      <c r="L58" s="184">
        <f t="shared" si="6"/>
        <v>0</v>
      </c>
    </row>
    <row r="59" spans="1:12" ht="26.4" x14ac:dyDescent="0.25">
      <c r="A59" s="156" t="str">
        <f>'Orçamento Sintético'!A45</f>
        <v xml:space="preserve"> 1.9.0.2. </v>
      </c>
      <c r="B59" s="157" t="str">
        <f>'Orçamento Sintético'!D45</f>
        <v>TELHAMENTO COM TELHA CERÂMICA CAPA-CANAL, TIPO PAULISTA, COM ATÉ 2 ÁGUAS, INCLUSO TRANSPORTE VERTICAL. AF_07/2019</v>
      </c>
      <c r="C59" s="156" t="str">
        <f>'Orçamento Sintético'!E45</f>
        <v>m²</v>
      </c>
      <c r="D59" s="186">
        <f>'Orçamento Sintético'!F45</f>
        <v>22.64</v>
      </c>
      <c r="E59" s="186">
        <f>'Orçamento Sintético'!H45</f>
        <v>77.162499999999994</v>
      </c>
      <c r="F59" s="187">
        <f t="shared" si="3"/>
        <v>1746.96</v>
      </c>
      <c r="G59" s="184">
        <v>0</v>
      </c>
      <c r="H59" s="184">
        <v>0</v>
      </c>
      <c r="I59" s="184">
        <f t="shared" si="4"/>
        <v>0</v>
      </c>
      <c r="J59" s="184">
        <v>0</v>
      </c>
      <c r="K59" s="184">
        <f t="shared" si="5"/>
        <v>0</v>
      </c>
      <c r="L59" s="184">
        <f t="shared" si="6"/>
        <v>0</v>
      </c>
    </row>
    <row r="60" spans="1:12" ht="26.4" x14ac:dyDescent="0.25">
      <c r="A60" s="156" t="str">
        <f>'Orçamento Sintético'!A47</f>
        <v xml:space="preserve"> 1.9.0.3. </v>
      </c>
      <c r="B60" s="157" t="str">
        <f>'Orçamento Sintético'!D47</f>
        <v>PINTURA COM TINTA ALQUÍDICA DE FUNDO (TIPO ZARCÃO) PULVERIZADA SOBRE PERFIL METÁLICO EXECUTADO EM FÁBRICA (POR DEMÃO). AF_01/2020_PE</v>
      </c>
      <c r="C60" s="156" t="str">
        <f>'Orçamento Sintético'!E47</f>
        <v>m²</v>
      </c>
      <c r="D60" s="186">
        <f>'Orçamento Sintético'!F47</f>
        <v>45.28</v>
      </c>
      <c r="E60" s="186">
        <f>'Orçamento Sintético'!H47</f>
        <v>12.5375</v>
      </c>
      <c r="F60" s="187">
        <f t="shared" si="3"/>
        <v>567.70000000000005</v>
      </c>
      <c r="G60" s="184">
        <v>0</v>
      </c>
      <c r="H60" s="184">
        <v>0</v>
      </c>
      <c r="I60" s="184">
        <f t="shared" si="4"/>
        <v>0</v>
      </c>
      <c r="J60" s="184">
        <v>0</v>
      </c>
      <c r="K60" s="184">
        <f t="shared" si="5"/>
        <v>0</v>
      </c>
      <c r="L60" s="184">
        <f t="shared" si="6"/>
        <v>0</v>
      </c>
    </row>
    <row r="61" spans="1:12" x14ac:dyDescent="0.25">
      <c r="A61" s="156" t="e">
        <f>'Orçamento Sintético'!#REF!</f>
        <v>#REF!</v>
      </c>
      <c r="B61" s="157" t="e">
        <f>'Orçamento Sintético'!#REF!</f>
        <v>#REF!</v>
      </c>
      <c r="C61" s="156" t="e">
        <f>'Orçamento Sintético'!#REF!</f>
        <v>#REF!</v>
      </c>
      <c r="D61" s="186" t="e">
        <f>'Orçamento Sintético'!#REF!</f>
        <v>#REF!</v>
      </c>
      <c r="E61" s="186" t="e">
        <f>'Orçamento Sintético'!#REF!</f>
        <v>#REF!</v>
      </c>
      <c r="F61" s="187" t="e">
        <f t="shared" si="3"/>
        <v>#REF!</v>
      </c>
      <c r="G61" s="184">
        <v>0</v>
      </c>
      <c r="H61" s="184">
        <v>0</v>
      </c>
      <c r="I61" s="184">
        <f t="shared" si="4"/>
        <v>0</v>
      </c>
      <c r="J61" s="184">
        <v>0</v>
      </c>
      <c r="K61" s="184" t="e">
        <f t="shared" si="5"/>
        <v>#REF!</v>
      </c>
      <c r="L61" s="184" t="e">
        <f t="shared" si="6"/>
        <v>#REF!</v>
      </c>
    </row>
    <row r="62" spans="1:12" ht="25.5" customHeight="1" x14ac:dyDescent="0.25">
      <c r="A62" s="156" t="e">
        <f>'Orçamento Sintético'!#REF!</f>
        <v>#REF!</v>
      </c>
      <c r="B62" s="157" t="e">
        <f>'Orçamento Sintético'!#REF!</f>
        <v>#REF!</v>
      </c>
      <c r="C62" s="156" t="e">
        <f>'Orçamento Sintético'!#REF!</f>
        <v>#REF!</v>
      </c>
      <c r="D62" s="186" t="e">
        <f>'Orçamento Sintético'!#REF!</f>
        <v>#REF!</v>
      </c>
      <c r="E62" s="186" t="e">
        <f>'Orçamento Sintético'!#REF!</f>
        <v>#REF!</v>
      </c>
      <c r="F62" s="187" t="e">
        <f t="shared" si="3"/>
        <v>#REF!</v>
      </c>
      <c r="G62" s="184">
        <v>0</v>
      </c>
      <c r="H62" s="184">
        <v>0</v>
      </c>
      <c r="I62" s="184">
        <f t="shared" si="4"/>
        <v>0</v>
      </c>
      <c r="J62" s="184">
        <v>0</v>
      </c>
      <c r="K62" s="184" t="e">
        <f t="shared" si="5"/>
        <v>#REF!</v>
      </c>
      <c r="L62" s="184" t="e">
        <f t="shared" si="6"/>
        <v>#REF!</v>
      </c>
    </row>
    <row r="63" spans="1:12" s="190" customFormat="1" x14ac:dyDescent="0.25">
      <c r="A63" s="153" t="str">
        <f>'Orçamento Sintético'!A48</f>
        <v xml:space="preserve"> 1.10 </v>
      </c>
      <c r="B63" s="154" t="str">
        <f>'Orçamento Sintético'!D48</f>
        <v>REVESTIMENTOS INTERNOS</v>
      </c>
      <c r="C63" s="153"/>
      <c r="D63" s="188"/>
      <c r="E63" s="188"/>
      <c r="F63" s="189"/>
      <c r="G63" s="158"/>
      <c r="H63" s="158"/>
      <c r="I63" s="158"/>
      <c r="J63" s="158"/>
      <c r="K63" s="158"/>
      <c r="L63" s="158"/>
    </row>
    <row r="64" spans="1:12" ht="39.6" x14ac:dyDescent="0.25">
      <c r="A64" s="156" t="str">
        <f>'Orçamento Sintético'!A49</f>
        <v xml:space="preserve"> 1.10.0.1. </v>
      </c>
      <c r="B64" s="157" t="str">
        <f>'Orçamento Sintético'!D49</f>
        <v>CHAPISCO APLICADO EM ALVENARIAS E ESTRUTURAS DE CONCRETO INTERNAS, COM COLHER DE PEDREIRO. ARGAMASSA TRAÇO 1:3 COM PREPARO EM BETONEIRA 400L. AF_10/2022</v>
      </c>
      <c r="C64" s="156" t="str">
        <f>'Orçamento Sintético'!E49</f>
        <v>m²</v>
      </c>
      <c r="D64" s="186">
        <f>'Orçamento Sintético'!F49</f>
        <v>166.22</v>
      </c>
      <c r="E64" s="186">
        <f>'Orçamento Sintético'!H49</f>
        <v>6.2624999999999993</v>
      </c>
      <c r="F64" s="187">
        <f t="shared" si="3"/>
        <v>1040.95</v>
      </c>
      <c r="G64" s="184">
        <v>0</v>
      </c>
      <c r="H64" s="184">
        <v>0</v>
      </c>
      <c r="I64" s="184">
        <f t="shared" si="4"/>
        <v>0</v>
      </c>
      <c r="J64" s="184">
        <v>0</v>
      </c>
      <c r="K64" s="184">
        <f t="shared" si="5"/>
        <v>0</v>
      </c>
      <c r="L64" s="184">
        <f t="shared" si="6"/>
        <v>0</v>
      </c>
    </row>
    <row r="65" spans="1:12" x14ac:dyDescent="0.25">
      <c r="A65" s="156" t="e">
        <f>'Orçamento Sintético'!#REF!</f>
        <v>#REF!</v>
      </c>
      <c r="B65" s="157" t="e">
        <f>'Orçamento Sintético'!#REF!</f>
        <v>#REF!</v>
      </c>
      <c r="C65" s="156" t="e">
        <f>'Orçamento Sintético'!#REF!</f>
        <v>#REF!</v>
      </c>
      <c r="D65" s="186" t="e">
        <f>'Orçamento Sintético'!#REF!</f>
        <v>#REF!</v>
      </c>
      <c r="E65" s="186" t="e">
        <f>'Orçamento Sintético'!#REF!</f>
        <v>#REF!</v>
      </c>
      <c r="F65" s="187" t="e">
        <f t="shared" si="3"/>
        <v>#REF!</v>
      </c>
      <c r="G65" s="184">
        <v>0</v>
      </c>
      <c r="H65" s="184">
        <v>0</v>
      </c>
      <c r="I65" s="184">
        <f t="shared" si="4"/>
        <v>0</v>
      </c>
      <c r="J65" s="184">
        <v>0</v>
      </c>
      <c r="K65" s="184" t="e">
        <f t="shared" si="5"/>
        <v>#REF!</v>
      </c>
      <c r="L65" s="184" t="e">
        <f t="shared" si="6"/>
        <v>#REF!</v>
      </c>
    </row>
    <row r="66" spans="1:12" ht="39.6" x14ac:dyDescent="0.25">
      <c r="A66" s="156" t="str">
        <f>'Orçamento Sintético'!A50</f>
        <v xml:space="preserve"> 1.10.0.3. </v>
      </c>
      <c r="B66" s="157" t="str">
        <f>'Orçamento Sintético'!D50</f>
        <v>EMBOÇO, EM ARGAMASSA TRAÇO 1:2:8, PREPARO MECÂNICO, APLICADO MANUALMENTE EM PAREDES INTERNAS DE AMBIENTES COM ÁREA ENTRE 5M² E 10M², E = 10MM, COM TALISCAS. AF_03/2024</v>
      </c>
      <c r="C66" s="156" t="str">
        <f>'Orçamento Sintético'!E50</f>
        <v>m²</v>
      </c>
      <c r="D66" s="186">
        <f>'Orçamento Sintético'!F50</f>
        <v>20.677</v>
      </c>
      <c r="E66" s="186">
        <f>'Orçamento Sintético'!H50</f>
        <v>35.237500000000004</v>
      </c>
      <c r="F66" s="187">
        <f t="shared" si="3"/>
        <v>728.61</v>
      </c>
      <c r="G66" s="184">
        <v>0</v>
      </c>
      <c r="H66" s="184">
        <v>0</v>
      </c>
      <c r="I66" s="184">
        <f t="shared" si="4"/>
        <v>0</v>
      </c>
      <c r="J66" s="184">
        <v>0</v>
      </c>
      <c r="K66" s="184">
        <f t="shared" si="5"/>
        <v>0</v>
      </c>
      <c r="L66" s="184">
        <f t="shared" si="6"/>
        <v>0</v>
      </c>
    </row>
    <row r="67" spans="1:12" ht="39.6" x14ac:dyDescent="0.25">
      <c r="A67" s="156" t="str">
        <f>'Orçamento Sintético'!A51</f>
        <v xml:space="preserve"> 1.10.0.4. </v>
      </c>
      <c r="B67" s="157" t="str">
        <f>'Orçamento Sintético'!D51</f>
        <v>MASSA ÚNICA, EM ARGAMASSA TRAÇO 1:2:8 PREPARO MECÂNICO, APLICADA MANUALMENTE EM PAREDES INTERNAS DE AMBIENTES COM ÁREA MAIOR QUE 10M², E = 10MM, COM TALISCAS. AF_03/2024</v>
      </c>
      <c r="C67" s="156" t="str">
        <f>'Orçamento Sintético'!E51</f>
        <v>m²</v>
      </c>
      <c r="D67" s="186">
        <f>'Orçamento Sintético'!F51</f>
        <v>145.54300000000001</v>
      </c>
      <c r="E67" s="186">
        <f>'Orçamento Sintético'!H51</f>
        <v>32.712500000000006</v>
      </c>
      <c r="F67" s="187">
        <f t="shared" si="3"/>
        <v>4761.08</v>
      </c>
      <c r="G67" s="184">
        <v>0</v>
      </c>
      <c r="H67" s="184">
        <v>0</v>
      </c>
      <c r="I67" s="184">
        <f t="shared" si="4"/>
        <v>0</v>
      </c>
      <c r="J67" s="184">
        <v>0</v>
      </c>
      <c r="K67" s="184">
        <f t="shared" si="5"/>
        <v>0</v>
      </c>
      <c r="L67" s="184">
        <f t="shared" si="6"/>
        <v>0</v>
      </c>
    </row>
    <row r="68" spans="1:12" x14ac:dyDescent="0.25">
      <c r="A68" s="156" t="e">
        <f>'Orçamento Sintético'!#REF!</f>
        <v>#REF!</v>
      </c>
      <c r="B68" s="157" t="e">
        <f>'Orçamento Sintético'!#REF!</f>
        <v>#REF!</v>
      </c>
      <c r="C68" s="156" t="e">
        <f>'Orçamento Sintético'!#REF!</f>
        <v>#REF!</v>
      </c>
      <c r="D68" s="186" t="e">
        <f>'Orçamento Sintético'!#REF!</f>
        <v>#REF!</v>
      </c>
      <c r="E68" s="186" t="e">
        <f>'Orçamento Sintético'!#REF!</f>
        <v>#REF!</v>
      </c>
      <c r="F68" s="187" t="e">
        <f t="shared" si="3"/>
        <v>#REF!</v>
      </c>
      <c r="G68" s="184">
        <v>0</v>
      </c>
      <c r="H68" s="184">
        <v>0</v>
      </c>
      <c r="I68" s="184">
        <f t="shared" si="4"/>
        <v>0</v>
      </c>
      <c r="J68" s="184">
        <v>0</v>
      </c>
      <c r="K68" s="184" t="e">
        <f t="shared" si="5"/>
        <v>#REF!</v>
      </c>
      <c r="L68" s="184" t="e">
        <f t="shared" si="6"/>
        <v>#REF!</v>
      </c>
    </row>
    <row r="69" spans="1:12" ht="26.4" x14ac:dyDescent="0.25">
      <c r="A69" s="156" t="str">
        <f>'Orçamento Sintético'!A52</f>
        <v xml:space="preserve"> 1.10.0.6. </v>
      </c>
      <c r="B69" s="157" t="str">
        <f>'Orçamento Sintético'!D52</f>
        <v>REVESTIMENTO CERÂMICO PARA PAREDES INTERNAS COM PLACAS TIPO ESMALTADA DE DIMENSÕES 20X20 CM APLICADAS A MEIA ALTURA DAS PAREDES. AF_02/2023_PE</v>
      </c>
      <c r="C69" s="156" t="str">
        <f>'Orçamento Sintético'!E52</f>
        <v>m²</v>
      </c>
      <c r="D69" s="186">
        <f>'Orçamento Sintético'!F52</f>
        <v>25.161999999999995</v>
      </c>
      <c r="E69" s="186">
        <f>'Orçamento Sintético'!H52</f>
        <v>85.662499999999994</v>
      </c>
      <c r="F69" s="187">
        <f t="shared" si="3"/>
        <v>2155.44</v>
      </c>
      <c r="G69" s="184">
        <v>0</v>
      </c>
      <c r="H69" s="184">
        <v>0</v>
      </c>
      <c r="I69" s="184">
        <f t="shared" si="4"/>
        <v>0</v>
      </c>
      <c r="J69" s="184">
        <v>0</v>
      </c>
      <c r="K69" s="184">
        <f t="shared" si="5"/>
        <v>0</v>
      </c>
      <c r="L69" s="184">
        <f t="shared" si="6"/>
        <v>0</v>
      </c>
    </row>
    <row r="70" spans="1:12" x14ac:dyDescent="0.25">
      <c r="A70" s="156" t="e">
        <f>'Orçamento Sintético'!#REF!</f>
        <v>#REF!</v>
      </c>
      <c r="B70" s="157" t="e">
        <f>'Orçamento Sintético'!#REF!</f>
        <v>#REF!</v>
      </c>
      <c r="C70" s="156" t="e">
        <f>'Orçamento Sintético'!#REF!</f>
        <v>#REF!</v>
      </c>
      <c r="D70" s="186" t="e">
        <f>'Orçamento Sintético'!#REF!</f>
        <v>#REF!</v>
      </c>
      <c r="E70" s="186" t="e">
        <f>'Orçamento Sintético'!#REF!</f>
        <v>#REF!</v>
      </c>
      <c r="F70" s="187" t="e">
        <f t="shared" si="3"/>
        <v>#REF!</v>
      </c>
      <c r="G70" s="184">
        <v>0</v>
      </c>
      <c r="H70" s="184">
        <v>0</v>
      </c>
      <c r="I70" s="184">
        <f t="shared" si="4"/>
        <v>0</v>
      </c>
      <c r="J70" s="184">
        <v>0</v>
      </c>
      <c r="K70" s="184" t="e">
        <f t="shared" si="5"/>
        <v>#REF!</v>
      </c>
      <c r="L70" s="184" t="e">
        <f t="shared" si="6"/>
        <v>#REF!</v>
      </c>
    </row>
    <row r="71" spans="1:12" s="190" customFormat="1" x14ac:dyDescent="0.25">
      <c r="A71" s="153" t="str">
        <f>'Orçamento Sintético'!A53</f>
        <v xml:space="preserve"> 1.11 </v>
      </c>
      <c r="B71" s="154" t="str">
        <f>'Orçamento Sintético'!D53</f>
        <v>REVESTIMENTOS EXTERNOS</v>
      </c>
      <c r="C71" s="153"/>
      <c r="D71" s="188"/>
      <c r="E71" s="188"/>
      <c r="F71" s="189"/>
      <c r="G71" s="158"/>
      <c r="H71" s="158"/>
      <c r="I71" s="158"/>
      <c r="J71" s="158"/>
      <c r="K71" s="158"/>
      <c r="L71" s="158"/>
    </row>
    <row r="72" spans="1:12" ht="39.6" x14ac:dyDescent="0.25">
      <c r="A72" s="156" t="str">
        <f>'Orçamento Sintético'!A54</f>
        <v xml:space="preserve"> 1.11.0.1. </v>
      </c>
      <c r="B72" s="157" t="str">
        <f>'Orçamento Sintético'!D54</f>
        <v>CHAPISCO APLICADO EM ALVENARIA (COM PRESENÇA DE VÃOS) E ESTRUTURAS DE CONCRETO DE FACHADA, COM COLHER DE PEDREIRO. ARGAMASSA TRAÇO 1:3 COM PREPARO EM BETONEIRA 400L. AF_10/2022</v>
      </c>
      <c r="C72" s="156" t="str">
        <f>'Orçamento Sintético'!E54</f>
        <v>m²</v>
      </c>
      <c r="D72" s="186">
        <f>'Orçamento Sintético'!F54</f>
        <v>95.695000000000022</v>
      </c>
      <c r="E72" s="186">
        <f>'Orçamento Sintético'!H54</f>
        <v>10.975</v>
      </c>
      <c r="F72" s="187">
        <f t="shared" si="3"/>
        <v>1050.25</v>
      </c>
      <c r="G72" s="184">
        <v>0</v>
      </c>
      <c r="H72" s="184">
        <v>0</v>
      </c>
      <c r="I72" s="184">
        <f t="shared" si="4"/>
        <v>0</v>
      </c>
      <c r="J72" s="184">
        <v>0</v>
      </c>
      <c r="K72" s="184">
        <f t="shared" si="5"/>
        <v>0</v>
      </c>
      <c r="L72" s="184">
        <f t="shared" si="6"/>
        <v>0</v>
      </c>
    </row>
    <row r="73" spans="1:12" ht="39.6" x14ac:dyDescent="0.25">
      <c r="A73" s="156" t="str">
        <f>'Orçamento Sintético'!A55</f>
        <v xml:space="preserve"> 1.11.0.2. </v>
      </c>
      <c r="B73" s="157" t="str">
        <f>'Orçamento Sintético'!D55</f>
        <v>EMBOÇO OU MASSA ÚNICA EM ARGAMASSA TRAÇO 1:2:8, PREPARO MECÂNICO COM BETONEIRA 400 L, APLICADA MANUALMENTE EM PANOS DE FACHADA COM PRESENÇA DE VÃOS, ESPESSURA DE 25 MM. AF_08/2022</v>
      </c>
      <c r="C73" s="156" t="str">
        <f>'Orçamento Sintético'!E55</f>
        <v>m²</v>
      </c>
      <c r="D73" s="186">
        <f>'Orçamento Sintético'!F55</f>
        <v>95.695000000000022</v>
      </c>
      <c r="E73" s="186">
        <f>'Orçamento Sintético'!H55</f>
        <v>75.599999999999994</v>
      </c>
      <c r="F73" s="187">
        <f t="shared" si="3"/>
        <v>7234.54</v>
      </c>
      <c r="G73" s="184">
        <v>0</v>
      </c>
      <c r="H73" s="184">
        <v>0</v>
      </c>
      <c r="I73" s="184">
        <f t="shared" si="4"/>
        <v>0</v>
      </c>
      <c r="J73" s="184">
        <v>0</v>
      </c>
      <c r="K73" s="184">
        <f t="shared" si="5"/>
        <v>0</v>
      </c>
      <c r="L73" s="184">
        <f t="shared" si="6"/>
        <v>0</v>
      </c>
    </row>
    <row r="74" spans="1:12" s="190" customFormat="1" x14ac:dyDescent="0.25">
      <c r="A74" s="153" t="str">
        <f>'Orçamento Sintético'!A56</f>
        <v xml:space="preserve"> 1.12 </v>
      </c>
      <c r="B74" s="154" t="str">
        <f>'Orçamento Sintético'!D56</f>
        <v>FORROS</v>
      </c>
      <c r="C74" s="153"/>
      <c r="D74" s="188"/>
      <c r="E74" s="188"/>
      <c r="F74" s="189"/>
      <c r="G74" s="158"/>
      <c r="H74" s="158"/>
      <c r="I74" s="158"/>
      <c r="J74" s="158"/>
      <c r="K74" s="158"/>
      <c r="L74" s="158"/>
    </row>
    <row r="75" spans="1:12" ht="26.4" x14ac:dyDescent="0.25">
      <c r="A75" s="156" t="str">
        <f>'Orçamento Sintético'!A57</f>
        <v xml:space="preserve"> 1.12.0.1. </v>
      </c>
      <c r="B75" s="157" t="str">
        <f>'Orçamento Sintético'!D57</f>
        <v>FORRO EM RÉGUAS DE PVC, FRISADO, PARA AMBIENTES RESIDENCIAIS, INCLUSIVE ESTRUTURA UNIDIRECIONAL DE FIXAÇÃO. AF_08/2023_PS</v>
      </c>
      <c r="C75" s="156" t="str">
        <f>'Orçamento Sintético'!E57</f>
        <v>m²</v>
      </c>
      <c r="D75" s="186">
        <f>'Orçamento Sintético'!F57</f>
        <v>61.47</v>
      </c>
      <c r="E75" s="186">
        <f>'Orçamento Sintético'!H57</f>
        <v>72.649999999999991</v>
      </c>
      <c r="F75" s="187">
        <f t="shared" si="3"/>
        <v>4465.8</v>
      </c>
      <c r="G75" s="184">
        <v>0</v>
      </c>
      <c r="H75" s="184">
        <v>0</v>
      </c>
      <c r="I75" s="184">
        <f t="shared" si="4"/>
        <v>0</v>
      </c>
      <c r="J75" s="184">
        <v>0</v>
      </c>
      <c r="K75" s="184">
        <f t="shared" si="5"/>
        <v>0</v>
      </c>
      <c r="L75" s="184">
        <f t="shared" si="6"/>
        <v>0</v>
      </c>
    </row>
    <row r="76" spans="1:12" s="190" customFormat="1" x14ac:dyDescent="0.25">
      <c r="A76" s="153" t="str">
        <f>'Orçamento Sintético'!A58</f>
        <v xml:space="preserve"> 1.13 </v>
      </c>
      <c r="B76" s="154" t="str">
        <f>'Orçamento Sintético'!D58</f>
        <v>PINTURA</v>
      </c>
      <c r="C76" s="153"/>
      <c r="D76" s="188"/>
      <c r="E76" s="188"/>
      <c r="F76" s="189"/>
      <c r="G76" s="158"/>
      <c r="H76" s="158"/>
      <c r="I76" s="158"/>
      <c r="J76" s="158"/>
      <c r="K76" s="158"/>
      <c r="L76" s="158"/>
    </row>
    <row r="77" spans="1:12" s="190" customFormat="1" x14ac:dyDescent="0.25">
      <c r="A77" s="153" t="str">
        <f>'Orçamento Sintético'!A59</f>
        <v xml:space="preserve"> 1.13.1 </v>
      </c>
      <c r="B77" s="154" t="str">
        <f>'Orçamento Sintético'!D59</f>
        <v>PINTURAS INTERNAS</v>
      </c>
      <c r="C77" s="153"/>
      <c r="D77" s="188"/>
      <c r="E77" s="188"/>
      <c r="F77" s="189"/>
      <c r="G77" s="158"/>
      <c r="H77" s="158"/>
      <c r="I77" s="158"/>
      <c r="J77" s="158"/>
      <c r="K77" s="158"/>
      <c r="L77" s="158"/>
    </row>
    <row r="78" spans="1:12" x14ac:dyDescent="0.25">
      <c r="A78" s="156" t="str">
        <f>'Orçamento Sintético'!A60</f>
        <v xml:space="preserve"> 1.13.1.1. </v>
      </c>
      <c r="B78" s="157" t="str">
        <f>'Orçamento Sintético'!D60</f>
        <v>FUNDO SELADOR ACRÍLICO, APLICAÇÃO MANUAL EM PAREDE, UMA DEMÃO. AF_04/2023</v>
      </c>
      <c r="C78" s="156" t="str">
        <f>'Orçamento Sintético'!E60</f>
        <v>m²</v>
      </c>
      <c r="D78" s="186">
        <f>'Orçamento Sintético'!F60</f>
        <v>145.54300000000001</v>
      </c>
      <c r="E78" s="186">
        <f>'Orçamento Sintético'!H60</f>
        <v>5.9250000000000007</v>
      </c>
      <c r="F78" s="187">
        <f t="shared" si="3"/>
        <v>862.34</v>
      </c>
      <c r="G78" s="184">
        <v>0</v>
      </c>
      <c r="H78" s="184">
        <v>0</v>
      </c>
      <c r="I78" s="184">
        <f t="shared" si="4"/>
        <v>0</v>
      </c>
      <c r="J78" s="184">
        <v>0</v>
      </c>
      <c r="K78" s="184">
        <f t="shared" si="5"/>
        <v>0</v>
      </c>
      <c r="L78" s="184">
        <f t="shared" si="6"/>
        <v>0</v>
      </c>
    </row>
    <row r="79" spans="1:12" x14ac:dyDescent="0.25">
      <c r="A79" s="156" t="e">
        <f>'Orçamento Sintético'!#REF!</f>
        <v>#REF!</v>
      </c>
      <c r="B79" s="157" t="e">
        <f>'Orçamento Sintético'!#REF!</f>
        <v>#REF!</v>
      </c>
      <c r="C79" s="156" t="e">
        <f>'Orçamento Sintético'!#REF!</f>
        <v>#REF!</v>
      </c>
      <c r="D79" s="186" t="e">
        <f>'Orçamento Sintético'!#REF!</f>
        <v>#REF!</v>
      </c>
      <c r="E79" s="186" t="e">
        <f>'Orçamento Sintético'!#REF!</f>
        <v>#REF!</v>
      </c>
      <c r="F79" s="187" t="e">
        <f t="shared" si="3"/>
        <v>#REF!</v>
      </c>
      <c r="G79" s="184">
        <v>0</v>
      </c>
      <c r="H79" s="184">
        <v>0</v>
      </c>
      <c r="I79" s="184">
        <f t="shared" si="4"/>
        <v>0</v>
      </c>
      <c r="J79" s="184">
        <v>0</v>
      </c>
      <c r="K79" s="184" t="e">
        <f t="shared" si="5"/>
        <v>#REF!</v>
      </c>
      <c r="L79" s="184" t="e">
        <f t="shared" si="6"/>
        <v>#REF!</v>
      </c>
    </row>
    <row r="80" spans="1:12" ht="26.4" x14ac:dyDescent="0.25">
      <c r="A80" s="156" t="str">
        <f>'Orçamento Sintético'!A61</f>
        <v xml:space="preserve"> 1.13.1.3. </v>
      </c>
      <c r="B80" s="157" t="str">
        <f>'Orçamento Sintético'!D61</f>
        <v>PINTURA LÁTEX ACRÍLICA ECONÔMICA, APLICAÇÃO MANUAL EM PAREDES, DUAS DEMÃOS. AF_04/2023</v>
      </c>
      <c r="C80" s="156" t="str">
        <f>'Orçamento Sintético'!E61</f>
        <v>m²</v>
      </c>
      <c r="D80" s="186">
        <f>'Orçamento Sintético'!F61</f>
        <v>145.54300000000001</v>
      </c>
      <c r="E80" s="186">
        <f>'Orçamento Sintético'!H61</f>
        <v>13.799999999999999</v>
      </c>
      <c r="F80" s="187">
        <f t="shared" ref="F80:F143" si="8">ROUND(E80*D80,2)</f>
        <v>2008.49</v>
      </c>
      <c r="G80" s="184">
        <v>0</v>
      </c>
      <c r="H80" s="184">
        <v>0</v>
      </c>
      <c r="I80" s="184">
        <f t="shared" ref="I80:I143" si="9">H80+G80</f>
        <v>0</v>
      </c>
      <c r="J80" s="184">
        <v>0</v>
      </c>
      <c r="K80" s="184">
        <f t="shared" ref="K80:K143" si="10">ROUND(E80*H80,2)-0</f>
        <v>0</v>
      </c>
      <c r="L80" s="184">
        <f t="shared" ref="L80:L143" si="11">K80+J80</f>
        <v>0</v>
      </c>
    </row>
    <row r="81" spans="1:12" x14ac:dyDescent="0.25">
      <c r="A81" s="156" t="e">
        <f>'Orçamento Sintético'!#REF!</f>
        <v>#REF!</v>
      </c>
      <c r="B81" s="157" t="e">
        <f>'Orçamento Sintético'!#REF!</f>
        <v>#REF!</v>
      </c>
      <c r="C81" s="156" t="e">
        <f>'Orçamento Sintético'!#REF!</f>
        <v>#REF!</v>
      </c>
      <c r="D81" s="186" t="e">
        <f>'Orçamento Sintético'!#REF!</f>
        <v>#REF!</v>
      </c>
      <c r="E81" s="186" t="e">
        <f>'Orçamento Sintético'!#REF!</f>
        <v>#REF!</v>
      </c>
      <c r="F81" s="187" t="e">
        <f t="shared" si="8"/>
        <v>#REF!</v>
      </c>
      <c r="G81" s="184">
        <v>0</v>
      </c>
      <c r="H81" s="184">
        <v>0</v>
      </c>
      <c r="I81" s="184">
        <f t="shared" si="9"/>
        <v>0</v>
      </c>
      <c r="J81" s="184">
        <v>0</v>
      </c>
      <c r="K81" s="184" t="e">
        <f t="shared" si="10"/>
        <v>#REF!</v>
      </c>
      <c r="L81" s="184" t="e">
        <f t="shared" si="11"/>
        <v>#REF!</v>
      </c>
    </row>
    <row r="82" spans="1:12" s="190" customFormat="1" x14ac:dyDescent="0.25">
      <c r="A82" s="153" t="str">
        <f>'Orçamento Sintético'!A62</f>
        <v xml:space="preserve"> 1.13.2 </v>
      </c>
      <c r="B82" s="154" t="str">
        <f>'Orçamento Sintético'!D62</f>
        <v>PINTURAS EXTERNAS</v>
      </c>
      <c r="C82" s="153"/>
      <c r="D82" s="188"/>
      <c r="E82" s="188"/>
      <c r="F82" s="189"/>
      <c r="G82" s="158"/>
      <c r="H82" s="158"/>
      <c r="I82" s="158"/>
      <c r="J82" s="158"/>
      <c r="K82" s="158"/>
      <c r="L82" s="158"/>
    </row>
    <row r="83" spans="1:12" ht="26.4" x14ac:dyDescent="0.25">
      <c r="A83" s="156" t="str">
        <f>'Orçamento Sintético'!A63</f>
        <v xml:space="preserve"> 1.13.2.1. </v>
      </c>
      <c r="B83" s="157" t="str">
        <f>'Orçamento Sintético'!D63</f>
        <v>APLICAÇÃO MANUAL DE FUNDO SELADOR ACRÍLICO EM PAREDES EXTERNAS DE CASAS. AF_03/2024</v>
      </c>
      <c r="C83" s="156" t="str">
        <f>'Orçamento Sintético'!E63</f>
        <v>m²</v>
      </c>
      <c r="D83" s="186">
        <f>'Orçamento Sintético'!F63</f>
        <v>112.03900000000002</v>
      </c>
      <c r="E83" s="186">
        <f>'Orçamento Sintético'!H63</f>
        <v>7.0374999999999996</v>
      </c>
      <c r="F83" s="187">
        <f t="shared" si="8"/>
        <v>788.47</v>
      </c>
      <c r="G83" s="184">
        <v>0</v>
      </c>
      <c r="H83" s="184">
        <v>0</v>
      </c>
      <c r="I83" s="184">
        <f t="shared" si="9"/>
        <v>0</v>
      </c>
      <c r="J83" s="184">
        <v>0</v>
      </c>
      <c r="K83" s="184">
        <f t="shared" si="10"/>
        <v>0</v>
      </c>
      <c r="L83" s="184">
        <f t="shared" si="11"/>
        <v>0</v>
      </c>
    </row>
    <row r="84" spans="1:12" ht="26.4" x14ac:dyDescent="0.25">
      <c r="A84" s="156" t="str">
        <f>'Orçamento Sintético'!A64</f>
        <v xml:space="preserve"> 1.13.2.2. </v>
      </c>
      <c r="B84" s="157" t="str">
        <f>'Orçamento Sintético'!D64</f>
        <v>PINTURA LÁTEX ACRÍLICA STANDARD, APLICAÇÃO MANUAL EM PAREDES, DUAS DEMÃOS. AF_04/2023</v>
      </c>
      <c r="C84" s="156" t="str">
        <f>'Orçamento Sintético'!E64</f>
        <v>m²</v>
      </c>
      <c r="D84" s="186">
        <f>'Orçamento Sintético'!F64</f>
        <v>112.03900000000002</v>
      </c>
      <c r="E84" s="186">
        <f>'Orçamento Sintético'!H64</f>
        <v>15.862499999999999</v>
      </c>
      <c r="F84" s="187">
        <f t="shared" si="8"/>
        <v>1777.22</v>
      </c>
      <c r="G84" s="184">
        <v>0</v>
      </c>
      <c r="H84" s="184">
        <v>0</v>
      </c>
      <c r="I84" s="184">
        <f t="shared" si="9"/>
        <v>0</v>
      </c>
      <c r="J84" s="184">
        <v>0</v>
      </c>
      <c r="K84" s="184">
        <f t="shared" si="10"/>
        <v>0</v>
      </c>
      <c r="L84" s="184">
        <f t="shared" si="11"/>
        <v>0</v>
      </c>
    </row>
    <row r="85" spans="1:12" s="190" customFormat="1" x14ac:dyDescent="0.25">
      <c r="A85" s="153" t="str">
        <f>'Orçamento Sintético'!A65</f>
        <v xml:space="preserve"> 1.13.3 </v>
      </c>
      <c r="B85" s="154" t="str">
        <f>'Orçamento Sintético'!D65</f>
        <v>PINTURA ESQUADRIAS</v>
      </c>
      <c r="C85" s="153"/>
      <c r="D85" s="188"/>
      <c r="E85" s="188"/>
      <c r="F85" s="189"/>
      <c r="G85" s="158"/>
      <c r="H85" s="158"/>
      <c r="I85" s="158"/>
      <c r="J85" s="158"/>
      <c r="K85" s="158"/>
      <c r="L85" s="158"/>
    </row>
    <row r="86" spans="1:12" ht="39.6" x14ac:dyDescent="0.25">
      <c r="A86" s="156" t="str">
        <f>'Orçamento Sintético'!A66</f>
        <v xml:space="preserve"> 1.13.3.1. </v>
      </c>
      <c r="B86" s="157" t="str">
        <f>'Orçamento Sintético'!D66</f>
        <v>PINTURA COM TINTA ALQUÍDICA DE FUNDO (TIPO ZARCÃO) PULVERIZADA SOBRE SUPERFÍCIES METÁLICAS (EXCETO PERFIL) EXECUTADO EM OBRA (POR DEMÃO). AF_01/2020_PE</v>
      </c>
      <c r="C86" s="156" t="str">
        <f>'Orçamento Sintético'!E66</f>
        <v>m²</v>
      </c>
      <c r="D86" s="186">
        <f>'Orçamento Sintético'!F66</f>
        <v>16.380000000000003</v>
      </c>
      <c r="E86" s="186">
        <f>'Orçamento Sintético'!H66</f>
        <v>33.6</v>
      </c>
      <c r="F86" s="187">
        <f t="shared" si="8"/>
        <v>550.37</v>
      </c>
      <c r="G86" s="184">
        <v>0</v>
      </c>
      <c r="H86" s="184">
        <v>0</v>
      </c>
      <c r="I86" s="184">
        <f t="shared" si="9"/>
        <v>0</v>
      </c>
      <c r="J86" s="184">
        <v>0</v>
      </c>
      <c r="K86" s="184">
        <f t="shared" si="10"/>
        <v>0</v>
      </c>
      <c r="L86" s="184">
        <f t="shared" si="11"/>
        <v>0</v>
      </c>
    </row>
    <row r="87" spans="1:12" x14ac:dyDescent="0.25">
      <c r="A87" s="156" t="e">
        <f>'Orçamento Sintético'!#REF!</f>
        <v>#REF!</v>
      </c>
      <c r="B87" s="157" t="e">
        <f>'Orçamento Sintético'!#REF!</f>
        <v>#REF!</v>
      </c>
      <c r="C87" s="156" t="e">
        <f>'Orçamento Sintético'!#REF!</f>
        <v>#REF!</v>
      </c>
      <c r="D87" s="186" t="e">
        <f>'Orçamento Sintético'!#REF!</f>
        <v>#REF!</v>
      </c>
      <c r="E87" s="186" t="e">
        <f>'Orçamento Sintético'!#REF!</f>
        <v>#REF!</v>
      </c>
      <c r="F87" s="187" t="e">
        <f t="shared" si="8"/>
        <v>#REF!</v>
      </c>
      <c r="G87" s="184">
        <v>0</v>
      </c>
      <c r="H87" s="184">
        <v>0</v>
      </c>
      <c r="I87" s="184">
        <f t="shared" si="9"/>
        <v>0</v>
      </c>
      <c r="J87" s="184">
        <v>0</v>
      </c>
      <c r="K87" s="184" t="e">
        <f t="shared" si="10"/>
        <v>#REF!</v>
      </c>
      <c r="L87" s="184" t="e">
        <f t="shared" si="11"/>
        <v>#REF!</v>
      </c>
    </row>
    <row r="88" spans="1:12" s="190" customFormat="1" x14ac:dyDescent="0.25">
      <c r="A88" s="153" t="str">
        <f>'Orçamento Sintético'!A67</f>
        <v xml:space="preserve"> 1.14 </v>
      </c>
      <c r="B88" s="154" t="str">
        <f>'Orçamento Sintético'!D67</f>
        <v>PISO</v>
      </c>
      <c r="C88" s="153"/>
      <c r="D88" s="188"/>
      <c r="E88" s="188"/>
      <c r="F88" s="189"/>
      <c r="G88" s="158"/>
      <c r="H88" s="158"/>
      <c r="I88" s="158"/>
      <c r="J88" s="158"/>
      <c r="K88" s="158"/>
      <c r="L88" s="158"/>
    </row>
    <row r="89" spans="1:12" ht="26.4" x14ac:dyDescent="0.25">
      <c r="A89" s="156" t="str">
        <f>'Orçamento Sintético'!A68</f>
        <v xml:space="preserve"> 1.14.0.1. </v>
      </c>
      <c r="B89" s="157" t="str">
        <f>'Orçamento Sintético'!D68</f>
        <v>COMPACTAÇÃO MECÂNICA DE SOLO PARA EXECUÇÃO DE RADIER, PISO DE CONCRETO OU LAJE SOBRE SOLO, COM COMPACTADOR DE SOLOS TIPO PLACA VIBRATÓRIA. AF_09/2021</v>
      </c>
      <c r="C89" s="156" t="str">
        <f>'Orçamento Sintético'!E68</f>
        <v>m²</v>
      </c>
      <c r="D89" s="186">
        <f>'Orçamento Sintético'!F68</f>
        <v>69.67</v>
      </c>
      <c r="E89" s="186">
        <f>'Orçamento Sintético'!H68</f>
        <v>0.9375</v>
      </c>
      <c r="F89" s="187">
        <f t="shared" si="8"/>
        <v>65.319999999999993</v>
      </c>
      <c r="G89" s="184">
        <v>0</v>
      </c>
      <c r="H89" s="184">
        <v>0</v>
      </c>
      <c r="I89" s="184">
        <f t="shared" si="9"/>
        <v>0</v>
      </c>
      <c r="J89" s="184">
        <v>0</v>
      </c>
      <c r="K89" s="184">
        <f t="shared" si="10"/>
        <v>0</v>
      </c>
      <c r="L89" s="184">
        <f t="shared" si="11"/>
        <v>0</v>
      </c>
    </row>
    <row r="90" spans="1:12" ht="26.4" x14ac:dyDescent="0.25">
      <c r="A90" s="156" t="str">
        <f>'Orçamento Sintético'!A69</f>
        <v xml:space="preserve"> 1.14.0.2. </v>
      </c>
      <c r="B90" s="157" t="str">
        <f>'Orçamento Sintético'!D69</f>
        <v>CAMADA SEPARADORA PARA EXECUÇÃO DE RADIER, PISO DE CONCRETO OU LAJE SOBRE SOLO, EM LONA PLÁSTICA. AF_09/2021</v>
      </c>
      <c r="C90" s="156" t="str">
        <f>'Orçamento Sintético'!E69</f>
        <v>m²</v>
      </c>
      <c r="D90" s="186">
        <f>'Orçamento Sintético'!F69</f>
        <v>61.47</v>
      </c>
      <c r="E90" s="186">
        <f>'Orçamento Sintético'!H69</f>
        <v>3.5125000000000002</v>
      </c>
      <c r="F90" s="187">
        <f t="shared" si="8"/>
        <v>215.91</v>
      </c>
      <c r="G90" s="184">
        <v>0</v>
      </c>
      <c r="H90" s="184">
        <v>0</v>
      </c>
      <c r="I90" s="184">
        <f t="shared" si="9"/>
        <v>0</v>
      </c>
      <c r="J90" s="184">
        <v>0</v>
      </c>
      <c r="K90" s="184">
        <f t="shared" si="10"/>
        <v>0</v>
      </c>
      <c r="L90" s="184">
        <f t="shared" si="11"/>
        <v>0</v>
      </c>
    </row>
    <row r="91" spans="1:12" ht="26.4" x14ac:dyDescent="0.25">
      <c r="A91" s="156" t="str">
        <f>'Orçamento Sintético'!A70</f>
        <v xml:space="preserve"> 1.14.0.3. </v>
      </c>
      <c r="B91" s="157" t="str">
        <f>'Orçamento Sintético'!D70</f>
        <v>LASTRO DE CONCRETO MAGRO, APLICADO EM PISOS, LAJES SOBRE SOLO OU RADIERS, ESPESSURA DE 5 CM. AF_01/2024</v>
      </c>
      <c r="C91" s="156" t="str">
        <f>'Orçamento Sintético'!E70</f>
        <v>m²</v>
      </c>
      <c r="D91" s="186">
        <f>'Orçamento Sintético'!F70</f>
        <v>61.47</v>
      </c>
      <c r="E91" s="186">
        <f>'Orçamento Sintético'!H70</f>
        <v>56.050000000000004</v>
      </c>
      <c r="F91" s="187">
        <f t="shared" si="8"/>
        <v>3445.39</v>
      </c>
      <c r="G91" s="184">
        <v>0</v>
      </c>
      <c r="H91" s="184">
        <v>0</v>
      </c>
      <c r="I91" s="184">
        <f t="shared" si="9"/>
        <v>0</v>
      </c>
      <c r="J91" s="184">
        <v>0</v>
      </c>
      <c r="K91" s="184">
        <f t="shared" si="10"/>
        <v>0</v>
      </c>
      <c r="L91" s="184">
        <f t="shared" si="11"/>
        <v>0</v>
      </c>
    </row>
    <row r="92" spans="1:12" x14ac:dyDescent="0.25">
      <c r="A92" s="156" t="e">
        <f>'Orçamento Sintético'!#REF!</f>
        <v>#REF!</v>
      </c>
      <c r="B92" s="157" t="e">
        <f>'Orçamento Sintético'!#REF!</f>
        <v>#REF!</v>
      </c>
      <c r="C92" s="156" t="e">
        <f>'Orçamento Sintético'!#REF!</f>
        <v>#REF!</v>
      </c>
      <c r="D92" s="186" t="e">
        <f>'Orçamento Sintético'!#REF!</f>
        <v>#REF!</v>
      </c>
      <c r="E92" s="186" t="e">
        <f>'Orçamento Sintético'!#REF!</f>
        <v>#REF!</v>
      </c>
      <c r="F92" s="187" t="e">
        <f t="shared" si="8"/>
        <v>#REF!</v>
      </c>
      <c r="G92" s="184">
        <v>0</v>
      </c>
      <c r="H92" s="184">
        <v>0</v>
      </c>
      <c r="I92" s="184">
        <f t="shared" si="9"/>
        <v>0</v>
      </c>
      <c r="J92" s="184">
        <v>0</v>
      </c>
      <c r="K92" s="184" t="e">
        <f t="shared" si="10"/>
        <v>#REF!</v>
      </c>
      <c r="L92" s="184" t="e">
        <f t="shared" si="11"/>
        <v>#REF!</v>
      </c>
    </row>
    <row r="93" spans="1:12" x14ac:dyDescent="0.25">
      <c r="A93" s="156" t="e">
        <f>'Orçamento Sintético'!#REF!</f>
        <v>#REF!</v>
      </c>
      <c r="B93" s="157" t="e">
        <f>'Orçamento Sintético'!#REF!</f>
        <v>#REF!</v>
      </c>
      <c r="C93" s="156" t="e">
        <f>'Orçamento Sintético'!#REF!</f>
        <v>#REF!</v>
      </c>
      <c r="D93" s="186" t="e">
        <f>'Orçamento Sintético'!#REF!</f>
        <v>#REF!</v>
      </c>
      <c r="E93" s="186" t="e">
        <f>'Orçamento Sintético'!#REF!</f>
        <v>#REF!</v>
      </c>
      <c r="F93" s="187" t="e">
        <f t="shared" si="8"/>
        <v>#REF!</v>
      </c>
      <c r="G93" s="184">
        <v>0</v>
      </c>
      <c r="H93" s="184">
        <v>0</v>
      </c>
      <c r="I93" s="184">
        <f t="shared" si="9"/>
        <v>0</v>
      </c>
      <c r="J93" s="184">
        <v>0</v>
      </c>
      <c r="K93" s="184" t="e">
        <f t="shared" si="10"/>
        <v>#REF!</v>
      </c>
      <c r="L93" s="184" t="e">
        <f t="shared" si="11"/>
        <v>#REF!</v>
      </c>
    </row>
    <row r="94" spans="1:12" ht="26.4" x14ac:dyDescent="0.25">
      <c r="A94" s="156" t="str">
        <f>'Orçamento Sintético'!A71</f>
        <v xml:space="preserve"> 1.14.0.6. </v>
      </c>
      <c r="B94" s="157" t="str">
        <f>'Orçamento Sintético'!D71</f>
        <v>REVESTIMENTO CERÂMICO PARA PISO COM PLACAS TIPO ESMALTADA DE DIMENSÕES 35X35 CM APLICADA EM AMBIENTES DE ÁREA MAIOR QUE 10 M2. AF_02/2023_PE</v>
      </c>
      <c r="C94" s="156" t="str">
        <f>'Orçamento Sintético'!E71</f>
        <v>m²</v>
      </c>
      <c r="D94" s="186">
        <f>'Orçamento Sintético'!F71</f>
        <v>61.47</v>
      </c>
      <c r="E94" s="186">
        <f>'Orçamento Sintético'!H71</f>
        <v>70.962500000000006</v>
      </c>
      <c r="F94" s="187">
        <f t="shared" si="8"/>
        <v>4362.0600000000004</v>
      </c>
      <c r="G94" s="184">
        <v>0</v>
      </c>
      <c r="H94" s="184">
        <v>0</v>
      </c>
      <c r="I94" s="184">
        <f t="shared" si="9"/>
        <v>0</v>
      </c>
      <c r="J94" s="184">
        <v>0</v>
      </c>
      <c r="K94" s="184">
        <f t="shared" si="10"/>
        <v>0</v>
      </c>
      <c r="L94" s="184">
        <f t="shared" si="11"/>
        <v>0</v>
      </c>
    </row>
    <row r="95" spans="1:12" ht="26.4" x14ac:dyDescent="0.25">
      <c r="A95" s="156" t="str">
        <f>'Orçamento Sintético'!A72</f>
        <v xml:space="preserve"> 1.14.0.7. </v>
      </c>
      <c r="B95" s="157" t="str">
        <f>'Orçamento Sintético'!D72</f>
        <v>EXECUÇÃO DE PASSEIO (CALÇADA) OU PISO DE CONCRETO COM CONCRETO MOLDADO IN LOCO, FEITO EM OBRA, ACABAMENTO CONVENCIONAL, NÃO ARMADO. AF_08/2022</v>
      </c>
      <c r="C95" s="156" t="str">
        <f>'Orçamento Sintético'!E72</f>
        <v>m³</v>
      </c>
      <c r="D95" s="186">
        <f>'Orçamento Sintético'!F72</f>
        <v>1.1958800000000001</v>
      </c>
      <c r="E95" s="186">
        <f>'Orçamento Sintético'!H72</f>
        <v>1197.6875</v>
      </c>
      <c r="F95" s="187">
        <f t="shared" si="8"/>
        <v>1432.29</v>
      </c>
      <c r="G95" s="184">
        <v>0</v>
      </c>
      <c r="H95" s="184">
        <v>0</v>
      </c>
      <c r="I95" s="184">
        <f t="shared" si="9"/>
        <v>0</v>
      </c>
      <c r="J95" s="184">
        <v>0</v>
      </c>
      <c r="K95" s="184">
        <f t="shared" si="10"/>
        <v>0</v>
      </c>
      <c r="L95" s="184">
        <f t="shared" si="11"/>
        <v>0</v>
      </c>
    </row>
    <row r="96" spans="1:12" ht="26.4" x14ac:dyDescent="0.25">
      <c r="A96" s="156" t="str">
        <f>'Orçamento Sintético'!A73</f>
        <v xml:space="preserve"> 1.14.0.8. </v>
      </c>
      <c r="B96" s="157" t="str">
        <f>'Orçamento Sintético'!D73</f>
        <v>RODAPÉ CERÂMICO DE 7CM DE ALTURA COM PLACAS TIPO ESMALTADA DE DIMENSÕES 35X35CM. AF_02/2023</v>
      </c>
      <c r="C96" s="156" t="str">
        <f>'Orçamento Sintético'!E73</f>
        <v>M</v>
      </c>
      <c r="D96" s="186">
        <f>'Orçamento Sintético'!F73</f>
        <v>53.09</v>
      </c>
      <c r="E96" s="186">
        <f>'Orçamento Sintético'!H73</f>
        <v>10.162500000000001</v>
      </c>
      <c r="F96" s="187">
        <f t="shared" si="8"/>
        <v>539.53</v>
      </c>
      <c r="G96" s="184">
        <v>0</v>
      </c>
      <c r="H96" s="184">
        <v>0</v>
      </c>
      <c r="I96" s="184">
        <f t="shared" si="9"/>
        <v>0</v>
      </c>
      <c r="J96" s="184">
        <v>0</v>
      </c>
      <c r="K96" s="184">
        <f t="shared" si="10"/>
        <v>0</v>
      </c>
      <c r="L96" s="184">
        <f t="shared" si="11"/>
        <v>0</v>
      </c>
    </row>
    <row r="97" spans="1:12" s="190" customFormat="1" x14ac:dyDescent="0.25">
      <c r="A97" s="153" t="str">
        <f>'Orçamento Sintético'!A74</f>
        <v xml:space="preserve"> 1.15 </v>
      </c>
      <c r="B97" s="154" t="str">
        <f>'Orçamento Sintético'!D74</f>
        <v>ELÉTRICAS / TELEFÔNICAS</v>
      </c>
      <c r="C97" s="153"/>
      <c r="D97" s="188"/>
      <c r="E97" s="188"/>
      <c r="F97" s="189"/>
      <c r="G97" s="158"/>
      <c r="H97" s="158"/>
      <c r="I97" s="158"/>
      <c r="J97" s="158"/>
      <c r="K97" s="158"/>
      <c r="L97" s="158"/>
    </row>
    <row r="98" spans="1:12" ht="26.4" x14ac:dyDescent="0.25">
      <c r="A98" s="156" t="str">
        <f>'Orçamento Sintético'!A75</f>
        <v xml:space="preserve"> 1.15.0.1. </v>
      </c>
      <c r="B98" s="157" t="str">
        <f>'Orçamento Sintético'!D75</f>
        <v>DISJUNTOR MONOPOLAR TIPO DIN, CORRENTE NOMINAL DE 10A - FORNECIMENTO E INSTALAÇÃO. AF_10/2020</v>
      </c>
      <c r="C98" s="156" t="str">
        <f>'Orçamento Sintético'!E75</f>
        <v>UN</v>
      </c>
      <c r="D98" s="186">
        <f>'Orçamento Sintético'!F75</f>
        <v>2</v>
      </c>
      <c r="E98" s="186">
        <f>'Orçamento Sintético'!H75</f>
        <v>14.950000000000001</v>
      </c>
      <c r="F98" s="187">
        <f t="shared" si="8"/>
        <v>29.9</v>
      </c>
      <c r="G98" s="184">
        <v>0</v>
      </c>
      <c r="H98" s="184">
        <v>0</v>
      </c>
      <c r="I98" s="184">
        <f t="shared" si="9"/>
        <v>0</v>
      </c>
      <c r="J98" s="184">
        <v>0</v>
      </c>
      <c r="K98" s="184">
        <f t="shared" si="10"/>
        <v>0</v>
      </c>
      <c r="L98" s="184">
        <f t="shared" si="11"/>
        <v>0</v>
      </c>
    </row>
    <row r="99" spans="1:12" ht="26.4" x14ac:dyDescent="0.25">
      <c r="A99" s="156" t="str">
        <f>'Orçamento Sintético'!A76</f>
        <v xml:space="preserve"> 1.15.0.2. </v>
      </c>
      <c r="B99" s="157" t="str">
        <f>'Orçamento Sintético'!D76</f>
        <v>DISJUNTOR MONOPOLAR TIPO DIN, CORRENTE NOMINAL DE 16A - FORNECIMENTO E INSTALAÇÃO. AF_10/2020</v>
      </c>
      <c r="C99" s="156" t="str">
        <f>'Orçamento Sintético'!E76</f>
        <v>UN</v>
      </c>
      <c r="D99" s="186">
        <f>'Orçamento Sintético'!F76</f>
        <v>5</v>
      </c>
      <c r="E99" s="186">
        <f>'Orçamento Sintético'!H76</f>
        <v>14.950000000000001</v>
      </c>
      <c r="F99" s="187">
        <f t="shared" si="8"/>
        <v>74.75</v>
      </c>
      <c r="G99" s="184">
        <v>0</v>
      </c>
      <c r="H99" s="184">
        <v>0</v>
      </c>
      <c r="I99" s="184">
        <f t="shared" si="9"/>
        <v>0</v>
      </c>
      <c r="J99" s="184">
        <v>0</v>
      </c>
      <c r="K99" s="184">
        <f t="shared" si="10"/>
        <v>0</v>
      </c>
      <c r="L99" s="184">
        <f t="shared" si="11"/>
        <v>0</v>
      </c>
    </row>
    <row r="100" spans="1:12" ht="26.4" x14ac:dyDescent="0.25">
      <c r="A100" s="156" t="str">
        <f>'Orçamento Sintético'!A77</f>
        <v xml:space="preserve"> 1.15.0.3. </v>
      </c>
      <c r="B100" s="157" t="str">
        <f>'Orçamento Sintético'!D77</f>
        <v>DISJUNTOR MONOPOLAR TIPO DIN, CORRENTE NOMINAL DE 25A - FORNECIMENTO E INSTALAÇÃO. AF_10/2020</v>
      </c>
      <c r="C100" s="156" t="str">
        <f>'Orçamento Sintético'!E77</f>
        <v>UN</v>
      </c>
      <c r="D100" s="186">
        <f>'Orçamento Sintético'!F77</f>
        <v>2</v>
      </c>
      <c r="E100" s="186">
        <f>'Orçamento Sintético'!H77</f>
        <v>17.649999999999999</v>
      </c>
      <c r="F100" s="187">
        <f t="shared" si="8"/>
        <v>35.299999999999997</v>
      </c>
      <c r="G100" s="184">
        <v>0</v>
      </c>
      <c r="H100" s="184">
        <v>0</v>
      </c>
      <c r="I100" s="184">
        <f t="shared" si="9"/>
        <v>0</v>
      </c>
      <c r="J100" s="184">
        <v>0</v>
      </c>
      <c r="K100" s="184">
        <f t="shared" si="10"/>
        <v>0</v>
      </c>
      <c r="L100" s="184">
        <f t="shared" si="11"/>
        <v>0</v>
      </c>
    </row>
    <row r="101" spans="1:12" ht="26.4" x14ac:dyDescent="0.25">
      <c r="A101" s="156" t="str">
        <f>'Orçamento Sintético'!A78</f>
        <v xml:space="preserve"> 1.15.0.4. </v>
      </c>
      <c r="B101" s="157" t="str">
        <f>'Orçamento Sintético'!D78</f>
        <v>DISJUNTOR MONOPOLAR TIPO DIN, CORRENTE NOMINAL DE 50A - FORNECIMENTO E INSTALAÇÃO. AF_10/2020</v>
      </c>
      <c r="C101" s="156" t="str">
        <f>'Orçamento Sintético'!E78</f>
        <v>UN</v>
      </c>
      <c r="D101" s="186">
        <f>'Orçamento Sintético'!F78</f>
        <v>1</v>
      </c>
      <c r="E101" s="186">
        <f>'Orçamento Sintético'!H78</f>
        <v>32.587499999999999</v>
      </c>
      <c r="F101" s="187">
        <f t="shared" si="8"/>
        <v>32.590000000000003</v>
      </c>
      <c r="G101" s="184">
        <v>0</v>
      </c>
      <c r="H101" s="184">
        <v>0</v>
      </c>
      <c r="I101" s="184">
        <f t="shared" si="9"/>
        <v>0</v>
      </c>
      <c r="J101" s="184">
        <v>0</v>
      </c>
      <c r="K101" s="184">
        <f t="shared" si="10"/>
        <v>0</v>
      </c>
      <c r="L101" s="184">
        <f t="shared" si="11"/>
        <v>0</v>
      </c>
    </row>
    <row r="102" spans="1:12" x14ac:dyDescent="0.25">
      <c r="A102" s="156" t="e">
        <f>'Orçamento Sintético'!#REF!</f>
        <v>#REF!</v>
      </c>
      <c r="B102" s="157" t="e">
        <f>'Orçamento Sintético'!#REF!</f>
        <v>#REF!</v>
      </c>
      <c r="C102" s="156" t="e">
        <f>'Orçamento Sintético'!#REF!</f>
        <v>#REF!</v>
      </c>
      <c r="D102" s="186" t="e">
        <f>'Orçamento Sintético'!#REF!</f>
        <v>#REF!</v>
      </c>
      <c r="E102" s="186" t="e">
        <f>'Orçamento Sintético'!#REF!</f>
        <v>#REF!</v>
      </c>
      <c r="F102" s="187" t="e">
        <f t="shared" si="8"/>
        <v>#REF!</v>
      </c>
      <c r="G102" s="184">
        <v>0</v>
      </c>
      <c r="H102" s="184">
        <v>0</v>
      </c>
      <c r="I102" s="184">
        <f t="shared" si="9"/>
        <v>0</v>
      </c>
      <c r="J102" s="184">
        <v>0</v>
      </c>
      <c r="K102" s="184" t="e">
        <f t="shared" si="10"/>
        <v>#REF!</v>
      </c>
      <c r="L102" s="184" t="e">
        <f t="shared" si="11"/>
        <v>#REF!</v>
      </c>
    </row>
    <row r="103" spans="1:12" ht="26.4" x14ac:dyDescent="0.25">
      <c r="A103" s="156" t="str">
        <f>'Orçamento Sintético'!A79</f>
        <v xml:space="preserve"> 1.15.0.6. </v>
      </c>
      <c r="B103" s="157" t="str">
        <f>'Orçamento Sintético'!D79</f>
        <v>QUADRO DE DISTRIBUIÇÃO DE LUZ EM PVC PARA 12 DISJUNTORES - FORNECIMENTO E INSTALAÇÃO. AF_10/2020</v>
      </c>
      <c r="C103" s="156" t="str">
        <f>'Orçamento Sintético'!E79</f>
        <v>UN</v>
      </c>
      <c r="D103" s="186">
        <f>'Orçamento Sintético'!F79</f>
        <v>1</v>
      </c>
      <c r="E103" s="186">
        <f>'Orçamento Sintético'!H79</f>
        <v>126.28749999999999</v>
      </c>
      <c r="F103" s="187">
        <f t="shared" si="8"/>
        <v>126.29</v>
      </c>
      <c r="G103" s="184">
        <v>0</v>
      </c>
      <c r="H103" s="184">
        <v>0</v>
      </c>
      <c r="I103" s="184">
        <f t="shared" si="9"/>
        <v>0</v>
      </c>
      <c r="J103" s="184">
        <v>0</v>
      </c>
      <c r="K103" s="184">
        <f t="shared" si="10"/>
        <v>0</v>
      </c>
      <c r="L103" s="184">
        <f t="shared" si="11"/>
        <v>0</v>
      </c>
    </row>
    <row r="104" spans="1:12" x14ac:dyDescent="0.25">
      <c r="A104" s="156" t="e">
        <f>'Orçamento Sintético'!#REF!</f>
        <v>#REF!</v>
      </c>
      <c r="B104" s="157" t="e">
        <f>'Orçamento Sintético'!#REF!</f>
        <v>#REF!</v>
      </c>
      <c r="C104" s="156" t="e">
        <f>'Orçamento Sintético'!#REF!</f>
        <v>#REF!</v>
      </c>
      <c r="D104" s="186" t="e">
        <f>'Orçamento Sintético'!#REF!</f>
        <v>#REF!</v>
      </c>
      <c r="E104" s="186" t="e">
        <f>'Orçamento Sintético'!#REF!</f>
        <v>#REF!</v>
      </c>
      <c r="F104" s="187" t="e">
        <f t="shared" si="8"/>
        <v>#REF!</v>
      </c>
      <c r="G104" s="184">
        <v>0</v>
      </c>
      <c r="H104" s="184">
        <v>0</v>
      </c>
      <c r="I104" s="184">
        <f t="shared" si="9"/>
        <v>0</v>
      </c>
      <c r="J104" s="184">
        <v>0</v>
      </c>
      <c r="K104" s="184" t="e">
        <f t="shared" si="10"/>
        <v>#REF!</v>
      </c>
      <c r="L104" s="184" t="e">
        <f t="shared" si="11"/>
        <v>#REF!</v>
      </c>
    </row>
    <row r="105" spans="1:12" x14ac:dyDescent="0.25">
      <c r="A105" s="156" t="str">
        <f>'Orçamento Sintético'!A80</f>
        <v xml:space="preserve"> 1.15.0.8. </v>
      </c>
      <c r="B105" s="157" t="str">
        <f>'Orçamento Sintético'!D80</f>
        <v>LÂMPADA COMPACTA DE LED 10 W, BASE E27 - FORNECIMENTO E INSTALAÇÃO. AF_09/2024</v>
      </c>
      <c r="C105" s="156" t="str">
        <f>'Orçamento Sintético'!E80</f>
        <v>UN</v>
      </c>
      <c r="D105" s="186">
        <f>'Orçamento Sintético'!F80</f>
        <v>7</v>
      </c>
      <c r="E105" s="186">
        <f>'Orçamento Sintético'!H80</f>
        <v>18.337499999999999</v>
      </c>
      <c r="F105" s="187">
        <f t="shared" si="8"/>
        <v>128.36000000000001</v>
      </c>
      <c r="G105" s="184">
        <v>0</v>
      </c>
      <c r="H105" s="184">
        <v>0</v>
      </c>
      <c r="I105" s="184">
        <f t="shared" si="9"/>
        <v>0</v>
      </c>
      <c r="J105" s="184">
        <v>0</v>
      </c>
      <c r="K105" s="184">
        <f t="shared" si="10"/>
        <v>0</v>
      </c>
      <c r="L105" s="184">
        <f t="shared" si="11"/>
        <v>0</v>
      </c>
    </row>
    <row r="106" spans="1:12" ht="26.4" x14ac:dyDescent="0.25">
      <c r="A106" s="156" t="str">
        <f>'Orçamento Sintético'!A81</f>
        <v xml:space="preserve"> 1.15.0.9. </v>
      </c>
      <c r="B106" s="157" t="str">
        <f>'Orçamento Sintético'!D81</f>
        <v>INTERRUPTOR SIMPLES (1 MÓDULO), 10A/250V, INCLUINDO SUPORTE E PLACA - FORNECIMENTO E INSTALAÇÃO. AF_03/2023</v>
      </c>
      <c r="C106" s="156" t="str">
        <f>'Orçamento Sintético'!E81</f>
        <v>UN</v>
      </c>
      <c r="D106" s="186">
        <f>'Orçamento Sintético'!F81</f>
        <v>4</v>
      </c>
      <c r="E106" s="186">
        <f>'Orçamento Sintético'!H81</f>
        <v>40.85</v>
      </c>
      <c r="F106" s="187">
        <f t="shared" si="8"/>
        <v>163.4</v>
      </c>
      <c r="G106" s="184">
        <v>0</v>
      </c>
      <c r="H106" s="184">
        <v>0</v>
      </c>
      <c r="I106" s="184">
        <f t="shared" si="9"/>
        <v>0</v>
      </c>
      <c r="J106" s="184">
        <v>0</v>
      </c>
      <c r="K106" s="184">
        <f t="shared" si="10"/>
        <v>0</v>
      </c>
      <c r="L106" s="184">
        <f t="shared" si="11"/>
        <v>0</v>
      </c>
    </row>
    <row r="107" spans="1:12" x14ac:dyDescent="0.25">
      <c r="A107" s="156" t="e">
        <f>'Orçamento Sintético'!#REF!</f>
        <v>#REF!</v>
      </c>
      <c r="B107" s="157" t="e">
        <f>'Orçamento Sintético'!#REF!</f>
        <v>#REF!</v>
      </c>
      <c r="C107" s="156" t="e">
        <f>'Orçamento Sintético'!#REF!</f>
        <v>#REF!</v>
      </c>
      <c r="D107" s="186" t="e">
        <f>'Orçamento Sintético'!#REF!</f>
        <v>#REF!</v>
      </c>
      <c r="E107" s="186" t="e">
        <f>'Orçamento Sintético'!#REF!</f>
        <v>#REF!</v>
      </c>
      <c r="F107" s="187" t="e">
        <f t="shared" si="8"/>
        <v>#REF!</v>
      </c>
      <c r="G107" s="184">
        <v>0</v>
      </c>
      <c r="H107" s="184">
        <v>0</v>
      </c>
      <c r="I107" s="184">
        <f t="shared" si="9"/>
        <v>0</v>
      </c>
      <c r="J107" s="184">
        <v>0</v>
      </c>
      <c r="K107" s="184" t="e">
        <f t="shared" si="10"/>
        <v>#REF!</v>
      </c>
      <c r="L107" s="184" t="e">
        <f t="shared" si="11"/>
        <v>#REF!</v>
      </c>
    </row>
    <row r="108" spans="1:12" ht="26.4" x14ac:dyDescent="0.25">
      <c r="A108" s="156" t="str">
        <f>'Orçamento Sintético'!A82</f>
        <v xml:space="preserve"> 1.15.0.11. </v>
      </c>
      <c r="B108" s="157" t="str">
        <f>'Orçamento Sintético'!D82</f>
        <v>TOMADA BAIXA DE EMBUTIR (1 MÓDULO), 2P+T 10 A, INCLUINDO SUPORTE E PLACA - FORNECIMENTO E INSTALAÇÃO. AF_03/2023</v>
      </c>
      <c r="C108" s="156" t="str">
        <f>'Orçamento Sintético'!E82</f>
        <v>UN</v>
      </c>
      <c r="D108" s="186">
        <f>'Orçamento Sintético'!F82</f>
        <v>4</v>
      </c>
      <c r="E108" s="186">
        <f>'Orçamento Sintético'!H82</f>
        <v>42.712500000000006</v>
      </c>
      <c r="F108" s="187">
        <f t="shared" si="8"/>
        <v>170.85</v>
      </c>
      <c r="G108" s="184">
        <v>0</v>
      </c>
      <c r="H108" s="184">
        <v>0</v>
      </c>
      <c r="I108" s="184">
        <f t="shared" si="9"/>
        <v>0</v>
      </c>
      <c r="J108" s="184">
        <v>0</v>
      </c>
      <c r="K108" s="184">
        <f t="shared" si="10"/>
        <v>0</v>
      </c>
      <c r="L108" s="184">
        <f t="shared" si="11"/>
        <v>0</v>
      </c>
    </row>
    <row r="109" spans="1:12" ht="26.4" x14ac:dyDescent="0.25">
      <c r="A109" s="156" t="str">
        <f>'Orçamento Sintético'!A83</f>
        <v xml:space="preserve"> 1.15.0.12. </v>
      </c>
      <c r="B109" s="157" t="str">
        <f>'Orçamento Sintético'!D83</f>
        <v>TOMADA MÉDIA DE EMBUTIR (1 MÓDULO), 2P+T 10 A, INCLUINDO SUPORTE E PLACA - FORNECIMENTO E INSTALAÇÃO. AF_03/2023</v>
      </c>
      <c r="C109" s="156" t="str">
        <f>'Orçamento Sintético'!E83</f>
        <v>UN</v>
      </c>
      <c r="D109" s="186">
        <f>'Orçamento Sintético'!F83</f>
        <v>4</v>
      </c>
      <c r="E109" s="186">
        <f>'Orçamento Sintético'!H83</f>
        <v>48.512500000000003</v>
      </c>
      <c r="F109" s="187">
        <f t="shared" si="8"/>
        <v>194.05</v>
      </c>
      <c r="G109" s="184">
        <v>0</v>
      </c>
      <c r="H109" s="184">
        <v>0</v>
      </c>
      <c r="I109" s="184">
        <f t="shared" si="9"/>
        <v>0</v>
      </c>
      <c r="J109" s="184">
        <v>0</v>
      </c>
      <c r="K109" s="184">
        <f t="shared" si="10"/>
        <v>0</v>
      </c>
      <c r="L109" s="184">
        <f t="shared" si="11"/>
        <v>0</v>
      </c>
    </row>
    <row r="110" spans="1:12" ht="26.4" x14ac:dyDescent="0.25">
      <c r="A110" s="156" t="str">
        <f>'Orçamento Sintético'!A84</f>
        <v xml:space="preserve"> 1.15.0.13. </v>
      </c>
      <c r="B110" s="157" t="str">
        <f>'Orçamento Sintético'!D84</f>
        <v>TOMADA ALTA DE EMBUTIR (1 MÓDULO), 2P+T 20 A, INCLUINDO SUPORTE E PLACA - FORNECIMENTO E INSTALAÇÃO. AF_03/2023</v>
      </c>
      <c r="C110" s="156" t="str">
        <f>'Orçamento Sintético'!E84</f>
        <v>UN</v>
      </c>
      <c r="D110" s="186">
        <f>'Orçamento Sintético'!F84</f>
        <v>2</v>
      </c>
      <c r="E110" s="186">
        <f>'Orçamento Sintético'!H84</f>
        <v>66.050000000000011</v>
      </c>
      <c r="F110" s="187">
        <f t="shared" si="8"/>
        <v>132.1</v>
      </c>
      <c r="G110" s="184">
        <v>0</v>
      </c>
      <c r="H110" s="184">
        <v>0</v>
      </c>
      <c r="I110" s="184">
        <f t="shared" si="9"/>
        <v>0</v>
      </c>
      <c r="J110" s="184">
        <v>0</v>
      </c>
      <c r="K110" s="184">
        <f t="shared" si="10"/>
        <v>0</v>
      </c>
      <c r="L110" s="184">
        <f t="shared" si="11"/>
        <v>0</v>
      </c>
    </row>
    <row r="111" spans="1:12" x14ac:dyDescent="0.25">
      <c r="A111" s="156" t="e">
        <f>'Orçamento Sintético'!#REF!</f>
        <v>#REF!</v>
      </c>
      <c r="B111" s="157" t="e">
        <f>'Orçamento Sintético'!#REF!</f>
        <v>#REF!</v>
      </c>
      <c r="C111" s="156" t="e">
        <f>'Orçamento Sintético'!#REF!</f>
        <v>#REF!</v>
      </c>
      <c r="D111" s="186" t="e">
        <f>'Orçamento Sintético'!#REF!</f>
        <v>#REF!</v>
      </c>
      <c r="E111" s="186" t="e">
        <f>'Orçamento Sintético'!#REF!</f>
        <v>#REF!</v>
      </c>
      <c r="F111" s="187" t="e">
        <f t="shared" si="8"/>
        <v>#REF!</v>
      </c>
      <c r="G111" s="184">
        <v>0</v>
      </c>
      <c r="H111" s="184">
        <v>0</v>
      </c>
      <c r="I111" s="184">
        <f t="shared" si="9"/>
        <v>0</v>
      </c>
      <c r="J111" s="184">
        <v>0</v>
      </c>
      <c r="K111" s="184" t="e">
        <f t="shared" si="10"/>
        <v>#REF!</v>
      </c>
      <c r="L111" s="184" t="e">
        <f t="shared" si="11"/>
        <v>#REF!</v>
      </c>
    </row>
    <row r="112" spans="1:12" x14ac:dyDescent="0.25">
      <c r="A112" s="156" t="e">
        <f>'Orçamento Sintético'!#REF!</f>
        <v>#REF!</v>
      </c>
      <c r="B112" s="157" t="e">
        <f>'Orçamento Sintético'!#REF!</f>
        <v>#REF!</v>
      </c>
      <c r="C112" s="156" t="e">
        <f>'Orçamento Sintético'!#REF!</f>
        <v>#REF!</v>
      </c>
      <c r="D112" s="186" t="e">
        <f>'Orçamento Sintético'!#REF!</f>
        <v>#REF!</v>
      </c>
      <c r="E112" s="186" t="e">
        <f>'Orçamento Sintético'!#REF!</f>
        <v>#REF!</v>
      </c>
      <c r="F112" s="187" t="e">
        <f t="shared" si="8"/>
        <v>#REF!</v>
      </c>
      <c r="G112" s="184">
        <v>0</v>
      </c>
      <c r="H112" s="184">
        <v>0</v>
      </c>
      <c r="I112" s="184">
        <f t="shared" si="9"/>
        <v>0</v>
      </c>
      <c r="J112" s="184">
        <v>0</v>
      </c>
      <c r="K112" s="184" t="e">
        <f t="shared" si="10"/>
        <v>#REF!</v>
      </c>
      <c r="L112" s="184" t="e">
        <f t="shared" si="11"/>
        <v>#REF!</v>
      </c>
    </row>
    <row r="113" spans="1:12" x14ac:dyDescent="0.25">
      <c r="A113" s="156" t="e">
        <f>'Orçamento Sintético'!#REF!</f>
        <v>#REF!</v>
      </c>
      <c r="B113" s="157" t="e">
        <f>'Orçamento Sintético'!#REF!</f>
        <v>#REF!</v>
      </c>
      <c r="C113" s="156" t="e">
        <f>'Orçamento Sintético'!#REF!</f>
        <v>#REF!</v>
      </c>
      <c r="D113" s="186" t="e">
        <f>'Orçamento Sintético'!#REF!</f>
        <v>#REF!</v>
      </c>
      <c r="E113" s="186" t="e">
        <f>'Orçamento Sintético'!#REF!</f>
        <v>#REF!</v>
      </c>
      <c r="F113" s="187" t="e">
        <f t="shared" si="8"/>
        <v>#REF!</v>
      </c>
      <c r="G113" s="184">
        <v>0</v>
      </c>
      <c r="H113" s="184">
        <v>0</v>
      </c>
      <c r="I113" s="184">
        <f t="shared" si="9"/>
        <v>0</v>
      </c>
      <c r="J113" s="184">
        <v>0</v>
      </c>
      <c r="K113" s="184" t="e">
        <f t="shared" si="10"/>
        <v>#REF!</v>
      </c>
      <c r="L113" s="184" t="e">
        <f t="shared" si="11"/>
        <v>#REF!</v>
      </c>
    </row>
    <row r="114" spans="1:12" ht="26.4" x14ac:dyDescent="0.25">
      <c r="A114" s="156" t="str">
        <f>'Orçamento Sintético'!A85</f>
        <v xml:space="preserve"> 1.15.0.17. </v>
      </c>
      <c r="B114" s="157" t="str">
        <f>'Orçamento Sintético'!D85</f>
        <v>CAIXA RETANGULAR 4" X 2" BAIXA (0,30 M DO PISO), PVC, INSTALADA EM PAREDE - FORNECIMENTO E INSTALAÇÃO. AF_03/2023</v>
      </c>
      <c r="C114" s="156" t="str">
        <f>'Orçamento Sintético'!E85</f>
        <v>UN</v>
      </c>
      <c r="D114" s="186">
        <f>'Orçamento Sintético'!F85</f>
        <v>4</v>
      </c>
      <c r="E114" s="186">
        <f>'Orçamento Sintético'!H85</f>
        <v>16.024999999999999</v>
      </c>
      <c r="F114" s="187">
        <f t="shared" si="8"/>
        <v>64.099999999999994</v>
      </c>
      <c r="G114" s="184">
        <v>0</v>
      </c>
      <c r="H114" s="184">
        <v>0</v>
      </c>
      <c r="I114" s="184">
        <f t="shared" si="9"/>
        <v>0</v>
      </c>
      <c r="J114" s="184">
        <v>0</v>
      </c>
      <c r="K114" s="184">
        <f t="shared" si="10"/>
        <v>0</v>
      </c>
      <c r="L114" s="184">
        <f t="shared" si="11"/>
        <v>0</v>
      </c>
    </row>
    <row r="115" spans="1:12" ht="26.4" x14ac:dyDescent="0.25">
      <c r="A115" s="156" t="str">
        <f>'Orçamento Sintético'!A86</f>
        <v xml:space="preserve"> 1.15.0.18. </v>
      </c>
      <c r="B115" s="157" t="str">
        <f>'Orçamento Sintético'!D86</f>
        <v>CAIXA RETANGULAR 4" X 2" MÉDIA (1,30 M DO PISO), PVC, INSTALADA EM PAREDE - FORNECIMENTO E INSTALAÇÃO. AF_03/2023</v>
      </c>
      <c r="C115" s="156" t="str">
        <f>'Orçamento Sintético'!E86</f>
        <v>UN</v>
      </c>
      <c r="D115" s="186">
        <f>'Orçamento Sintético'!F86</f>
        <v>8</v>
      </c>
      <c r="E115" s="186">
        <f>'Orçamento Sintético'!H86</f>
        <v>25.85</v>
      </c>
      <c r="F115" s="187">
        <f t="shared" si="8"/>
        <v>206.8</v>
      </c>
      <c r="G115" s="184">
        <v>0</v>
      </c>
      <c r="H115" s="184">
        <v>0</v>
      </c>
      <c r="I115" s="184">
        <f t="shared" si="9"/>
        <v>0</v>
      </c>
      <c r="J115" s="184">
        <v>0</v>
      </c>
      <c r="K115" s="184">
        <f t="shared" si="10"/>
        <v>0</v>
      </c>
      <c r="L115" s="184">
        <f t="shared" si="11"/>
        <v>0</v>
      </c>
    </row>
    <row r="116" spans="1:12" ht="26.4" x14ac:dyDescent="0.25">
      <c r="A116" s="156" t="str">
        <f>'Orçamento Sintético'!A87</f>
        <v xml:space="preserve"> 1.15.0.19. </v>
      </c>
      <c r="B116" s="157" t="str">
        <f>'Orçamento Sintético'!D87</f>
        <v>CAIXA RETANGULAR 4" X 2" ALTA (2,00 M DO PISO), PVC, INSTALADA EM PAREDE - FORNECIMENTO E INSTALAÇÃO. AF_03/2023</v>
      </c>
      <c r="C116" s="156" t="str">
        <f>'Orçamento Sintético'!E87</f>
        <v>UN</v>
      </c>
      <c r="D116" s="186">
        <f>'Orçamento Sintético'!F87</f>
        <v>2</v>
      </c>
      <c r="E116" s="186">
        <f>'Orçamento Sintético'!H87</f>
        <v>45.875</v>
      </c>
      <c r="F116" s="187">
        <f t="shared" si="8"/>
        <v>91.75</v>
      </c>
      <c r="G116" s="184">
        <v>0</v>
      </c>
      <c r="H116" s="184">
        <v>0</v>
      </c>
      <c r="I116" s="184">
        <f t="shared" si="9"/>
        <v>0</v>
      </c>
      <c r="J116" s="184">
        <v>0</v>
      </c>
      <c r="K116" s="184">
        <f t="shared" si="10"/>
        <v>0</v>
      </c>
      <c r="L116" s="184">
        <f t="shared" si="11"/>
        <v>0</v>
      </c>
    </row>
    <row r="117" spans="1:12" x14ac:dyDescent="0.25">
      <c r="A117" s="156" t="e">
        <f>'Orçamento Sintético'!#REF!</f>
        <v>#REF!</v>
      </c>
      <c r="B117" s="157" t="e">
        <f>'Orçamento Sintético'!#REF!</f>
        <v>#REF!</v>
      </c>
      <c r="C117" s="156" t="e">
        <f>'Orçamento Sintético'!#REF!</f>
        <v>#REF!</v>
      </c>
      <c r="D117" s="186" t="e">
        <f>'Orçamento Sintético'!#REF!</f>
        <v>#REF!</v>
      </c>
      <c r="E117" s="186" t="e">
        <f>'Orçamento Sintético'!#REF!</f>
        <v>#REF!</v>
      </c>
      <c r="F117" s="187" t="e">
        <f t="shared" si="8"/>
        <v>#REF!</v>
      </c>
      <c r="G117" s="184">
        <v>0</v>
      </c>
      <c r="H117" s="184">
        <v>0</v>
      </c>
      <c r="I117" s="184">
        <f t="shared" si="9"/>
        <v>0</v>
      </c>
      <c r="J117" s="184">
        <v>0</v>
      </c>
      <c r="K117" s="184" t="e">
        <f t="shared" si="10"/>
        <v>#REF!</v>
      </c>
      <c r="L117" s="184" t="e">
        <f t="shared" si="11"/>
        <v>#REF!</v>
      </c>
    </row>
    <row r="118" spans="1:12" ht="26.4" x14ac:dyDescent="0.25">
      <c r="A118" s="156" t="str">
        <f>'Orçamento Sintético'!A88</f>
        <v xml:space="preserve"> 1.15.0.21. </v>
      </c>
      <c r="B118" s="157" t="str">
        <f>'Orçamento Sintético'!D88</f>
        <v>CABO DE COBRE FLEXÍVEL ISOLADO, 1,5 MM², ANTI-CHAMA 450/750 V, PARA CIRCUITOS TERMINAIS - FORNECIMENTO E INSTALAÇÃO. AF_03/2023</v>
      </c>
      <c r="C118" s="156" t="str">
        <f>'Orçamento Sintético'!E88</f>
        <v>M</v>
      </c>
      <c r="D118" s="186">
        <f>'Orçamento Sintético'!F88</f>
        <v>97.9</v>
      </c>
      <c r="E118" s="186">
        <f>'Orçamento Sintético'!H88</f>
        <v>4.625</v>
      </c>
      <c r="F118" s="187">
        <f t="shared" si="8"/>
        <v>452.79</v>
      </c>
      <c r="G118" s="184">
        <v>0</v>
      </c>
      <c r="H118" s="184">
        <v>0</v>
      </c>
      <c r="I118" s="184">
        <f t="shared" si="9"/>
        <v>0</v>
      </c>
      <c r="J118" s="184">
        <v>0</v>
      </c>
      <c r="K118" s="184">
        <f t="shared" si="10"/>
        <v>0</v>
      </c>
      <c r="L118" s="184">
        <f t="shared" si="11"/>
        <v>0</v>
      </c>
    </row>
    <row r="119" spans="1:12" ht="26.4" x14ac:dyDescent="0.25">
      <c r="A119" s="156" t="str">
        <f>'Orçamento Sintético'!A89</f>
        <v xml:space="preserve"> 1.15.0.22. </v>
      </c>
      <c r="B119" s="157" t="str">
        <f>'Orçamento Sintético'!D89</f>
        <v>CABO DE COBRE FLEXÍVEL ISOLADO, 2,5 MM², ANTI-CHAMA 450/750 V, PARA CIRCUITOS TERMINAIS - FORNECIMENTO E INSTALAÇÃO. AF_03/2023</v>
      </c>
      <c r="C119" s="156" t="str">
        <f>'Orçamento Sintético'!E89</f>
        <v>M</v>
      </c>
      <c r="D119" s="186">
        <f>'Orçamento Sintético'!F89</f>
        <v>258.8</v>
      </c>
      <c r="E119" s="186">
        <f>'Orçamento Sintético'!H89</f>
        <v>6.7249999999999996</v>
      </c>
      <c r="F119" s="187">
        <f t="shared" si="8"/>
        <v>1740.43</v>
      </c>
      <c r="G119" s="184">
        <v>0</v>
      </c>
      <c r="H119" s="184">
        <v>0</v>
      </c>
      <c r="I119" s="184">
        <f t="shared" si="9"/>
        <v>0</v>
      </c>
      <c r="J119" s="184">
        <v>0</v>
      </c>
      <c r="K119" s="184">
        <f t="shared" si="10"/>
        <v>0</v>
      </c>
      <c r="L119" s="184">
        <f t="shared" si="11"/>
        <v>0</v>
      </c>
    </row>
    <row r="120" spans="1:12" ht="26.4" x14ac:dyDescent="0.25">
      <c r="A120" s="156" t="str">
        <f>'Orçamento Sintético'!A90</f>
        <v xml:space="preserve"> 1.15.0.23. </v>
      </c>
      <c r="B120" s="157" t="str">
        <f>'Orçamento Sintético'!D90</f>
        <v>CABO DE COBRE FLEXÍVEL ISOLADO, 4 MM², ANTI-CHAMA 450/750 V, PARA CIRCUITOS TERMINAIS - FORNECIMENTO E INSTALAÇÃO. AF_03/2023</v>
      </c>
      <c r="C120" s="156" t="str">
        <f>'Orçamento Sintético'!E90</f>
        <v>M</v>
      </c>
      <c r="D120" s="186">
        <f>'Orçamento Sintético'!F90</f>
        <v>24.8</v>
      </c>
      <c r="E120" s="186">
        <f>'Orçamento Sintético'!H90</f>
        <v>10.4125</v>
      </c>
      <c r="F120" s="187">
        <f t="shared" si="8"/>
        <v>258.23</v>
      </c>
      <c r="G120" s="184">
        <v>0</v>
      </c>
      <c r="H120" s="184">
        <v>0</v>
      </c>
      <c r="I120" s="184">
        <f t="shared" si="9"/>
        <v>0</v>
      </c>
      <c r="J120" s="184">
        <v>0</v>
      </c>
      <c r="K120" s="184">
        <f t="shared" si="10"/>
        <v>0</v>
      </c>
      <c r="L120" s="184">
        <f t="shared" si="11"/>
        <v>0</v>
      </c>
    </row>
    <row r="121" spans="1:12" x14ac:dyDescent="0.25">
      <c r="A121" s="156" t="e">
        <f>'Orçamento Sintético'!#REF!</f>
        <v>#REF!</v>
      </c>
      <c r="B121" s="157" t="e">
        <f>'Orçamento Sintético'!#REF!</f>
        <v>#REF!</v>
      </c>
      <c r="C121" s="156" t="e">
        <f>'Orçamento Sintético'!#REF!</f>
        <v>#REF!</v>
      </c>
      <c r="D121" s="186" t="e">
        <f>'Orçamento Sintético'!#REF!</f>
        <v>#REF!</v>
      </c>
      <c r="E121" s="186" t="e">
        <f>'Orçamento Sintético'!#REF!</f>
        <v>#REF!</v>
      </c>
      <c r="F121" s="187" t="e">
        <f t="shared" si="8"/>
        <v>#REF!</v>
      </c>
      <c r="G121" s="184">
        <v>0</v>
      </c>
      <c r="H121" s="184">
        <v>0</v>
      </c>
      <c r="I121" s="184">
        <f t="shared" si="9"/>
        <v>0</v>
      </c>
      <c r="J121" s="184">
        <v>0</v>
      </c>
      <c r="K121" s="184" t="e">
        <f t="shared" si="10"/>
        <v>#REF!</v>
      </c>
      <c r="L121" s="184" t="e">
        <f t="shared" si="11"/>
        <v>#REF!</v>
      </c>
    </row>
    <row r="122" spans="1:12" ht="26.4" x14ac:dyDescent="0.25">
      <c r="A122" s="156" t="str">
        <f>'Orçamento Sintético'!A91</f>
        <v xml:space="preserve"> 1.15.0.25. </v>
      </c>
      <c r="B122" s="157" t="str">
        <f>'Orçamento Sintético'!D91</f>
        <v>CABO DE COBRE FLEXÍVEL ISOLADO, 10 MM², ANTI-CHAMA 0,6/1,0 KV, PARA DISTRIBUIÇÃO - FORNECIMENTO E INSTALAÇÃO. AF_10/2020</v>
      </c>
      <c r="C122" s="156" t="str">
        <f>'Orçamento Sintético'!E91</f>
        <v>M</v>
      </c>
      <c r="D122" s="186">
        <f>'Orçamento Sintético'!F91</f>
        <v>8.3000000000000007</v>
      </c>
      <c r="E122" s="186">
        <f>'Orçamento Sintético'!H91</f>
        <v>16.175000000000001</v>
      </c>
      <c r="F122" s="187">
        <f t="shared" si="8"/>
        <v>134.25</v>
      </c>
      <c r="G122" s="184">
        <v>0</v>
      </c>
      <c r="H122" s="184">
        <v>0</v>
      </c>
      <c r="I122" s="184">
        <f t="shared" si="9"/>
        <v>0</v>
      </c>
      <c r="J122" s="184">
        <v>0</v>
      </c>
      <c r="K122" s="184">
        <f t="shared" si="10"/>
        <v>0</v>
      </c>
      <c r="L122" s="184">
        <f t="shared" si="11"/>
        <v>0</v>
      </c>
    </row>
    <row r="123" spans="1:12" ht="26.4" x14ac:dyDescent="0.25">
      <c r="A123" s="156" t="str">
        <f>'Orçamento Sintético'!A92</f>
        <v xml:space="preserve"> 1.15.0.26. </v>
      </c>
      <c r="B123" s="157" t="str">
        <f>'Orçamento Sintético'!D92</f>
        <v>ELETRODUTO FLEXÍVEL CORRUGADO, PVC, DN 25 MM (3/4"), PARA CIRCUITOS TERMINAIS, INSTALADO EM FORRO - FORNECIMENTO E INSTALAÇÃO. AF_03/2023</v>
      </c>
      <c r="C123" s="156" t="str">
        <f>'Orçamento Sintético'!E92</f>
        <v>M</v>
      </c>
      <c r="D123" s="186">
        <f>'Orçamento Sintético'!F92</f>
        <v>44.7</v>
      </c>
      <c r="E123" s="186">
        <f>'Orçamento Sintético'!H92</f>
        <v>24.4</v>
      </c>
      <c r="F123" s="187">
        <f t="shared" si="8"/>
        <v>1090.68</v>
      </c>
      <c r="G123" s="184">
        <v>0</v>
      </c>
      <c r="H123" s="184">
        <v>0</v>
      </c>
      <c r="I123" s="184">
        <f t="shared" si="9"/>
        <v>0</v>
      </c>
      <c r="J123" s="184">
        <v>0</v>
      </c>
      <c r="K123" s="184">
        <f t="shared" si="10"/>
        <v>0</v>
      </c>
      <c r="L123" s="184">
        <f t="shared" si="11"/>
        <v>0</v>
      </c>
    </row>
    <row r="124" spans="1:12" ht="26.4" x14ac:dyDescent="0.25">
      <c r="A124" s="156" t="str">
        <f>'Orçamento Sintético'!A93</f>
        <v xml:space="preserve"> 1.15.0.27. </v>
      </c>
      <c r="B124" s="157" t="str">
        <f>'Orçamento Sintético'!D93</f>
        <v>ELETRODUTO FLEXÍVEL CORRUGADO, PVC, DN 25 MM (3/4"), PARA CIRCUITOS TERMINAIS, INSTALADO EM PAREDE - FORNECIMENTO E INSTALAÇÃO. AF_03/2023</v>
      </c>
      <c r="C124" s="156" t="str">
        <f>'Orçamento Sintético'!E93</f>
        <v>M</v>
      </c>
      <c r="D124" s="186">
        <f>'Orçamento Sintético'!F93</f>
        <v>58.3</v>
      </c>
      <c r="E124" s="186">
        <f>'Orçamento Sintético'!H93</f>
        <v>13.700000000000001</v>
      </c>
      <c r="F124" s="187">
        <f t="shared" si="8"/>
        <v>798.71</v>
      </c>
      <c r="G124" s="184">
        <v>0</v>
      </c>
      <c r="H124" s="184">
        <v>0</v>
      </c>
      <c r="I124" s="184">
        <f t="shared" si="9"/>
        <v>0</v>
      </c>
      <c r="J124" s="184">
        <v>0</v>
      </c>
      <c r="K124" s="184">
        <f t="shared" si="10"/>
        <v>0</v>
      </c>
      <c r="L124" s="184">
        <f t="shared" si="11"/>
        <v>0</v>
      </c>
    </row>
    <row r="125" spans="1:12" x14ac:dyDescent="0.25">
      <c r="A125" s="156" t="e">
        <f>'Orçamento Sintético'!#REF!</f>
        <v>#REF!</v>
      </c>
      <c r="B125" s="157" t="e">
        <f>'Orçamento Sintético'!#REF!</f>
        <v>#REF!</v>
      </c>
      <c r="C125" s="156" t="e">
        <f>'Orçamento Sintético'!#REF!</f>
        <v>#REF!</v>
      </c>
      <c r="D125" s="186" t="e">
        <f>'Orçamento Sintético'!#REF!</f>
        <v>#REF!</v>
      </c>
      <c r="E125" s="186" t="e">
        <f>'Orçamento Sintético'!#REF!</f>
        <v>#REF!</v>
      </c>
      <c r="F125" s="187" t="e">
        <f t="shared" si="8"/>
        <v>#REF!</v>
      </c>
      <c r="G125" s="184">
        <v>0</v>
      </c>
      <c r="H125" s="184">
        <v>0</v>
      </c>
      <c r="I125" s="184">
        <f t="shared" si="9"/>
        <v>0</v>
      </c>
      <c r="J125" s="184">
        <v>0</v>
      </c>
      <c r="K125" s="184" t="e">
        <f t="shared" si="10"/>
        <v>#REF!</v>
      </c>
      <c r="L125" s="184" t="e">
        <f t="shared" si="11"/>
        <v>#REF!</v>
      </c>
    </row>
    <row r="126" spans="1:12" ht="26.4" x14ac:dyDescent="0.25">
      <c r="A126" s="156" t="str">
        <f>'Orçamento Sintético'!A94</f>
        <v xml:space="preserve"> 1.15.0.29. </v>
      </c>
      <c r="B126" s="157" t="str">
        <f>'Orçamento Sintético'!D94</f>
        <v>RASGO LINEAR MANUAL EM ALVENARIA, PARA ELETRODUTOS, DIÂMETROS MENORES OU IGUAIS A 40 MM. AF_09/2023</v>
      </c>
      <c r="C126" s="156" t="str">
        <f>'Orçamento Sintético'!E94</f>
        <v>M</v>
      </c>
      <c r="D126" s="186">
        <f>'Orçamento Sintético'!F94</f>
        <v>58.3</v>
      </c>
      <c r="E126" s="186">
        <f>'Orçamento Sintético'!H94</f>
        <v>12.2875</v>
      </c>
      <c r="F126" s="187">
        <f t="shared" si="8"/>
        <v>716.36</v>
      </c>
      <c r="G126" s="184">
        <v>0</v>
      </c>
      <c r="H126" s="184">
        <v>0</v>
      </c>
      <c r="I126" s="184">
        <f t="shared" si="9"/>
        <v>0</v>
      </c>
      <c r="J126" s="184">
        <v>0</v>
      </c>
      <c r="K126" s="184">
        <f t="shared" si="10"/>
        <v>0</v>
      </c>
      <c r="L126" s="184">
        <f t="shared" si="11"/>
        <v>0</v>
      </c>
    </row>
    <row r="127" spans="1:12" x14ac:dyDescent="0.25">
      <c r="A127" s="156" t="str">
        <f>'Orçamento Sintético'!A95</f>
        <v xml:space="preserve"> 1.16 </v>
      </c>
      <c r="B127" s="157" t="str">
        <f>'Orçamento Sintético'!D95</f>
        <v>HIDRÁULICAS / GÁS / INCÊNCIO</v>
      </c>
      <c r="C127" s="156">
        <f>'Orçamento Sintético'!E95</f>
        <v>0</v>
      </c>
      <c r="D127" s="186">
        <f>'Orçamento Sintético'!F95</f>
        <v>0</v>
      </c>
      <c r="E127" s="186">
        <f>'Orçamento Sintético'!H95</f>
        <v>0</v>
      </c>
      <c r="F127" s="187">
        <f t="shared" si="8"/>
        <v>0</v>
      </c>
      <c r="G127" s="184">
        <v>0</v>
      </c>
      <c r="H127" s="184">
        <v>0</v>
      </c>
      <c r="I127" s="184">
        <f t="shared" si="9"/>
        <v>0</v>
      </c>
      <c r="J127" s="184">
        <v>0</v>
      </c>
      <c r="K127" s="184">
        <f t="shared" si="10"/>
        <v>0</v>
      </c>
      <c r="L127" s="184">
        <f t="shared" si="11"/>
        <v>0</v>
      </c>
    </row>
    <row r="128" spans="1:12" ht="26.4" x14ac:dyDescent="0.25">
      <c r="A128" s="156" t="str">
        <f>'Orçamento Sintético'!A96</f>
        <v xml:space="preserve"> 1.16.0.1. </v>
      </c>
      <c r="B128" s="157" t="str">
        <f>'Orçamento Sintético'!D96</f>
        <v>JOELHO 90 GRAUS COM BUCHA DE LATÃO, PVC, SOLDÁVEL, DN 25MM, X 1/2 INSTALADO EM RAMAL OU SUB-RAMAL DE ÁGUA - FORNECIMENTO E INSTALAÇÃO. AF_06/2022</v>
      </c>
      <c r="C128" s="156" t="str">
        <f>'Orçamento Sintético'!E96</f>
        <v>UN</v>
      </c>
      <c r="D128" s="186">
        <f>'Orçamento Sintético'!F96</f>
        <v>7</v>
      </c>
      <c r="E128" s="186">
        <f>'Orçamento Sintético'!H96</f>
        <v>18.075000000000003</v>
      </c>
      <c r="F128" s="187">
        <f t="shared" si="8"/>
        <v>126.53</v>
      </c>
      <c r="G128" s="184">
        <v>0</v>
      </c>
      <c r="H128" s="184">
        <v>0</v>
      </c>
      <c r="I128" s="184">
        <f t="shared" si="9"/>
        <v>0</v>
      </c>
      <c r="J128" s="184">
        <v>0</v>
      </c>
      <c r="K128" s="184">
        <f t="shared" si="10"/>
        <v>0</v>
      </c>
      <c r="L128" s="184">
        <f t="shared" si="11"/>
        <v>0</v>
      </c>
    </row>
    <row r="129" spans="1:12" ht="26.4" x14ac:dyDescent="0.25">
      <c r="A129" s="156" t="str">
        <f>'Orçamento Sintético'!A97</f>
        <v xml:space="preserve"> 1.16.0.2. </v>
      </c>
      <c r="B129" s="157" t="str">
        <f>'Orçamento Sintético'!D97</f>
        <v>JOELHO 90 GRAUS, PVC, SOLDÁVEL, DN 25MM, INSTALADO EM RAMAL DE DISTRIBUIÇÃO DE ÁGUA - FORNECIMENTO E INSTALAÇÃO. AF_06/2022</v>
      </c>
      <c r="C129" s="156" t="str">
        <f>'Orçamento Sintético'!E97</f>
        <v>UN</v>
      </c>
      <c r="D129" s="186">
        <f>'Orçamento Sintético'!F97</f>
        <v>8</v>
      </c>
      <c r="E129" s="186">
        <f>'Orçamento Sintético'!H97</f>
        <v>12.237499999999999</v>
      </c>
      <c r="F129" s="187">
        <f t="shared" si="8"/>
        <v>97.9</v>
      </c>
      <c r="G129" s="184">
        <v>0</v>
      </c>
      <c r="H129" s="184">
        <v>0</v>
      </c>
      <c r="I129" s="184">
        <f t="shared" si="9"/>
        <v>0</v>
      </c>
      <c r="J129" s="184">
        <v>0</v>
      </c>
      <c r="K129" s="184">
        <f t="shared" si="10"/>
        <v>0</v>
      </c>
      <c r="L129" s="184">
        <f t="shared" si="11"/>
        <v>0</v>
      </c>
    </row>
    <row r="130" spans="1:12" ht="26.4" x14ac:dyDescent="0.25">
      <c r="A130" s="156" t="str">
        <f>'Orçamento Sintético'!A98</f>
        <v xml:space="preserve"> 1.16.0.3. </v>
      </c>
      <c r="B130" s="157" t="str">
        <f>'Orçamento Sintético'!D98</f>
        <v>TE, PVC, SOLDÁVEL, DN 25MM, INSTALADO EM RAMAL OU SUB-RAMAL DE ÁGUA - FORNECIMENTO E INSTALAÇÃO. AF_06/2022</v>
      </c>
      <c r="C130" s="156" t="str">
        <f>'Orçamento Sintético'!E98</f>
        <v>UN</v>
      </c>
      <c r="D130" s="186">
        <f>'Orçamento Sintético'!F98</f>
        <v>3</v>
      </c>
      <c r="E130" s="186">
        <f>'Orçamento Sintético'!H98</f>
        <v>18.425000000000001</v>
      </c>
      <c r="F130" s="187">
        <f t="shared" si="8"/>
        <v>55.28</v>
      </c>
      <c r="G130" s="184">
        <v>0</v>
      </c>
      <c r="H130" s="184">
        <v>0</v>
      </c>
      <c r="I130" s="184">
        <f t="shared" si="9"/>
        <v>0</v>
      </c>
      <c r="J130" s="184">
        <v>0</v>
      </c>
      <c r="K130" s="184">
        <f t="shared" si="10"/>
        <v>0</v>
      </c>
      <c r="L130" s="184">
        <f t="shared" si="11"/>
        <v>0</v>
      </c>
    </row>
    <row r="131" spans="1:12" ht="27.45" customHeight="1" x14ac:dyDescent="0.25">
      <c r="A131" s="156" t="str">
        <f>'Orçamento Sintético'!A99</f>
        <v xml:space="preserve"> 1.16.0.4. </v>
      </c>
      <c r="B131" s="157" t="str">
        <f>'Orçamento Sintético'!D99</f>
        <v>ADAPTADOR CURTO COM BOLSA E ROSCA PARA REGISTRO, PVC, SOLDÁVEL, DN 25MM X 3/4, INSTALADO EM RAMAL OU SUB-RAMAL DE ÁGUA - FORNECIMENTO E INSTALAÇÃO. AF_06/2022</v>
      </c>
      <c r="C131" s="156" t="str">
        <f>'Orçamento Sintético'!E99</f>
        <v>UN</v>
      </c>
      <c r="D131" s="186">
        <f>'Orçamento Sintético'!F99</f>
        <v>8</v>
      </c>
      <c r="E131" s="186">
        <f>'Orçamento Sintético'!H99</f>
        <v>9.25</v>
      </c>
      <c r="F131" s="187">
        <f t="shared" si="8"/>
        <v>74</v>
      </c>
      <c r="G131" s="184">
        <v>0</v>
      </c>
      <c r="H131" s="184">
        <v>0</v>
      </c>
      <c r="I131" s="184">
        <f t="shared" si="9"/>
        <v>0</v>
      </c>
      <c r="J131" s="184">
        <v>0</v>
      </c>
      <c r="K131" s="184">
        <f t="shared" si="10"/>
        <v>0</v>
      </c>
      <c r="L131" s="184">
        <f t="shared" si="11"/>
        <v>0</v>
      </c>
    </row>
    <row r="132" spans="1:12" ht="26.4" x14ac:dyDescent="0.25">
      <c r="A132" s="156" t="str">
        <f>'Orçamento Sintético'!A100</f>
        <v xml:space="preserve"> 1.16.0.5. </v>
      </c>
      <c r="B132" s="157" t="str">
        <f>'Orçamento Sintético'!D100</f>
        <v>FORNECIMENTO E INSTALAÇÃO DE PRESSURIZADOR ACOPLADO AO CHUVEIRO (TENSÃO: 127V - PRESSÃO MINIMA: 0,7MCA / PRESSÃO MÁXIMA: 2,5MCA - ENTRADA 1/2" / SAÍDA 1/2")</v>
      </c>
      <c r="C132" s="156" t="str">
        <f>'Orçamento Sintético'!E100</f>
        <v>UN</v>
      </c>
      <c r="D132" s="186">
        <f>'Orçamento Sintético'!F100</f>
        <v>1</v>
      </c>
      <c r="E132" s="186">
        <f>'Orçamento Sintético'!H100</f>
        <v>364.98750000000001</v>
      </c>
      <c r="F132" s="187">
        <f t="shared" si="8"/>
        <v>364.99</v>
      </c>
      <c r="G132" s="184">
        <v>0</v>
      </c>
      <c r="H132" s="184">
        <v>0</v>
      </c>
      <c r="I132" s="184">
        <f t="shared" si="9"/>
        <v>0</v>
      </c>
      <c r="J132" s="184">
        <v>0</v>
      </c>
      <c r="K132" s="184">
        <f t="shared" si="10"/>
        <v>0</v>
      </c>
      <c r="L132" s="184">
        <f t="shared" si="11"/>
        <v>0</v>
      </c>
    </row>
    <row r="133" spans="1:12" x14ac:dyDescent="0.25">
      <c r="A133" s="156" t="e">
        <f>'Orçamento Sintético'!#REF!</f>
        <v>#REF!</v>
      </c>
      <c r="B133" s="157" t="e">
        <f>'Orçamento Sintético'!#REF!</f>
        <v>#REF!</v>
      </c>
      <c r="C133" s="156" t="e">
        <f>'Orçamento Sintético'!#REF!</f>
        <v>#REF!</v>
      </c>
      <c r="D133" s="186" t="e">
        <f>'Orçamento Sintético'!#REF!</f>
        <v>#REF!</v>
      </c>
      <c r="E133" s="186" t="e">
        <f>'Orçamento Sintético'!#REF!</f>
        <v>#REF!</v>
      </c>
      <c r="F133" s="187" t="e">
        <f t="shared" si="8"/>
        <v>#REF!</v>
      </c>
      <c r="G133" s="184">
        <v>0</v>
      </c>
      <c r="H133" s="184">
        <v>0</v>
      </c>
      <c r="I133" s="184">
        <f t="shared" si="9"/>
        <v>0</v>
      </c>
      <c r="J133" s="184">
        <v>0</v>
      </c>
      <c r="K133" s="184" t="e">
        <f t="shared" si="10"/>
        <v>#REF!</v>
      </c>
      <c r="L133" s="184" t="e">
        <f t="shared" si="11"/>
        <v>#REF!</v>
      </c>
    </row>
    <row r="134" spans="1:12" ht="26.4" x14ac:dyDescent="0.25">
      <c r="A134" s="156" t="str">
        <f>'Orçamento Sintético'!A101</f>
        <v xml:space="preserve"> 1.16.0.7. </v>
      </c>
      <c r="B134" s="157" t="str">
        <f>'Orçamento Sintético'!D101</f>
        <v>REGISTRO DE GAVETA BRUTO, LATÃO, ROSCÁVEL, 3/4", COM ACABAMENTO E CANOPLA CROMADOS - FORNECIMENTO E INSTALAÇÃO. AF_08/2021</v>
      </c>
      <c r="C134" s="156" t="str">
        <f>'Orçamento Sintético'!E101</f>
        <v>UN</v>
      </c>
      <c r="D134" s="186">
        <f>'Orçamento Sintético'!F101</f>
        <v>3</v>
      </c>
      <c r="E134" s="186">
        <f>'Orçamento Sintético'!H101</f>
        <v>141.15</v>
      </c>
      <c r="F134" s="187">
        <f t="shared" si="8"/>
        <v>423.45</v>
      </c>
      <c r="G134" s="184">
        <v>0</v>
      </c>
      <c r="H134" s="184">
        <v>0</v>
      </c>
      <c r="I134" s="184">
        <f t="shared" si="9"/>
        <v>0</v>
      </c>
      <c r="J134" s="184">
        <v>0</v>
      </c>
      <c r="K134" s="184">
        <f t="shared" si="10"/>
        <v>0</v>
      </c>
      <c r="L134" s="184">
        <f t="shared" si="11"/>
        <v>0</v>
      </c>
    </row>
    <row r="135" spans="1:12" ht="26.4" x14ac:dyDescent="0.25">
      <c r="A135" s="156" t="str">
        <f>'Orçamento Sintético'!A102</f>
        <v xml:space="preserve"> 1.16.0.8. </v>
      </c>
      <c r="B135" s="157" t="str">
        <f>'Orçamento Sintético'!D102</f>
        <v>REGISTRO DE ESFERA, PVC, SOLDÁVEL, COM VOLANTE, DN 32 MM - FORNECIMENTO E INSTALAÇÃO. AF_08/2021</v>
      </c>
      <c r="C135" s="156" t="str">
        <f>'Orçamento Sintético'!E102</f>
        <v>UN</v>
      </c>
      <c r="D135" s="186">
        <f>'Orçamento Sintético'!F102</f>
        <v>1</v>
      </c>
      <c r="E135" s="186">
        <f>'Orçamento Sintético'!H102</f>
        <v>40.824999999999996</v>
      </c>
      <c r="F135" s="187">
        <f t="shared" si="8"/>
        <v>40.83</v>
      </c>
      <c r="G135" s="184">
        <v>0</v>
      </c>
      <c r="H135" s="184">
        <v>0</v>
      </c>
      <c r="I135" s="184">
        <f t="shared" si="9"/>
        <v>0</v>
      </c>
      <c r="J135" s="184">
        <v>0</v>
      </c>
      <c r="K135" s="184">
        <f t="shared" si="10"/>
        <v>0</v>
      </c>
      <c r="L135" s="184">
        <f t="shared" si="11"/>
        <v>0</v>
      </c>
    </row>
    <row r="136" spans="1:12" ht="26.4" x14ac:dyDescent="0.25">
      <c r="A136" s="156" t="str">
        <f>'Orçamento Sintético'!A103</f>
        <v xml:space="preserve"> 1.16.0.9. </v>
      </c>
      <c r="B136" s="157" t="str">
        <f>'Orçamento Sintético'!D103</f>
        <v>ENGATE FLEXÍVEL EM PLÁSTICO BRANCO, 1/2" X 40CM - FORNECIMENTO E INSTALAÇÃO. AF_01/2020</v>
      </c>
      <c r="C136" s="156" t="str">
        <f>'Orçamento Sintético'!E103</f>
        <v>UN</v>
      </c>
      <c r="D136" s="186">
        <f>'Orçamento Sintético'!F103</f>
        <v>4</v>
      </c>
      <c r="E136" s="186">
        <f>'Orçamento Sintético'!H103</f>
        <v>16.175000000000001</v>
      </c>
      <c r="F136" s="187">
        <f t="shared" si="8"/>
        <v>64.7</v>
      </c>
      <c r="G136" s="184">
        <v>0</v>
      </c>
      <c r="H136" s="184">
        <v>0</v>
      </c>
      <c r="I136" s="184">
        <f t="shared" si="9"/>
        <v>0</v>
      </c>
      <c r="J136" s="184">
        <v>0</v>
      </c>
      <c r="K136" s="184">
        <f t="shared" si="10"/>
        <v>0</v>
      </c>
      <c r="L136" s="184">
        <f t="shared" si="11"/>
        <v>0</v>
      </c>
    </row>
    <row r="137" spans="1:12" x14ac:dyDescent="0.25">
      <c r="A137" s="156" t="e">
        <f>'Orçamento Sintético'!#REF!</f>
        <v>#REF!</v>
      </c>
      <c r="B137" s="157" t="e">
        <f>'Orçamento Sintético'!#REF!</f>
        <v>#REF!</v>
      </c>
      <c r="C137" s="156" t="e">
        <f>'Orçamento Sintético'!#REF!</f>
        <v>#REF!</v>
      </c>
      <c r="D137" s="186" t="e">
        <f>'Orçamento Sintético'!#REF!</f>
        <v>#REF!</v>
      </c>
      <c r="E137" s="186" t="e">
        <f>'Orçamento Sintético'!#REF!</f>
        <v>#REF!</v>
      </c>
      <c r="F137" s="187" t="e">
        <f t="shared" si="8"/>
        <v>#REF!</v>
      </c>
      <c r="G137" s="184">
        <v>0</v>
      </c>
      <c r="H137" s="184">
        <v>0</v>
      </c>
      <c r="I137" s="184">
        <f t="shared" si="9"/>
        <v>0</v>
      </c>
      <c r="J137" s="184">
        <v>0</v>
      </c>
      <c r="K137" s="184" t="e">
        <f t="shared" si="10"/>
        <v>#REF!</v>
      </c>
      <c r="L137" s="184" t="e">
        <f t="shared" si="11"/>
        <v>#REF!</v>
      </c>
    </row>
    <row r="138" spans="1:12" x14ac:dyDescent="0.25">
      <c r="A138" s="156" t="e">
        <f>'Orçamento Sintético'!#REF!</f>
        <v>#REF!</v>
      </c>
      <c r="B138" s="157" t="e">
        <f>'Orçamento Sintético'!#REF!</f>
        <v>#REF!</v>
      </c>
      <c r="C138" s="156" t="e">
        <f>'Orçamento Sintético'!#REF!</f>
        <v>#REF!</v>
      </c>
      <c r="D138" s="186" t="e">
        <f>'Orçamento Sintético'!#REF!</f>
        <v>#REF!</v>
      </c>
      <c r="E138" s="186" t="e">
        <f>'Orçamento Sintético'!#REF!</f>
        <v>#REF!</v>
      </c>
      <c r="F138" s="187" t="e">
        <f t="shared" si="8"/>
        <v>#REF!</v>
      </c>
      <c r="G138" s="184">
        <v>0</v>
      </c>
      <c r="H138" s="184">
        <v>0</v>
      </c>
      <c r="I138" s="184">
        <f t="shared" si="9"/>
        <v>0</v>
      </c>
      <c r="J138" s="184">
        <v>0</v>
      </c>
      <c r="K138" s="184" t="e">
        <f t="shared" si="10"/>
        <v>#REF!</v>
      </c>
      <c r="L138" s="184" t="e">
        <f t="shared" si="11"/>
        <v>#REF!</v>
      </c>
    </row>
    <row r="139" spans="1:12" x14ac:dyDescent="0.25">
      <c r="A139" s="156" t="e">
        <f>'Orçamento Sintético'!#REF!</f>
        <v>#REF!</v>
      </c>
      <c r="B139" s="157" t="e">
        <f>'Orçamento Sintético'!#REF!</f>
        <v>#REF!</v>
      </c>
      <c r="C139" s="156" t="e">
        <f>'Orçamento Sintético'!#REF!</f>
        <v>#REF!</v>
      </c>
      <c r="D139" s="186" t="e">
        <f>'Orçamento Sintético'!#REF!</f>
        <v>#REF!</v>
      </c>
      <c r="E139" s="186" t="e">
        <f>'Orçamento Sintético'!#REF!</f>
        <v>#REF!</v>
      </c>
      <c r="F139" s="187" t="e">
        <f t="shared" si="8"/>
        <v>#REF!</v>
      </c>
      <c r="G139" s="184">
        <v>0</v>
      </c>
      <c r="H139" s="184">
        <v>0</v>
      </c>
      <c r="I139" s="184">
        <f t="shared" si="9"/>
        <v>0</v>
      </c>
      <c r="J139" s="184">
        <v>0</v>
      </c>
      <c r="K139" s="184" t="e">
        <f t="shared" si="10"/>
        <v>#REF!</v>
      </c>
      <c r="L139" s="184" t="e">
        <f t="shared" si="11"/>
        <v>#REF!</v>
      </c>
    </row>
    <row r="140" spans="1:12" ht="26.4" x14ac:dyDescent="0.25">
      <c r="A140" s="156" t="str">
        <f>'Orçamento Sintético'!A104</f>
        <v xml:space="preserve"> 1.16.0.13. </v>
      </c>
      <c r="B140" s="157" t="str">
        <f>'Orçamento Sintético'!D104</f>
        <v>TUBO, PVC, SOLDÁVEL, DE 25MM, INSTALADO EM RAMAL DE DISTRIBUIÇÃO DE ÁGUA - FORNECIMENTO E INSTALAÇÃO. AF_06/2022</v>
      </c>
      <c r="C140" s="156" t="str">
        <f>'Orçamento Sintético'!E104</f>
        <v>M</v>
      </c>
      <c r="D140" s="186">
        <f>'Orçamento Sintético'!F104</f>
        <v>10</v>
      </c>
      <c r="E140" s="186">
        <f>'Orçamento Sintético'!H104</f>
        <v>17.574999999999999</v>
      </c>
      <c r="F140" s="187">
        <f t="shared" si="8"/>
        <v>175.75</v>
      </c>
      <c r="G140" s="184">
        <v>0</v>
      </c>
      <c r="H140" s="184">
        <v>0</v>
      </c>
      <c r="I140" s="184">
        <f t="shared" si="9"/>
        <v>0</v>
      </c>
      <c r="J140" s="184">
        <v>0</v>
      </c>
      <c r="K140" s="184">
        <f t="shared" si="10"/>
        <v>0</v>
      </c>
      <c r="L140" s="184">
        <f t="shared" si="11"/>
        <v>0</v>
      </c>
    </row>
    <row r="141" spans="1:12" ht="26.4" x14ac:dyDescent="0.25">
      <c r="A141" s="156" t="str">
        <f>'Orçamento Sintético'!A105</f>
        <v xml:space="preserve"> 1.16.0.14. </v>
      </c>
      <c r="B141" s="157" t="str">
        <f>'Orçamento Sintético'!D105</f>
        <v>TE, PVC, SOLDÁVEL, DN 25MM, INSTALADO EM RAMAL DE DISTRIBUIÇÃO DE ÁGUA - FORNECIMENTO E INSTALAÇÃO. AF_06/2022</v>
      </c>
      <c r="C141" s="156" t="str">
        <f>'Orçamento Sintético'!E105</f>
        <v>UN</v>
      </c>
      <c r="D141" s="186">
        <f>'Orçamento Sintético'!F105</f>
        <v>3</v>
      </c>
      <c r="E141" s="186">
        <f>'Orçamento Sintético'!H105</f>
        <v>16.862500000000001</v>
      </c>
      <c r="F141" s="187">
        <f t="shared" si="8"/>
        <v>50.59</v>
      </c>
      <c r="G141" s="184">
        <v>0</v>
      </c>
      <c r="H141" s="184">
        <v>0</v>
      </c>
      <c r="I141" s="184">
        <f t="shared" si="9"/>
        <v>0</v>
      </c>
      <c r="J141" s="184">
        <v>0</v>
      </c>
      <c r="K141" s="184">
        <f t="shared" si="10"/>
        <v>0</v>
      </c>
      <c r="L141" s="184">
        <f t="shared" si="11"/>
        <v>0</v>
      </c>
    </row>
    <row r="142" spans="1:12" x14ac:dyDescent="0.25">
      <c r="A142" s="156" t="e">
        <f>'Orçamento Sintético'!#REF!</f>
        <v>#REF!</v>
      </c>
      <c r="B142" s="157" t="e">
        <f>'Orçamento Sintético'!#REF!</f>
        <v>#REF!</v>
      </c>
      <c r="C142" s="156" t="e">
        <f>'Orçamento Sintético'!#REF!</f>
        <v>#REF!</v>
      </c>
      <c r="D142" s="186" t="e">
        <f>'Orçamento Sintético'!#REF!</f>
        <v>#REF!</v>
      </c>
      <c r="E142" s="186" t="e">
        <f>'Orçamento Sintético'!#REF!</f>
        <v>#REF!</v>
      </c>
      <c r="F142" s="187" t="e">
        <f t="shared" si="8"/>
        <v>#REF!</v>
      </c>
      <c r="G142" s="184">
        <v>0</v>
      </c>
      <c r="H142" s="184">
        <v>0</v>
      </c>
      <c r="I142" s="184">
        <f t="shared" si="9"/>
        <v>0</v>
      </c>
      <c r="J142" s="184">
        <v>0</v>
      </c>
      <c r="K142" s="184" t="e">
        <f t="shared" si="10"/>
        <v>#REF!</v>
      </c>
      <c r="L142" s="184" t="e">
        <f t="shared" si="11"/>
        <v>#REF!</v>
      </c>
    </row>
    <row r="143" spans="1:12" ht="15" customHeight="1" x14ac:dyDescent="0.25">
      <c r="A143" s="156" t="e">
        <f>'Orçamento Sintético'!#REF!</f>
        <v>#REF!</v>
      </c>
      <c r="B143" s="157" t="e">
        <f>'Orçamento Sintético'!#REF!</f>
        <v>#REF!</v>
      </c>
      <c r="C143" s="156" t="e">
        <f>'Orçamento Sintético'!#REF!</f>
        <v>#REF!</v>
      </c>
      <c r="D143" s="186" t="e">
        <f>'Orçamento Sintético'!#REF!</f>
        <v>#REF!</v>
      </c>
      <c r="E143" s="186" t="e">
        <f>'Orçamento Sintético'!#REF!</f>
        <v>#REF!</v>
      </c>
      <c r="F143" s="187" t="e">
        <f t="shared" si="8"/>
        <v>#REF!</v>
      </c>
      <c r="G143" s="184">
        <v>0</v>
      </c>
      <c r="H143" s="184">
        <v>0</v>
      </c>
      <c r="I143" s="184">
        <f t="shared" si="9"/>
        <v>0</v>
      </c>
      <c r="J143" s="184">
        <v>0</v>
      </c>
      <c r="K143" s="184" t="e">
        <f t="shared" si="10"/>
        <v>#REF!</v>
      </c>
      <c r="L143" s="184" t="e">
        <f t="shared" si="11"/>
        <v>#REF!</v>
      </c>
    </row>
    <row r="144" spans="1:12" ht="15" customHeight="1" x14ac:dyDescent="0.25">
      <c r="A144" s="156" t="e">
        <f>'Orçamento Sintético'!#REF!</f>
        <v>#REF!</v>
      </c>
      <c r="B144" s="157" t="e">
        <f>'Orçamento Sintético'!#REF!</f>
        <v>#REF!</v>
      </c>
      <c r="C144" s="156" t="e">
        <f>'Orçamento Sintético'!#REF!</f>
        <v>#REF!</v>
      </c>
      <c r="D144" s="186" t="e">
        <f>'Orçamento Sintético'!#REF!</f>
        <v>#REF!</v>
      </c>
      <c r="E144" s="186" t="e">
        <f>'Orçamento Sintético'!#REF!</f>
        <v>#REF!</v>
      </c>
      <c r="F144" s="187" t="e">
        <f t="shared" ref="F144:F191" si="12">ROUND(E144*D144,2)</f>
        <v>#REF!</v>
      </c>
      <c r="G144" s="184">
        <v>0</v>
      </c>
      <c r="H144" s="184">
        <v>0</v>
      </c>
      <c r="I144" s="184">
        <f t="shared" ref="I144:I191" si="13">H144+G144</f>
        <v>0</v>
      </c>
      <c r="J144" s="184">
        <v>0</v>
      </c>
      <c r="K144" s="184" t="e">
        <f t="shared" ref="K144:K191" si="14">ROUND(E144*H144,2)-0</f>
        <v>#REF!</v>
      </c>
      <c r="L144" s="184" t="e">
        <f t="shared" ref="L144:L191" si="15">K144+J144</f>
        <v>#REF!</v>
      </c>
    </row>
    <row r="145" spans="1:12" ht="15" customHeight="1" x14ac:dyDescent="0.25">
      <c r="A145" s="156" t="e">
        <f>'Orçamento Sintético'!#REF!</f>
        <v>#REF!</v>
      </c>
      <c r="B145" s="157" t="e">
        <f>'Orçamento Sintético'!#REF!</f>
        <v>#REF!</v>
      </c>
      <c r="C145" s="156" t="e">
        <f>'Orçamento Sintético'!#REF!</f>
        <v>#REF!</v>
      </c>
      <c r="D145" s="186" t="e">
        <f>'Orçamento Sintético'!#REF!</f>
        <v>#REF!</v>
      </c>
      <c r="E145" s="186" t="e">
        <f>'Orçamento Sintético'!#REF!</f>
        <v>#REF!</v>
      </c>
      <c r="F145" s="187" t="e">
        <f t="shared" si="12"/>
        <v>#REF!</v>
      </c>
      <c r="G145" s="184">
        <v>0</v>
      </c>
      <c r="H145" s="184">
        <v>0</v>
      </c>
      <c r="I145" s="184">
        <f t="shared" si="13"/>
        <v>0</v>
      </c>
      <c r="J145" s="184">
        <v>0</v>
      </c>
      <c r="K145" s="184" t="e">
        <f t="shared" si="14"/>
        <v>#REF!</v>
      </c>
      <c r="L145" s="184" t="e">
        <f t="shared" si="15"/>
        <v>#REF!</v>
      </c>
    </row>
    <row r="146" spans="1:12" ht="28.05" customHeight="1" x14ac:dyDescent="0.25">
      <c r="A146" s="156" t="e">
        <f>'Orçamento Sintético'!#REF!</f>
        <v>#REF!</v>
      </c>
      <c r="B146" s="157" t="e">
        <f>'Orçamento Sintético'!#REF!</f>
        <v>#REF!</v>
      </c>
      <c r="C146" s="156" t="e">
        <f>'Orçamento Sintético'!#REF!</f>
        <v>#REF!</v>
      </c>
      <c r="D146" s="186" t="e">
        <f>'Orçamento Sintético'!#REF!</f>
        <v>#REF!</v>
      </c>
      <c r="E146" s="186" t="e">
        <f>'Orçamento Sintético'!#REF!</f>
        <v>#REF!</v>
      </c>
      <c r="F146" s="187" t="e">
        <f t="shared" si="12"/>
        <v>#REF!</v>
      </c>
      <c r="G146" s="184">
        <v>0</v>
      </c>
      <c r="H146" s="184">
        <v>0</v>
      </c>
      <c r="I146" s="184">
        <f t="shared" si="13"/>
        <v>0</v>
      </c>
      <c r="J146" s="184">
        <v>0</v>
      </c>
      <c r="K146" s="184" t="e">
        <f t="shared" si="14"/>
        <v>#REF!</v>
      </c>
      <c r="L146" s="184" t="e">
        <f t="shared" si="15"/>
        <v>#REF!</v>
      </c>
    </row>
    <row r="147" spans="1:12" ht="28.05" customHeight="1" x14ac:dyDescent="0.25">
      <c r="A147" s="156" t="e">
        <f>'Orçamento Sintético'!#REF!</f>
        <v>#REF!</v>
      </c>
      <c r="B147" s="157" t="e">
        <f>'Orçamento Sintético'!#REF!</f>
        <v>#REF!</v>
      </c>
      <c r="C147" s="156" t="e">
        <f>'Orçamento Sintético'!#REF!</f>
        <v>#REF!</v>
      </c>
      <c r="D147" s="186" t="e">
        <f>'Orçamento Sintético'!#REF!</f>
        <v>#REF!</v>
      </c>
      <c r="E147" s="186" t="e">
        <f>'Orçamento Sintético'!#REF!</f>
        <v>#REF!</v>
      </c>
      <c r="F147" s="187" t="e">
        <f t="shared" si="12"/>
        <v>#REF!</v>
      </c>
      <c r="G147" s="184">
        <v>0</v>
      </c>
      <c r="H147" s="184">
        <v>0</v>
      </c>
      <c r="I147" s="184">
        <f t="shared" si="13"/>
        <v>0</v>
      </c>
      <c r="J147" s="184">
        <v>0</v>
      </c>
      <c r="K147" s="184" t="e">
        <f t="shared" si="14"/>
        <v>#REF!</v>
      </c>
      <c r="L147" s="184" t="e">
        <f t="shared" si="15"/>
        <v>#REF!</v>
      </c>
    </row>
    <row r="148" spans="1:12" ht="28.05" customHeight="1" x14ac:dyDescent="0.25">
      <c r="A148" s="156" t="e">
        <f>'Orçamento Sintético'!#REF!</f>
        <v>#REF!</v>
      </c>
      <c r="B148" s="157" t="e">
        <f>'Orçamento Sintético'!#REF!</f>
        <v>#REF!</v>
      </c>
      <c r="C148" s="156" t="e">
        <f>'Orçamento Sintético'!#REF!</f>
        <v>#REF!</v>
      </c>
      <c r="D148" s="186" t="e">
        <f>'Orçamento Sintético'!#REF!</f>
        <v>#REF!</v>
      </c>
      <c r="E148" s="186" t="e">
        <f>'Orçamento Sintético'!#REF!</f>
        <v>#REF!</v>
      </c>
      <c r="F148" s="187" t="e">
        <f t="shared" si="12"/>
        <v>#REF!</v>
      </c>
      <c r="G148" s="184">
        <v>0</v>
      </c>
      <c r="H148" s="184">
        <v>0</v>
      </c>
      <c r="I148" s="184">
        <f t="shared" si="13"/>
        <v>0</v>
      </c>
      <c r="J148" s="184">
        <v>0</v>
      </c>
      <c r="K148" s="184" t="e">
        <f t="shared" si="14"/>
        <v>#REF!</v>
      </c>
      <c r="L148" s="184" t="e">
        <f t="shared" si="15"/>
        <v>#REF!</v>
      </c>
    </row>
    <row r="149" spans="1:12" ht="28.05" customHeight="1" x14ac:dyDescent="0.25">
      <c r="A149" s="156" t="e">
        <f>'Orçamento Sintético'!#REF!</f>
        <v>#REF!</v>
      </c>
      <c r="B149" s="157" t="e">
        <f>'Orçamento Sintético'!#REF!</f>
        <v>#REF!</v>
      </c>
      <c r="C149" s="156" t="e">
        <f>'Orçamento Sintético'!#REF!</f>
        <v>#REF!</v>
      </c>
      <c r="D149" s="186" t="e">
        <f>'Orçamento Sintético'!#REF!</f>
        <v>#REF!</v>
      </c>
      <c r="E149" s="186" t="e">
        <f>'Orçamento Sintético'!#REF!</f>
        <v>#REF!</v>
      </c>
      <c r="F149" s="187" t="e">
        <f t="shared" si="12"/>
        <v>#REF!</v>
      </c>
      <c r="G149" s="184">
        <v>0</v>
      </c>
      <c r="H149" s="184">
        <v>0</v>
      </c>
      <c r="I149" s="184">
        <f t="shared" si="13"/>
        <v>0</v>
      </c>
      <c r="J149" s="184">
        <v>0</v>
      </c>
      <c r="K149" s="184" t="e">
        <f t="shared" si="14"/>
        <v>#REF!</v>
      </c>
      <c r="L149" s="184" t="e">
        <f t="shared" si="15"/>
        <v>#REF!</v>
      </c>
    </row>
    <row r="150" spans="1:12" ht="26.4" x14ac:dyDescent="0.25">
      <c r="A150" s="156" t="str">
        <f>'Orçamento Sintético'!A106</f>
        <v xml:space="preserve"> 1.16.0.23. </v>
      </c>
      <c r="B150" s="157" t="str">
        <f>'Orçamento Sintético'!D106</f>
        <v>TÊ COM BUCHA DE LATÃO NA BOLSA CENTRAL, PVC, SOLDÁVEL, DN 25MM X 1/2, INSTALADO EM RAMAL OU SUB-RAMAL DE ÁGUA - FORNECIMENTO E INSTALAÇÃO. AF_06/2022</v>
      </c>
      <c r="C150" s="156" t="str">
        <f>'Orçamento Sintético'!E106</f>
        <v>UN</v>
      </c>
      <c r="D150" s="186">
        <f>'Orçamento Sintético'!F106</f>
        <v>1</v>
      </c>
      <c r="E150" s="186">
        <f>'Orçamento Sintético'!H106</f>
        <v>28.25</v>
      </c>
      <c r="F150" s="187">
        <f t="shared" si="12"/>
        <v>28.25</v>
      </c>
      <c r="G150" s="184">
        <v>0</v>
      </c>
      <c r="H150" s="184">
        <v>0</v>
      </c>
      <c r="I150" s="184">
        <f t="shared" si="13"/>
        <v>0</v>
      </c>
      <c r="J150" s="184">
        <v>0</v>
      </c>
      <c r="K150" s="184">
        <f t="shared" si="14"/>
        <v>0</v>
      </c>
      <c r="L150" s="184">
        <f t="shared" si="15"/>
        <v>0</v>
      </c>
    </row>
    <row r="151" spans="1:12" ht="26.4" x14ac:dyDescent="0.25">
      <c r="A151" s="156" t="str">
        <f>'Orçamento Sintético'!A107</f>
        <v xml:space="preserve"> 1.16.0.24. </v>
      </c>
      <c r="B151" s="157" t="str">
        <f>'Orçamento Sintético'!D107</f>
        <v>JOELHO 90 GRAUS, PVC, SOLDÁVEL, DN 32MM, INSTALADO EM RAMAL DE DISTRIBUIÇÃO DE ÁGUA - FORNECIMENTO E INSTALAÇÃO. AF_06/2022</v>
      </c>
      <c r="C151" s="156" t="str">
        <f>'Orçamento Sintético'!E107</f>
        <v>UN</v>
      </c>
      <c r="D151" s="186">
        <f>'Orçamento Sintético'!F107</f>
        <v>8</v>
      </c>
      <c r="E151" s="186">
        <f>'Orçamento Sintético'!H107</f>
        <v>16.95</v>
      </c>
      <c r="F151" s="187">
        <f t="shared" si="12"/>
        <v>135.6</v>
      </c>
      <c r="G151" s="184">
        <v>0</v>
      </c>
      <c r="H151" s="184">
        <v>0</v>
      </c>
      <c r="I151" s="184">
        <f t="shared" si="13"/>
        <v>0</v>
      </c>
      <c r="J151" s="184">
        <v>0</v>
      </c>
      <c r="K151" s="184">
        <f t="shared" si="14"/>
        <v>0</v>
      </c>
      <c r="L151" s="184">
        <f t="shared" si="15"/>
        <v>0</v>
      </c>
    </row>
    <row r="152" spans="1:12" ht="26.4" x14ac:dyDescent="0.25">
      <c r="A152" s="156" t="str">
        <f>'Orçamento Sintético'!A108</f>
        <v xml:space="preserve"> 1.16.0.25. </v>
      </c>
      <c r="B152" s="157" t="str">
        <f>'Orçamento Sintético'!D108</f>
        <v>JOELHO 45 GRAUS, PVC, SOLDÁVEL, DN 32MM, INSTALADO EM RAMAL DE DISTRIBUIÇÃO DE ÁGUA - FORNECIMENTO E INSTALAÇÃO. AF_06/2022</v>
      </c>
      <c r="C152" s="156" t="str">
        <f>'Orçamento Sintético'!E108</f>
        <v>UN</v>
      </c>
      <c r="D152" s="186">
        <f>'Orçamento Sintético'!F108</f>
        <v>1</v>
      </c>
      <c r="E152" s="186">
        <f>'Orçamento Sintético'!H108</f>
        <v>18.075000000000003</v>
      </c>
      <c r="F152" s="187">
        <f t="shared" si="12"/>
        <v>18.079999999999998</v>
      </c>
      <c r="G152" s="184">
        <v>0</v>
      </c>
      <c r="H152" s="184">
        <v>0</v>
      </c>
      <c r="I152" s="184">
        <f t="shared" si="13"/>
        <v>0</v>
      </c>
      <c r="J152" s="184">
        <v>0</v>
      </c>
      <c r="K152" s="184">
        <f t="shared" si="14"/>
        <v>0</v>
      </c>
      <c r="L152" s="184">
        <f t="shared" si="15"/>
        <v>0</v>
      </c>
    </row>
    <row r="153" spans="1:12" ht="26.4" x14ac:dyDescent="0.25">
      <c r="A153" s="156" t="str">
        <f>'Orçamento Sintético'!A109</f>
        <v xml:space="preserve"> 1.16.0.26. </v>
      </c>
      <c r="B153" s="157" t="str">
        <f>'Orçamento Sintético'!D109</f>
        <v>BUCHA DE REDUÇÃO, CURTA, PVC, SOLDÁVEL, DN 32 X 25 MM, INSTALADO EM RAMAL DE DISTRIBUIÇÃO DE ÁGUA - FORNECIMENTO E INSTALAÇÃO. AF_06/2022</v>
      </c>
      <c r="C153" s="156" t="str">
        <f>'Orçamento Sintético'!E109</f>
        <v>UN</v>
      </c>
      <c r="D153" s="186">
        <f>'Orçamento Sintético'!F109</f>
        <v>3</v>
      </c>
      <c r="E153" s="186">
        <f>'Orçamento Sintético'!H109</f>
        <v>10.125</v>
      </c>
      <c r="F153" s="187">
        <f t="shared" si="12"/>
        <v>30.38</v>
      </c>
      <c r="G153" s="184">
        <v>0</v>
      </c>
      <c r="H153" s="184">
        <v>0</v>
      </c>
      <c r="I153" s="184">
        <f t="shared" si="13"/>
        <v>0</v>
      </c>
      <c r="J153" s="184">
        <v>0</v>
      </c>
      <c r="K153" s="184">
        <f t="shared" si="14"/>
        <v>0</v>
      </c>
      <c r="L153" s="184">
        <f t="shared" si="15"/>
        <v>0</v>
      </c>
    </row>
    <row r="154" spans="1:12" ht="26.4" x14ac:dyDescent="0.25">
      <c r="A154" s="156" t="str">
        <f>'Orçamento Sintético'!A110</f>
        <v xml:space="preserve"> 1.16.0.27. </v>
      </c>
      <c r="B154" s="157" t="str">
        <f>'Orçamento Sintético'!D110</f>
        <v>TE, PVC, SOLDÁVEL, DN 32MM, INSTALADO EM RAMAL DE DISTRIBUIÇÃO DE ÁGUA - FORNECIMENTO E INSTALAÇÃO. AF_06/2022</v>
      </c>
      <c r="C154" s="156" t="str">
        <f>'Orçamento Sintético'!E110</f>
        <v>UN</v>
      </c>
      <c r="D154" s="186">
        <f>'Orçamento Sintético'!F110</f>
        <v>3</v>
      </c>
      <c r="E154" s="186">
        <f>'Orçamento Sintético'!H110</f>
        <v>23.662500000000001</v>
      </c>
      <c r="F154" s="187">
        <f t="shared" si="12"/>
        <v>70.989999999999995</v>
      </c>
      <c r="G154" s="184">
        <v>0</v>
      </c>
      <c r="H154" s="184">
        <v>0</v>
      </c>
      <c r="I154" s="184">
        <f t="shared" si="13"/>
        <v>0</v>
      </c>
      <c r="J154" s="184">
        <v>0</v>
      </c>
      <c r="K154" s="184">
        <f t="shared" si="14"/>
        <v>0</v>
      </c>
      <c r="L154" s="184">
        <f t="shared" si="15"/>
        <v>0</v>
      </c>
    </row>
    <row r="155" spans="1:12" ht="26.4" x14ac:dyDescent="0.25">
      <c r="A155" s="156" t="str">
        <f>'Orçamento Sintético'!A111</f>
        <v xml:space="preserve"> 1.16.0.28. </v>
      </c>
      <c r="B155" s="157" t="str">
        <f>'Orçamento Sintético'!D111</f>
        <v>TÊ DE REDUÇÃO, PVC, SOLDÁVEL, DN 50MM X 25MM, INSTALADO EM RAMAL DE DISTRIBUIÇÃO DE ÁGUA - FORNECIMENTO E INSTALAÇÃO. AF_06/2022</v>
      </c>
      <c r="C155" s="156" t="str">
        <f>'Orçamento Sintético'!E111</f>
        <v>UN</v>
      </c>
      <c r="D155" s="186">
        <f>'Orçamento Sintético'!F111</f>
        <v>1</v>
      </c>
      <c r="E155" s="186">
        <f>'Orçamento Sintético'!H111</f>
        <v>34.462499999999999</v>
      </c>
      <c r="F155" s="187">
        <f t="shared" si="12"/>
        <v>34.46</v>
      </c>
      <c r="G155" s="184">
        <v>0</v>
      </c>
      <c r="H155" s="184">
        <v>0</v>
      </c>
      <c r="I155" s="184">
        <f t="shared" si="13"/>
        <v>0</v>
      </c>
      <c r="J155" s="184">
        <v>0</v>
      </c>
      <c r="K155" s="184">
        <f t="shared" si="14"/>
        <v>0</v>
      </c>
      <c r="L155" s="184">
        <f t="shared" si="15"/>
        <v>0</v>
      </c>
    </row>
    <row r="156" spans="1:12" ht="26.4" x14ac:dyDescent="0.25">
      <c r="A156" s="156" t="str">
        <f>'Orçamento Sintético'!A112</f>
        <v xml:space="preserve"> 1.16.0.29. </v>
      </c>
      <c r="B156" s="157" t="str">
        <f>'Orçamento Sintético'!D112</f>
        <v>TUBO, PVC, SOLDÁVEL, DE 25MM, INSTALADO EM RAMAL DE DISTRIBUIÇÃO DE ÁGUA - FORNECIMENTO E INSTALAÇÃO. AF_06/2022</v>
      </c>
      <c r="C156" s="156" t="str">
        <f>'Orçamento Sintético'!E112</f>
        <v>M</v>
      </c>
      <c r="D156" s="186">
        <f>'Orçamento Sintético'!F112</f>
        <v>10.9</v>
      </c>
      <c r="E156" s="186">
        <f>'Orçamento Sintético'!H112</f>
        <v>17.574999999999999</v>
      </c>
      <c r="F156" s="187">
        <f t="shared" si="12"/>
        <v>191.57</v>
      </c>
      <c r="G156" s="184">
        <v>0</v>
      </c>
      <c r="H156" s="184">
        <v>0</v>
      </c>
      <c r="I156" s="184">
        <f t="shared" si="13"/>
        <v>0</v>
      </c>
      <c r="J156" s="184">
        <v>0</v>
      </c>
      <c r="K156" s="184">
        <f t="shared" si="14"/>
        <v>0</v>
      </c>
      <c r="L156" s="184">
        <f t="shared" si="15"/>
        <v>0</v>
      </c>
    </row>
    <row r="157" spans="1:12" ht="26.4" x14ac:dyDescent="0.25">
      <c r="A157" s="156" t="str">
        <f>'Orçamento Sintético'!A113</f>
        <v xml:space="preserve"> 1.16.0.30. </v>
      </c>
      <c r="B157" s="157" t="str">
        <f>'Orçamento Sintético'!D113</f>
        <v>TUBO, PVC, SOLDÁVEL, DE 32MM, INSTALADO EM RAMAL DE DISTRIBUIÇÃO DE ÁGUA - FORNECIMENTO E INSTALAÇÃO. AF_06/2022</v>
      </c>
      <c r="C157" s="156" t="str">
        <f>'Orçamento Sintético'!E113</f>
        <v>M</v>
      </c>
      <c r="D157" s="186">
        <f>'Orçamento Sintético'!F113</f>
        <v>12</v>
      </c>
      <c r="E157" s="186">
        <f>'Orçamento Sintético'!H113</f>
        <v>26.762499999999999</v>
      </c>
      <c r="F157" s="187">
        <f t="shared" si="12"/>
        <v>321.14999999999998</v>
      </c>
      <c r="G157" s="184">
        <v>0</v>
      </c>
      <c r="H157" s="184">
        <v>0</v>
      </c>
      <c r="I157" s="184">
        <f t="shared" si="13"/>
        <v>0</v>
      </c>
      <c r="J157" s="184">
        <v>0</v>
      </c>
      <c r="K157" s="184">
        <f t="shared" si="14"/>
        <v>0</v>
      </c>
      <c r="L157" s="184">
        <f t="shared" si="15"/>
        <v>0</v>
      </c>
    </row>
    <row r="158" spans="1:12" ht="26.4" x14ac:dyDescent="0.25">
      <c r="A158" s="156" t="str">
        <f>'Orçamento Sintético'!A114</f>
        <v xml:space="preserve"> 1.16.0.31. </v>
      </c>
      <c r="B158" s="157" t="str">
        <f>'Orçamento Sintético'!D114</f>
        <v>TUBO, PVC, SOLDÁVEL, DE 50MM, INSTALADO EM RAMAL DE DISTRIBUIÇÃO DE ÁGUA - FORNECIMENTO E INSTALAÇÃO. AF_06/2022</v>
      </c>
      <c r="C158" s="156" t="str">
        <f>'Orçamento Sintético'!E114</f>
        <v>M</v>
      </c>
      <c r="D158" s="186">
        <f>'Orçamento Sintético'!F114</f>
        <v>0.5</v>
      </c>
      <c r="E158" s="186">
        <f>'Orçamento Sintético'!H114</f>
        <v>41.775000000000006</v>
      </c>
      <c r="F158" s="187">
        <f t="shared" si="12"/>
        <v>20.89</v>
      </c>
      <c r="G158" s="184">
        <v>0</v>
      </c>
      <c r="H158" s="184">
        <v>0</v>
      </c>
      <c r="I158" s="184">
        <f t="shared" si="13"/>
        <v>0</v>
      </c>
      <c r="J158" s="184">
        <v>0</v>
      </c>
      <c r="K158" s="184">
        <f t="shared" si="14"/>
        <v>0</v>
      </c>
      <c r="L158" s="184">
        <f t="shared" si="15"/>
        <v>0</v>
      </c>
    </row>
    <row r="159" spans="1:12" s="190" customFormat="1" x14ac:dyDescent="0.25">
      <c r="A159" s="153" t="str">
        <f>'Orçamento Sintético'!A115</f>
        <v xml:space="preserve"> 1.17 </v>
      </c>
      <c r="B159" s="154" t="str">
        <f>'Orçamento Sintético'!D115</f>
        <v>SANITÁRIAS / PLUVIAL</v>
      </c>
      <c r="C159" s="153"/>
      <c r="D159" s="188"/>
      <c r="E159" s="188"/>
      <c r="F159" s="189"/>
      <c r="G159" s="158"/>
      <c r="H159" s="158"/>
      <c r="I159" s="158"/>
      <c r="J159" s="158"/>
      <c r="K159" s="158"/>
      <c r="L159" s="158"/>
    </row>
    <row r="160" spans="1:12" ht="39.6" x14ac:dyDescent="0.25">
      <c r="A160" s="156" t="str">
        <f>'Orçamento Sintético'!A116</f>
        <v xml:space="preserve"> 1.17.0.1. </v>
      </c>
      <c r="B160" s="157" t="str">
        <f>'Orçamento Sintético'!D116</f>
        <v>JOELHO 45 GRAUS, PVC, SERIE NORMAL, ESGOTO PREDIAL, DN 40 MM, JUNTA SOLDÁVEL, FORNECIDO E INSTALADO EM RAMAL DE DESCARGA OU RAMAL DE ESGOTO SANITÁRIO. AF_08/2022</v>
      </c>
      <c r="C160" s="156" t="str">
        <f>'Orçamento Sintético'!E116</f>
        <v>UN</v>
      </c>
      <c r="D160" s="186">
        <f>'Orçamento Sintético'!F116</f>
        <v>3</v>
      </c>
      <c r="E160" s="186">
        <f>'Orçamento Sintético'!H116</f>
        <v>14.524999999999999</v>
      </c>
      <c r="F160" s="187">
        <f t="shared" si="12"/>
        <v>43.58</v>
      </c>
      <c r="G160" s="184">
        <v>0</v>
      </c>
      <c r="H160" s="184">
        <v>0</v>
      </c>
      <c r="I160" s="184">
        <f t="shared" si="13"/>
        <v>0</v>
      </c>
      <c r="J160" s="184">
        <v>0</v>
      </c>
      <c r="K160" s="184">
        <f t="shared" si="14"/>
        <v>0</v>
      </c>
      <c r="L160" s="184">
        <f t="shared" si="15"/>
        <v>0</v>
      </c>
    </row>
    <row r="161" spans="1:12" ht="39.6" x14ac:dyDescent="0.25">
      <c r="A161" s="156" t="str">
        <f>'Orçamento Sintético'!A117</f>
        <v xml:space="preserve"> 1.17.0.2. </v>
      </c>
      <c r="B161" s="157" t="str">
        <f>'Orçamento Sintético'!D117</f>
        <v>JOELHO 45 GRAUS, PVC, SERIE NORMAL, ESGOTO PREDIAL, DN 50 MM, JUNTA ELÁSTICA, FORNECIDO E INSTALADO EM RAMAL DE DESCARGA OU RAMAL DE ESGOTO SANITÁRIO. AF_08/2022</v>
      </c>
      <c r="C161" s="156" t="str">
        <f>'Orçamento Sintético'!E117</f>
        <v>UN</v>
      </c>
      <c r="D161" s="186">
        <f>'Orçamento Sintético'!F117</f>
        <v>2</v>
      </c>
      <c r="E161" s="186">
        <f>'Orçamento Sintético'!H117</f>
        <v>21.6</v>
      </c>
      <c r="F161" s="187">
        <f t="shared" si="12"/>
        <v>43.2</v>
      </c>
      <c r="G161" s="184">
        <v>0</v>
      </c>
      <c r="H161" s="184">
        <v>0</v>
      </c>
      <c r="I161" s="184">
        <f t="shared" si="13"/>
        <v>0</v>
      </c>
      <c r="J161" s="184">
        <v>0</v>
      </c>
      <c r="K161" s="184">
        <f t="shared" si="14"/>
        <v>0</v>
      </c>
      <c r="L161" s="184">
        <f t="shared" si="15"/>
        <v>0</v>
      </c>
    </row>
    <row r="162" spans="1:12" ht="39.6" x14ac:dyDescent="0.25">
      <c r="A162" s="156" t="str">
        <f>'Orçamento Sintético'!A118</f>
        <v xml:space="preserve"> 1.17.0.3. </v>
      </c>
      <c r="B162" s="157" t="str">
        <f>'Orçamento Sintético'!D118</f>
        <v>JOELHO 90 GRAUS, PVC, SERIE NORMAL, ESGOTO PREDIAL, DN 40 MM, JUNTA SOLDÁVEL, FORNECIDO E INSTALADO EM RAMAL DE DESCARGA OU RAMAL DE ESGOTO SANITÁRIO. AF_08/2022</v>
      </c>
      <c r="C162" s="156" t="str">
        <f>'Orçamento Sintético'!E118</f>
        <v>UN</v>
      </c>
      <c r="D162" s="186">
        <f>'Orçamento Sintético'!F118</f>
        <v>2</v>
      </c>
      <c r="E162" s="186">
        <f>'Orçamento Sintético'!H118</f>
        <v>14.225000000000001</v>
      </c>
      <c r="F162" s="187">
        <f t="shared" si="12"/>
        <v>28.45</v>
      </c>
      <c r="G162" s="184">
        <v>0</v>
      </c>
      <c r="H162" s="184">
        <v>0</v>
      </c>
      <c r="I162" s="184">
        <f t="shared" si="13"/>
        <v>0</v>
      </c>
      <c r="J162" s="184">
        <v>0</v>
      </c>
      <c r="K162" s="184">
        <f t="shared" si="14"/>
        <v>0</v>
      </c>
      <c r="L162" s="184">
        <f t="shared" si="15"/>
        <v>0</v>
      </c>
    </row>
    <row r="163" spans="1:12" ht="39.6" x14ac:dyDescent="0.25">
      <c r="A163" s="156" t="str">
        <f>'Orçamento Sintético'!A119</f>
        <v xml:space="preserve"> 1.17.0.4. </v>
      </c>
      <c r="B163" s="157" t="str">
        <f>'Orçamento Sintético'!D119</f>
        <v>JOELHO 90 GRAUS, PVC, SERIE NORMAL, ESGOTO PREDIAL, DN 50 MM, JUNTA ELÁSTICA, FORNECIDO E INSTALADO EM RAMAL DE DESCARGA OU RAMAL DE ESGOTO SANITÁRIO. AF_08/2022</v>
      </c>
      <c r="C163" s="156" t="str">
        <f>'Orçamento Sintético'!E119</f>
        <v>UN</v>
      </c>
      <c r="D163" s="186">
        <f>'Orçamento Sintético'!F119</f>
        <v>9</v>
      </c>
      <c r="E163" s="186">
        <f>'Orçamento Sintético'!H119</f>
        <v>20.625</v>
      </c>
      <c r="F163" s="187">
        <f t="shared" si="12"/>
        <v>185.63</v>
      </c>
      <c r="G163" s="184">
        <v>0</v>
      </c>
      <c r="H163" s="184">
        <v>0</v>
      </c>
      <c r="I163" s="184">
        <f t="shared" si="13"/>
        <v>0</v>
      </c>
      <c r="J163" s="184">
        <v>0</v>
      </c>
      <c r="K163" s="184">
        <f t="shared" si="14"/>
        <v>0</v>
      </c>
      <c r="L163" s="184">
        <f t="shared" si="15"/>
        <v>0</v>
      </c>
    </row>
    <row r="164" spans="1:12" ht="39.6" x14ac:dyDescent="0.25">
      <c r="A164" s="156" t="str">
        <f>'Orçamento Sintético'!A120</f>
        <v xml:space="preserve"> 1.17.0.5. </v>
      </c>
      <c r="B164" s="157" t="str">
        <f>'Orçamento Sintético'!D120</f>
        <v>JOELHO 90 GRAUS, PVC, SERIE NORMAL, ESGOTO PREDIAL, DN 100 MM, JUNTA ELÁSTICA, FORNECIDO E INSTALADO EM RAMAL DE DESCARGA OU RAMAL DE ESGOTO SANITÁRIO. AF_08/2022</v>
      </c>
      <c r="C164" s="156" t="str">
        <f>'Orçamento Sintético'!E120</f>
        <v>UN</v>
      </c>
      <c r="D164" s="186">
        <f>'Orçamento Sintético'!F120</f>
        <v>2</v>
      </c>
      <c r="E164" s="186">
        <f>'Orçamento Sintético'!H120</f>
        <v>37.574999999999996</v>
      </c>
      <c r="F164" s="187">
        <f t="shared" si="12"/>
        <v>75.150000000000006</v>
      </c>
      <c r="G164" s="184">
        <v>0</v>
      </c>
      <c r="H164" s="184">
        <v>0</v>
      </c>
      <c r="I164" s="184">
        <f t="shared" si="13"/>
        <v>0</v>
      </c>
      <c r="J164" s="184">
        <v>0</v>
      </c>
      <c r="K164" s="184">
        <f t="shared" si="14"/>
        <v>0</v>
      </c>
      <c r="L164" s="184">
        <f t="shared" si="15"/>
        <v>0</v>
      </c>
    </row>
    <row r="165" spans="1:12" x14ac:dyDescent="0.25">
      <c r="A165" s="156" t="e">
        <f>'Orçamento Sintético'!#REF!</f>
        <v>#REF!</v>
      </c>
      <c r="B165" s="157" t="e">
        <f>'Orçamento Sintético'!#REF!</f>
        <v>#REF!</v>
      </c>
      <c r="C165" s="156" t="e">
        <f>'Orçamento Sintético'!#REF!</f>
        <v>#REF!</v>
      </c>
      <c r="D165" s="186" t="e">
        <f>'Orçamento Sintético'!#REF!</f>
        <v>#REF!</v>
      </c>
      <c r="E165" s="186" t="e">
        <f>'Orçamento Sintético'!#REF!</f>
        <v>#REF!</v>
      </c>
      <c r="F165" s="187" t="e">
        <f t="shared" si="12"/>
        <v>#REF!</v>
      </c>
      <c r="G165" s="184">
        <v>0</v>
      </c>
      <c r="H165" s="184">
        <v>0</v>
      </c>
      <c r="I165" s="184">
        <f t="shared" si="13"/>
        <v>0</v>
      </c>
      <c r="J165" s="184">
        <v>0</v>
      </c>
      <c r="K165" s="184" t="e">
        <f t="shared" si="14"/>
        <v>#REF!</v>
      </c>
      <c r="L165" s="184" t="e">
        <f t="shared" si="15"/>
        <v>#REF!</v>
      </c>
    </row>
    <row r="166" spans="1:12" x14ac:dyDescent="0.25">
      <c r="A166" s="156" t="e">
        <f>'Orçamento Sintético'!#REF!</f>
        <v>#REF!</v>
      </c>
      <c r="B166" s="157" t="e">
        <f>'Orçamento Sintético'!#REF!</f>
        <v>#REF!</v>
      </c>
      <c r="C166" s="156" t="e">
        <f>'Orçamento Sintético'!#REF!</f>
        <v>#REF!</v>
      </c>
      <c r="D166" s="186" t="e">
        <f>'Orçamento Sintético'!#REF!</f>
        <v>#REF!</v>
      </c>
      <c r="E166" s="186" t="e">
        <f>'Orçamento Sintético'!#REF!</f>
        <v>#REF!</v>
      </c>
      <c r="F166" s="187" t="e">
        <f t="shared" si="12"/>
        <v>#REF!</v>
      </c>
      <c r="G166" s="184">
        <v>0</v>
      </c>
      <c r="H166" s="184">
        <v>0</v>
      </c>
      <c r="I166" s="184">
        <f t="shared" si="13"/>
        <v>0</v>
      </c>
      <c r="J166" s="184">
        <v>0</v>
      </c>
      <c r="K166" s="184" t="e">
        <f t="shared" si="14"/>
        <v>#REF!</v>
      </c>
      <c r="L166" s="184" t="e">
        <f t="shared" si="15"/>
        <v>#REF!</v>
      </c>
    </row>
    <row r="167" spans="1:12" x14ac:dyDescent="0.25">
      <c r="A167" s="156" t="e">
        <f>'Orçamento Sintético'!#REF!</f>
        <v>#REF!</v>
      </c>
      <c r="B167" s="157" t="e">
        <f>'Orçamento Sintético'!#REF!</f>
        <v>#REF!</v>
      </c>
      <c r="C167" s="156" t="e">
        <f>'Orçamento Sintético'!#REF!</f>
        <v>#REF!</v>
      </c>
      <c r="D167" s="186" t="e">
        <f>'Orçamento Sintético'!#REF!</f>
        <v>#REF!</v>
      </c>
      <c r="E167" s="186" t="e">
        <f>'Orçamento Sintético'!#REF!</f>
        <v>#REF!</v>
      </c>
      <c r="F167" s="187" t="e">
        <f t="shared" si="12"/>
        <v>#REF!</v>
      </c>
      <c r="G167" s="184">
        <v>0</v>
      </c>
      <c r="H167" s="184">
        <v>0</v>
      </c>
      <c r="I167" s="184">
        <f t="shared" si="13"/>
        <v>0</v>
      </c>
      <c r="J167" s="184">
        <v>0</v>
      </c>
      <c r="K167" s="184" t="e">
        <f t="shared" si="14"/>
        <v>#REF!</v>
      </c>
      <c r="L167" s="184" t="e">
        <f t="shared" si="15"/>
        <v>#REF!</v>
      </c>
    </row>
    <row r="168" spans="1:12" ht="26.4" x14ac:dyDescent="0.25">
      <c r="A168" s="156" t="str">
        <f>'Orçamento Sintético'!A121</f>
        <v xml:space="preserve"> 1.17.0.9. </v>
      </c>
      <c r="B168" s="157" t="str">
        <f>'Orçamento Sintético'!D121</f>
        <v>TUBO PVC, SERIE NORMAL, ESGOTO PREDIAL, DN 40 MM, FORNECIDO E INSTALADO EM RAMAL DE DESCARGA OU RAMAL DE ESGOTO SANITÁRIO. AF_08/2022</v>
      </c>
      <c r="C168" s="156" t="str">
        <f>'Orçamento Sintético'!E121</f>
        <v>M</v>
      </c>
      <c r="D168" s="186">
        <f>'Orçamento Sintético'!F121</f>
        <v>3.3</v>
      </c>
      <c r="E168" s="186">
        <f>'Orçamento Sintético'!H121</f>
        <v>30.45</v>
      </c>
      <c r="F168" s="187">
        <f t="shared" si="12"/>
        <v>100.49</v>
      </c>
      <c r="G168" s="184">
        <v>0</v>
      </c>
      <c r="H168" s="184">
        <v>0</v>
      </c>
      <c r="I168" s="184">
        <f t="shared" si="13"/>
        <v>0</v>
      </c>
      <c r="J168" s="184">
        <v>0</v>
      </c>
      <c r="K168" s="184">
        <f t="shared" si="14"/>
        <v>0</v>
      </c>
      <c r="L168" s="184">
        <f t="shared" si="15"/>
        <v>0</v>
      </c>
    </row>
    <row r="169" spans="1:12" ht="26.4" x14ac:dyDescent="0.25">
      <c r="A169" s="156" t="str">
        <f>'Orçamento Sintético'!A122</f>
        <v xml:space="preserve"> 1.17.0.10. </v>
      </c>
      <c r="B169" s="157" t="str">
        <f>'Orçamento Sintético'!D122</f>
        <v>TUBO PVC, SERIE NORMAL, ESGOTO PREDIAL, DN 50 MM, FORNECIDO E INSTALADO EM RAMAL DE DESCARGA OU RAMAL DE ESGOTO SANITÁRIO. AF_08/2022</v>
      </c>
      <c r="C169" s="156" t="str">
        <f>'Orçamento Sintético'!E122</f>
        <v>M</v>
      </c>
      <c r="D169" s="186">
        <f>'Orçamento Sintético'!F122</f>
        <v>10.199999999999999</v>
      </c>
      <c r="E169" s="186">
        <f>'Orçamento Sintético'!H122</f>
        <v>38.299999999999997</v>
      </c>
      <c r="F169" s="187">
        <f t="shared" si="12"/>
        <v>390.66</v>
      </c>
      <c r="G169" s="184">
        <v>0</v>
      </c>
      <c r="H169" s="184">
        <v>0</v>
      </c>
      <c r="I169" s="184">
        <f t="shared" si="13"/>
        <v>0</v>
      </c>
      <c r="J169" s="184">
        <v>0</v>
      </c>
      <c r="K169" s="184">
        <f t="shared" si="14"/>
        <v>0</v>
      </c>
      <c r="L169" s="184">
        <f t="shared" si="15"/>
        <v>0</v>
      </c>
    </row>
    <row r="170" spans="1:12" ht="26.4" x14ac:dyDescent="0.25">
      <c r="A170" s="156" t="str">
        <f>'Orçamento Sintético'!A123</f>
        <v xml:space="preserve"> 1.17.0.11. </v>
      </c>
      <c r="B170" s="157" t="str">
        <f>'Orçamento Sintético'!D123</f>
        <v>TUBO PVC, SERIE NORMAL, ESGOTO PREDIAL, DN 50 MM, FORNECIDO E INSTALADO EM PRUMADA DE ESGOTO SANITÁRIO OU VENTILAÇÃO. AF_08/2022</v>
      </c>
      <c r="C170" s="156" t="str">
        <f>'Orçamento Sintético'!E123</f>
        <v>M</v>
      </c>
      <c r="D170" s="186">
        <f>'Orçamento Sintético'!F123</f>
        <v>4</v>
      </c>
      <c r="E170" s="186">
        <f>'Orçamento Sintético'!H123</f>
        <v>18.262499999999999</v>
      </c>
      <c r="F170" s="187">
        <f t="shared" si="12"/>
        <v>73.05</v>
      </c>
      <c r="G170" s="184">
        <v>0</v>
      </c>
      <c r="H170" s="184">
        <v>0</v>
      </c>
      <c r="I170" s="184">
        <f t="shared" si="13"/>
        <v>0</v>
      </c>
      <c r="J170" s="184">
        <v>0</v>
      </c>
      <c r="K170" s="184">
        <f t="shared" si="14"/>
        <v>0</v>
      </c>
      <c r="L170" s="184">
        <f t="shared" si="15"/>
        <v>0</v>
      </c>
    </row>
    <row r="171" spans="1:12" ht="26.4" x14ac:dyDescent="0.25">
      <c r="A171" s="156" t="str">
        <f>'Orçamento Sintético'!A124</f>
        <v xml:space="preserve"> 1.17.0.12. </v>
      </c>
      <c r="B171" s="157" t="str">
        <f>'Orçamento Sintético'!D124</f>
        <v>TUBO PVC, SERIE NORMAL, ESGOTO PREDIAL, DN 100 MM, FORNECIDO E INSTALADO EM RAMAL DE DESCARGA OU RAMAL DE ESGOTO SANITÁRIO. AF_08/2022</v>
      </c>
      <c r="C171" s="156" t="str">
        <f>'Orçamento Sintético'!E124</f>
        <v>M</v>
      </c>
      <c r="D171" s="186">
        <f>'Orçamento Sintético'!F124</f>
        <v>26.4</v>
      </c>
      <c r="E171" s="186">
        <f>'Orçamento Sintético'!H124</f>
        <v>53.3125</v>
      </c>
      <c r="F171" s="187">
        <f t="shared" si="12"/>
        <v>1407.45</v>
      </c>
      <c r="G171" s="184">
        <v>0</v>
      </c>
      <c r="H171" s="184">
        <v>0</v>
      </c>
      <c r="I171" s="184">
        <f t="shared" si="13"/>
        <v>0</v>
      </c>
      <c r="J171" s="184">
        <v>0</v>
      </c>
      <c r="K171" s="184">
        <f t="shared" si="14"/>
        <v>0</v>
      </c>
      <c r="L171" s="184">
        <f t="shared" si="15"/>
        <v>0</v>
      </c>
    </row>
    <row r="172" spans="1:12" ht="26.4" x14ac:dyDescent="0.25">
      <c r="A172" s="156" t="str">
        <f>'Orçamento Sintético'!A125</f>
        <v xml:space="preserve"> 1.17.0.13. </v>
      </c>
      <c r="B172" s="157" t="str">
        <f>'Orçamento Sintético'!D125</f>
        <v>CAIXA ENTERRADA HIDRÁULICA RETANGULAR EM ALVENARIA COM TIJOLOS CERÂMICOS MACIÇOS, DIMENSÕES INTERNAS: 0,6X0,6X0,6 M PARA REDE DE ESGOTO. AF_12/2020</v>
      </c>
      <c r="C172" s="156" t="str">
        <f>'Orçamento Sintético'!E125</f>
        <v>UN</v>
      </c>
      <c r="D172" s="186">
        <f>'Orçamento Sintético'!F125</f>
        <v>1</v>
      </c>
      <c r="E172" s="186">
        <f>'Orçamento Sintético'!H125</f>
        <v>804.21249999999998</v>
      </c>
      <c r="F172" s="187">
        <f t="shared" si="12"/>
        <v>804.21</v>
      </c>
      <c r="G172" s="184">
        <v>0</v>
      </c>
      <c r="H172" s="184">
        <v>0</v>
      </c>
      <c r="I172" s="184">
        <f t="shared" si="13"/>
        <v>0</v>
      </c>
      <c r="J172" s="184">
        <v>0</v>
      </c>
      <c r="K172" s="184">
        <f t="shared" si="14"/>
        <v>0</v>
      </c>
      <c r="L172" s="184">
        <f t="shared" si="15"/>
        <v>0</v>
      </c>
    </row>
    <row r="173" spans="1:12" x14ac:dyDescent="0.25">
      <c r="A173" s="156" t="e">
        <f>'Orçamento Sintético'!#REF!</f>
        <v>#REF!</v>
      </c>
      <c r="B173" s="157" t="e">
        <f>'Orçamento Sintético'!#REF!</f>
        <v>#REF!</v>
      </c>
      <c r="C173" s="156" t="e">
        <f>'Orçamento Sintético'!#REF!</f>
        <v>#REF!</v>
      </c>
      <c r="D173" s="186" t="e">
        <f>'Orçamento Sintético'!#REF!</f>
        <v>#REF!</v>
      </c>
      <c r="E173" s="186" t="e">
        <f>'Orçamento Sintético'!#REF!</f>
        <v>#REF!</v>
      </c>
      <c r="F173" s="187" t="e">
        <f t="shared" si="12"/>
        <v>#REF!</v>
      </c>
      <c r="G173" s="184">
        <v>0</v>
      </c>
      <c r="H173" s="184">
        <v>0</v>
      </c>
      <c r="I173" s="184">
        <f t="shared" si="13"/>
        <v>0</v>
      </c>
      <c r="J173" s="184">
        <v>0</v>
      </c>
      <c r="K173" s="184" t="e">
        <f t="shared" si="14"/>
        <v>#REF!</v>
      </c>
      <c r="L173" s="184" t="e">
        <f t="shared" si="15"/>
        <v>#REF!</v>
      </c>
    </row>
    <row r="174" spans="1:12" ht="26.4" x14ac:dyDescent="0.25">
      <c r="A174" s="156" t="str">
        <f>'Orçamento Sintético'!A126</f>
        <v xml:space="preserve"> 1.17.0.15. </v>
      </c>
      <c r="B174" s="157" t="str">
        <f>'Orçamento Sintético'!D126</f>
        <v>RALO SIFONADO REDONDO, PVC, DN 100 X 40 MM, JUNTA SOLDÁVEL, FORNECIDO E INSTALADO EM RAMAL DE DESCARGA OU EM RAMAL DE ESGOTO SANITÁRIO. AF_08/2022</v>
      </c>
      <c r="C174" s="156" t="str">
        <f>'Orçamento Sintético'!E126</f>
        <v>UN</v>
      </c>
      <c r="D174" s="186">
        <f>'Orçamento Sintético'!F126</f>
        <v>1</v>
      </c>
      <c r="E174" s="186">
        <f>'Orçamento Sintético'!H126</f>
        <v>26.412499999999998</v>
      </c>
      <c r="F174" s="187">
        <f t="shared" si="12"/>
        <v>26.41</v>
      </c>
      <c r="G174" s="184">
        <v>0</v>
      </c>
      <c r="H174" s="184">
        <v>0</v>
      </c>
      <c r="I174" s="184">
        <f t="shared" si="13"/>
        <v>0</v>
      </c>
      <c r="J174" s="184">
        <v>0</v>
      </c>
      <c r="K174" s="184">
        <f t="shared" si="14"/>
        <v>0</v>
      </c>
      <c r="L174" s="184">
        <f t="shared" si="15"/>
        <v>0</v>
      </c>
    </row>
    <row r="175" spans="1:12" x14ac:dyDescent="0.25">
      <c r="A175" s="156" t="e">
        <f>'Orçamento Sintético'!#REF!</f>
        <v>#REF!</v>
      </c>
      <c r="B175" s="157" t="e">
        <f>'Orçamento Sintético'!#REF!</f>
        <v>#REF!</v>
      </c>
      <c r="C175" s="156" t="e">
        <f>'Orçamento Sintético'!#REF!</f>
        <v>#REF!</v>
      </c>
      <c r="D175" s="186" t="e">
        <f>'Orçamento Sintético'!#REF!</f>
        <v>#REF!</v>
      </c>
      <c r="E175" s="186" t="e">
        <f>'Orçamento Sintético'!#REF!</f>
        <v>#REF!</v>
      </c>
      <c r="F175" s="187" t="e">
        <f t="shared" si="12"/>
        <v>#REF!</v>
      </c>
      <c r="G175" s="184">
        <v>0</v>
      </c>
      <c r="H175" s="184">
        <v>0</v>
      </c>
      <c r="I175" s="184">
        <f t="shared" si="13"/>
        <v>0</v>
      </c>
      <c r="J175" s="184">
        <v>0</v>
      </c>
      <c r="K175" s="184" t="e">
        <f t="shared" si="14"/>
        <v>#REF!</v>
      </c>
      <c r="L175" s="184" t="e">
        <f t="shared" si="15"/>
        <v>#REF!</v>
      </c>
    </row>
    <row r="176" spans="1:12" x14ac:dyDescent="0.25">
      <c r="A176" s="156" t="e">
        <f>'Orçamento Sintético'!#REF!</f>
        <v>#REF!</v>
      </c>
      <c r="B176" s="157" t="e">
        <f>'Orçamento Sintético'!#REF!</f>
        <v>#REF!</v>
      </c>
      <c r="C176" s="156" t="e">
        <f>'Orçamento Sintético'!#REF!</f>
        <v>#REF!</v>
      </c>
      <c r="D176" s="186" t="e">
        <f>'Orçamento Sintético'!#REF!</f>
        <v>#REF!</v>
      </c>
      <c r="E176" s="186" t="e">
        <f>'Orçamento Sintético'!#REF!</f>
        <v>#REF!</v>
      </c>
      <c r="F176" s="187" t="e">
        <f t="shared" si="12"/>
        <v>#REF!</v>
      </c>
      <c r="G176" s="184">
        <v>0</v>
      </c>
      <c r="H176" s="184">
        <v>0</v>
      </c>
      <c r="I176" s="184">
        <f t="shared" si="13"/>
        <v>0</v>
      </c>
      <c r="J176" s="184">
        <v>0</v>
      </c>
      <c r="K176" s="184" t="e">
        <f t="shared" si="14"/>
        <v>#REF!</v>
      </c>
      <c r="L176" s="184" t="e">
        <f t="shared" si="15"/>
        <v>#REF!</v>
      </c>
    </row>
    <row r="177" spans="1:12" x14ac:dyDescent="0.25">
      <c r="A177" s="156" t="e">
        <f>'Orçamento Sintético'!#REF!</f>
        <v>#REF!</v>
      </c>
      <c r="B177" s="157" t="e">
        <f>'Orçamento Sintético'!#REF!</f>
        <v>#REF!</v>
      </c>
      <c r="C177" s="156" t="e">
        <f>'Orçamento Sintético'!#REF!</f>
        <v>#REF!</v>
      </c>
      <c r="D177" s="186" t="e">
        <f>'Orçamento Sintético'!#REF!</f>
        <v>#REF!</v>
      </c>
      <c r="E177" s="186" t="e">
        <f>'Orçamento Sintético'!#REF!</f>
        <v>#REF!</v>
      </c>
      <c r="F177" s="187" t="e">
        <f t="shared" si="12"/>
        <v>#REF!</v>
      </c>
      <c r="G177" s="184">
        <v>0</v>
      </c>
      <c r="H177" s="184">
        <v>0</v>
      </c>
      <c r="I177" s="184">
        <f t="shared" si="13"/>
        <v>0</v>
      </c>
      <c r="J177" s="184">
        <v>0</v>
      </c>
      <c r="K177" s="184" t="e">
        <f t="shared" si="14"/>
        <v>#REF!</v>
      </c>
      <c r="L177" s="184" t="e">
        <f t="shared" si="15"/>
        <v>#REF!</v>
      </c>
    </row>
    <row r="178" spans="1:12" x14ac:dyDescent="0.25">
      <c r="A178" s="156" t="e">
        <f>'Orçamento Sintético'!#REF!</f>
        <v>#REF!</v>
      </c>
      <c r="B178" s="157" t="e">
        <f>'Orçamento Sintético'!#REF!</f>
        <v>#REF!</v>
      </c>
      <c r="C178" s="156" t="e">
        <f>'Orçamento Sintético'!#REF!</f>
        <v>#REF!</v>
      </c>
      <c r="D178" s="186" t="e">
        <f>'Orçamento Sintético'!#REF!</f>
        <v>#REF!</v>
      </c>
      <c r="E178" s="186" t="e">
        <f>'Orçamento Sintético'!#REF!</f>
        <v>#REF!</v>
      </c>
      <c r="F178" s="187" t="e">
        <f t="shared" si="12"/>
        <v>#REF!</v>
      </c>
      <c r="G178" s="184">
        <v>0</v>
      </c>
      <c r="H178" s="184">
        <v>0</v>
      </c>
      <c r="I178" s="184">
        <f t="shared" si="13"/>
        <v>0</v>
      </c>
      <c r="J178" s="184">
        <v>0</v>
      </c>
      <c r="K178" s="184" t="e">
        <f t="shared" si="14"/>
        <v>#REF!</v>
      </c>
      <c r="L178" s="184" t="e">
        <f t="shared" si="15"/>
        <v>#REF!</v>
      </c>
    </row>
    <row r="179" spans="1:12" s="190" customFormat="1" x14ac:dyDescent="0.25">
      <c r="A179" s="153" t="str">
        <f>'Orçamento Sintético'!A127</f>
        <v xml:space="preserve"> 1.18 </v>
      </c>
      <c r="B179" s="154" t="str">
        <f>'Orçamento Sintético'!D127</f>
        <v>APARELHOS, METAIS E BANCADAS</v>
      </c>
      <c r="C179" s="153"/>
      <c r="D179" s="188"/>
      <c r="E179" s="188"/>
      <c r="F179" s="189"/>
      <c r="G179" s="158"/>
      <c r="H179" s="158"/>
      <c r="I179" s="158"/>
      <c r="J179" s="158"/>
      <c r="K179" s="158"/>
      <c r="L179" s="158"/>
    </row>
    <row r="180" spans="1:12" x14ac:dyDescent="0.25">
      <c r="A180" s="156" t="e">
        <f>'Orçamento Sintético'!#REF!</f>
        <v>#REF!</v>
      </c>
      <c r="B180" s="157" t="e">
        <f>'Orçamento Sintético'!#REF!</f>
        <v>#REF!</v>
      </c>
      <c r="C180" s="156" t="e">
        <f>'Orçamento Sintético'!#REF!</f>
        <v>#REF!</v>
      </c>
      <c r="D180" s="186" t="e">
        <f>'Orçamento Sintético'!#REF!</f>
        <v>#REF!</v>
      </c>
      <c r="E180" s="186" t="e">
        <f>'Orçamento Sintético'!#REF!</f>
        <v>#REF!</v>
      </c>
      <c r="F180" s="187" t="e">
        <f t="shared" si="12"/>
        <v>#REF!</v>
      </c>
      <c r="G180" s="184">
        <v>0</v>
      </c>
      <c r="H180" s="184">
        <v>0</v>
      </c>
      <c r="I180" s="184">
        <f t="shared" si="13"/>
        <v>0</v>
      </c>
      <c r="J180" s="184">
        <v>0</v>
      </c>
      <c r="K180" s="184" t="e">
        <f t="shared" si="14"/>
        <v>#REF!</v>
      </c>
      <c r="L180" s="184" t="e">
        <f t="shared" si="15"/>
        <v>#REF!</v>
      </c>
    </row>
    <row r="181" spans="1:12" x14ac:dyDescent="0.25">
      <c r="A181" s="156" t="e">
        <f>'Orçamento Sintético'!#REF!</f>
        <v>#REF!</v>
      </c>
      <c r="B181" s="157" t="e">
        <f>'Orçamento Sintético'!#REF!</f>
        <v>#REF!</v>
      </c>
      <c r="C181" s="156" t="e">
        <f>'Orçamento Sintético'!#REF!</f>
        <v>#REF!</v>
      </c>
      <c r="D181" s="186" t="e">
        <f>'Orçamento Sintético'!#REF!</f>
        <v>#REF!</v>
      </c>
      <c r="E181" s="186" t="e">
        <f>'Orçamento Sintético'!#REF!</f>
        <v>#REF!</v>
      </c>
      <c r="F181" s="187" t="e">
        <f t="shared" si="12"/>
        <v>#REF!</v>
      </c>
      <c r="G181" s="184">
        <v>0</v>
      </c>
      <c r="H181" s="184">
        <v>0</v>
      </c>
      <c r="I181" s="184">
        <f t="shared" si="13"/>
        <v>0</v>
      </c>
      <c r="J181" s="184">
        <v>0</v>
      </c>
      <c r="K181" s="184" t="e">
        <f t="shared" si="14"/>
        <v>#REF!</v>
      </c>
      <c r="L181" s="184" t="e">
        <f t="shared" si="15"/>
        <v>#REF!</v>
      </c>
    </row>
    <row r="182" spans="1:12" ht="52.8" x14ac:dyDescent="0.25">
      <c r="A182" s="156" t="str">
        <f>'Orçamento Sintético'!A128</f>
        <v xml:space="preserve"> 1.18.0.3. </v>
      </c>
      <c r="B182" s="157" t="str">
        <f>'Orçamento Sintético'!D128</f>
        <v>BANCADA DE MÁRMORE SINTÉTICO 120 X 60CM, COM CUBA INTEGRADA, INCLUSO SIFÃO TIPO FLEXÍVEL EM PVC, VÁLVULA EM PLÁSTICO CROMADO TIPO AMERICANA E TORNEIRA CROMADA LONGA, DE PAREDE, PADRÃO POPULAR - FORNECIMENTO E INSTALAÇÃO. AF_01/2020</v>
      </c>
      <c r="C182" s="156" t="str">
        <f>'Orçamento Sintético'!E128</f>
        <v>UN</v>
      </c>
      <c r="D182" s="186">
        <f>'Orçamento Sintético'!F128</f>
        <v>1</v>
      </c>
      <c r="E182" s="186">
        <f>'Orçamento Sintético'!H128</f>
        <v>514.8125</v>
      </c>
      <c r="F182" s="187">
        <f t="shared" si="12"/>
        <v>514.80999999999995</v>
      </c>
      <c r="G182" s="184">
        <v>0</v>
      </c>
      <c r="H182" s="184">
        <v>0</v>
      </c>
      <c r="I182" s="184">
        <f t="shared" si="13"/>
        <v>0</v>
      </c>
      <c r="J182" s="184">
        <v>0</v>
      </c>
      <c r="K182" s="184">
        <f t="shared" si="14"/>
        <v>0</v>
      </c>
      <c r="L182" s="184">
        <f t="shared" si="15"/>
        <v>0</v>
      </c>
    </row>
    <row r="183" spans="1:12" ht="39.6" x14ac:dyDescent="0.25">
      <c r="A183" s="156" t="str">
        <f>'Orçamento Sintético'!A129</f>
        <v xml:space="preserve"> 1.18.0.4. </v>
      </c>
      <c r="B183" s="157" t="str">
        <f>'Orçamento Sintético'!D129</f>
        <v>TANQUE DE LOUÇA BRANCA SUSPENSO, 18L OU EQUIVALENTE, INCLUSO SIFÃO TIPO GARRAFA EM PVC, VÁLVULA PLÁSTICA E TORNEIRA DE PLÁSTICO - FORNECIMENTO E INSTALAÇÃO. AF_01/2020</v>
      </c>
      <c r="C183" s="156" t="str">
        <f>'Orçamento Sintético'!E129</f>
        <v>UN</v>
      </c>
      <c r="D183" s="186">
        <f>'Orçamento Sintético'!F129</f>
        <v>1</v>
      </c>
      <c r="E183" s="186">
        <f>'Orçamento Sintético'!H129</f>
        <v>721.3</v>
      </c>
      <c r="F183" s="187">
        <f t="shared" si="12"/>
        <v>721.3</v>
      </c>
      <c r="G183" s="184">
        <v>0</v>
      </c>
      <c r="H183" s="184">
        <v>0</v>
      </c>
      <c r="I183" s="184">
        <f t="shared" si="13"/>
        <v>0</v>
      </c>
      <c r="J183" s="184">
        <v>0</v>
      </c>
      <c r="K183" s="184">
        <f t="shared" si="14"/>
        <v>0</v>
      </c>
      <c r="L183" s="184">
        <f t="shared" si="15"/>
        <v>0</v>
      </c>
    </row>
    <row r="184" spans="1:12" x14ac:dyDescent="0.25">
      <c r="A184" s="156" t="e">
        <f>'Orçamento Sintético'!#REF!</f>
        <v>#REF!</v>
      </c>
      <c r="B184" s="157" t="e">
        <f>'Orçamento Sintético'!#REF!</f>
        <v>#REF!</v>
      </c>
      <c r="C184" s="156" t="e">
        <f>'Orçamento Sintético'!#REF!</f>
        <v>#REF!</v>
      </c>
      <c r="D184" s="186" t="e">
        <f>'Orçamento Sintético'!#REF!</f>
        <v>#REF!</v>
      </c>
      <c r="E184" s="186" t="e">
        <f>'Orçamento Sintético'!#REF!</f>
        <v>#REF!</v>
      </c>
      <c r="F184" s="187" t="e">
        <f t="shared" si="12"/>
        <v>#REF!</v>
      </c>
      <c r="G184" s="184">
        <v>0</v>
      </c>
      <c r="H184" s="184">
        <v>0</v>
      </c>
      <c r="I184" s="184">
        <f t="shared" si="13"/>
        <v>0</v>
      </c>
      <c r="J184" s="184">
        <v>0</v>
      </c>
      <c r="K184" s="184" t="e">
        <f t="shared" si="14"/>
        <v>#REF!</v>
      </c>
      <c r="L184" s="184" t="e">
        <f t="shared" si="15"/>
        <v>#REF!</v>
      </c>
    </row>
    <row r="185" spans="1:12" x14ac:dyDescent="0.25">
      <c r="A185" s="156" t="e">
        <f>'Orçamento Sintético'!#REF!</f>
        <v>#REF!</v>
      </c>
      <c r="B185" s="157" t="e">
        <f>'Orçamento Sintético'!#REF!</f>
        <v>#REF!</v>
      </c>
      <c r="C185" s="156" t="e">
        <f>'Orçamento Sintético'!#REF!</f>
        <v>#REF!</v>
      </c>
      <c r="D185" s="186" t="e">
        <f>'Orçamento Sintético'!#REF!</f>
        <v>#REF!</v>
      </c>
      <c r="E185" s="186" t="e">
        <f>'Orçamento Sintético'!#REF!</f>
        <v>#REF!</v>
      </c>
      <c r="F185" s="187" t="e">
        <f t="shared" si="12"/>
        <v>#REF!</v>
      </c>
      <c r="G185" s="184">
        <v>0</v>
      </c>
      <c r="H185" s="184">
        <v>0</v>
      </c>
      <c r="I185" s="184">
        <f t="shared" si="13"/>
        <v>0</v>
      </c>
      <c r="J185" s="184">
        <v>0</v>
      </c>
      <c r="K185" s="184" t="e">
        <f t="shared" si="14"/>
        <v>#REF!</v>
      </c>
      <c r="L185" s="184" t="e">
        <f t="shared" si="15"/>
        <v>#REF!</v>
      </c>
    </row>
    <row r="186" spans="1:12" s="190" customFormat="1" x14ac:dyDescent="0.25">
      <c r="A186" s="153" t="e">
        <f>'Orçamento Sintético'!#REF!</f>
        <v>#REF!</v>
      </c>
      <c r="B186" s="154" t="e">
        <f>'Orçamento Sintético'!#REF!</f>
        <v>#REF!</v>
      </c>
      <c r="C186" s="153"/>
      <c r="D186" s="188"/>
      <c r="E186" s="188"/>
      <c r="F186" s="189"/>
      <c r="G186" s="158"/>
      <c r="H186" s="158"/>
      <c r="I186" s="158"/>
      <c r="J186" s="158"/>
      <c r="K186" s="158"/>
      <c r="L186" s="158"/>
    </row>
    <row r="187" spans="1:12" x14ac:dyDescent="0.25">
      <c r="A187" s="156" t="e">
        <f>'Orçamento Sintético'!#REF!</f>
        <v>#REF!</v>
      </c>
      <c r="B187" s="157" t="e">
        <f>'Orçamento Sintético'!#REF!</f>
        <v>#REF!</v>
      </c>
      <c r="C187" s="156" t="e">
        <f>'Orçamento Sintético'!#REF!</f>
        <v>#REF!</v>
      </c>
      <c r="D187" s="186" t="e">
        <f>'Orçamento Sintético'!#REF!</f>
        <v>#REF!</v>
      </c>
      <c r="E187" s="186" t="e">
        <f>'Orçamento Sintético'!#REF!</f>
        <v>#REF!</v>
      </c>
      <c r="F187" s="187" t="e">
        <f t="shared" si="12"/>
        <v>#REF!</v>
      </c>
      <c r="G187" s="184">
        <v>0</v>
      </c>
      <c r="H187" s="184">
        <v>0</v>
      </c>
      <c r="I187" s="184">
        <f t="shared" si="13"/>
        <v>0</v>
      </c>
      <c r="J187" s="184">
        <v>0</v>
      </c>
      <c r="K187" s="184" t="e">
        <f t="shared" si="14"/>
        <v>#REF!</v>
      </c>
      <c r="L187" s="184" t="e">
        <f t="shared" si="15"/>
        <v>#REF!</v>
      </c>
    </row>
    <row r="188" spans="1:12" x14ac:dyDescent="0.25">
      <c r="A188" s="156" t="e">
        <f>'Orçamento Sintético'!#REF!</f>
        <v>#REF!</v>
      </c>
      <c r="B188" s="157" t="e">
        <f>'Orçamento Sintético'!#REF!</f>
        <v>#REF!</v>
      </c>
      <c r="C188" s="156" t="e">
        <f>'Orçamento Sintético'!#REF!</f>
        <v>#REF!</v>
      </c>
      <c r="D188" s="186" t="e">
        <f>'Orçamento Sintético'!#REF!</f>
        <v>#REF!</v>
      </c>
      <c r="E188" s="186" t="e">
        <f>'Orçamento Sintético'!#REF!</f>
        <v>#REF!</v>
      </c>
      <c r="F188" s="187" t="e">
        <f t="shared" si="12"/>
        <v>#REF!</v>
      </c>
      <c r="G188" s="184">
        <v>0</v>
      </c>
      <c r="H188" s="184">
        <v>0</v>
      </c>
      <c r="I188" s="184">
        <f t="shared" si="13"/>
        <v>0</v>
      </c>
      <c r="J188" s="184">
        <v>0</v>
      </c>
      <c r="K188" s="184" t="e">
        <f t="shared" si="14"/>
        <v>#REF!</v>
      </c>
      <c r="L188" s="184" t="e">
        <f t="shared" si="15"/>
        <v>#REF!</v>
      </c>
    </row>
    <row r="189" spans="1:12" x14ac:dyDescent="0.25">
      <c r="A189" s="156" t="e">
        <f>'Orçamento Sintético'!#REF!</f>
        <v>#REF!</v>
      </c>
      <c r="B189" s="157" t="e">
        <f>'Orçamento Sintético'!#REF!</f>
        <v>#REF!</v>
      </c>
      <c r="C189" s="156" t="e">
        <f>'Orçamento Sintético'!#REF!</f>
        <v>#REF!</v>
      </c>
      <c r="D189" s="186" t="e">
        <f>'Orçamento Sintético'!#REF!</f>
        <v>#REF!</v>
      </c>
      <c r="E189" s="186" t="e">
        <f>'Orçamento Sintético'!#REF!</f>
        <v>#REF!</v>
      </c>
      <c r="F189" s="187" t="e">
        <f t="shared" si="12"/>
        <v>#REF!</v>
      </c>
      <c r="G189" s="184">
        <v>0</v>
      </c>
      <c r="H189" s="184">
        <v>0</v>
      </c>
      <c r="I189" s="184">
        <f t="shared" si="13"/>
        <v>0</v>
      </c>
      <c r="J189" s="184">
        <v>0</v>
      </c>
      <c r="K189" s="184" t="e">
        <f t="shared" si="14"/>
        <v>#REF!</v>
      </c>
      <c r="L189" s="184" t="e">
        <f t="shared" si="15"/>
        <v>#REF!</v>
      </c>
    </row>
    <row r="190" spans="1:12" x14ac:dyDescent="0.25">
      <c r="A190" s="156" t="e">
        <f>'Orçamento Sintético'!#REF!</f>
        <v>#REF!</v>
      </c>
      <c r="B190" s="157" t="e">
        <f>'Orçamento Sintético'!#REF!</f>
        <v>#REF!</v>
      </c>
      <c r="C190" s="156" t="e">
        <f>'Orçamento Sintético'!#REF!</f>
        <v>#REF!</v>
      </c>
      <c r="D190" s="186" t="e">
        <f>'Orçamento Sintético'!#REF!</f>
        <v>#REF!</v>
      </c>
      <c r="E190" s="186" t="e">
        <f>'Orçamento Sintético'!#REF!</f>
        <v>#REF!</v>
      </c>
      <c r="F190" s="187" t="e">
        <f t="shared" si="12"/>
        <v>#REF!</v>
      </c>
      <c r="G190" s="184">
        <v>0</v>
      </c>
      <c r="H190" s="184">
        <v>0</v>
      </c>
      <c r="I190" s="184">
        <f t="shared" si="13"/>
        <v>0</v>
      </c>
      <c r="J190" s="184">
        <v>0</v>
      </c>
      <c r="K190" s="184" t="e">
        <f t="shared" si="14"/>
        <v>#REF!</v>
      </c>
      <c r="L190" s="184" t="e">
        <f t="shared" si="15"/>
        <v>#REF!</v>
      </c>
    </row>
    <row r="191" spans="1:12" x14ac:dyDescent="0.25">
      <c r="A191" s="156" t="e">
        <f>'Orçamento Sintético'!#REF!</f>
        <v>#REF!</v>
      </c>
      <c r="B191" s="157" t="e">
        <f>'Orçamento Sintético'!#REF!</f>
        <v>#REF!</v>
      </c>
      <c r="C191" s="156" t="e">
        <f>'Orçamento Sintético'!#REF!</f>
        <v>#REF!</v>
      </c>
      <c r="D191" s="186" t="e">
        <f>'Orçamento Sintético'!#REF!</f>
        <v>#REF!</v>
      </c>
      <c r="E191" s="186" t="e">
        <f>'Orçamento Sintético'!#REF!</f>
        <v>#REF!</v>
      </c>
      <c r="F191" s="187" t="e">
        <f t="shared" si="12"/>
        <v>#REF!</v>
      </c>
      <c r="G191" s="184">
        <v>0</v>
      </c>
      <c r="H191" s="184">
        <v>0</v>
      </c>
      <c r="I191" s="184">
        <f t="shared" si="13"/>
        <v>0</v>
      </c>
      <c r="J191" s="184">
        <v>0</v>
      </c>
      <c r="K191" s="184" t="e">
        <f t="shared" si="14"/>
        <v>#REF!</v>
      </c>
      <c r="L191" s="184" t="e">
        <f t="shared" si="15"/>
        <v>#REF!</v>
      </c>
    </row>
    <row r="192" spans="1:12" ht="15.6" x14ac:dyDescent="0.25">
      <c r="A192" s="292" t="s">
        <v>432</v>
      </c>
      <c r="B192" s="292"/>
      <c r="C192" s="292"/>
      <c r="D192" s="159"/>
      <c r="E192" s="160"/>
      <c r="F192" s="161" t="e">
        <f>SUM(F13:F191)</f>
        <v>#REF!</v>
      </c>
      <c r="G192" s="162" t="e">
        <f>J192/F192</f>
        <v>#REF!</v>
      </c>
      <c r="H192" s="162" t="e">
        <f>K192/F192</f>
        <v>#REF!</v>
      </c>
      <c r="I192" s="162" t="e">
        <f>L192/F192</f>
        <v>#REF!</v>
      </c>
      <c r="J192" s="161">
        <f>SUM(J13:J191)-0</f>
        <v>0</v>
      </c>
      <c r="K192" s="161" t="e">
        <f>SUM(K13:K191)-0</f>
        <v>#REF!</v>
      </c>
      <c r="L192" s="161" t="e">
        <f>SUM(L13:L191)-0</f>
        <v>#REF!</v>
      </c>
    </row>
    <row r="193" spans="1:12" x14ac:dyDescent="0.25">
      <c r="A193" s="163"/>
      <c r="B193" s="164"/>
      <c r="C193" s="165"/>
      <c r="D193" s="166"/>
      <c r="E193" s="165"/>
      <c r="F193" s="167"/>
      <c r="G193" s="165"/>
      <c r="H193" s="168"/>
      <c r="I193" s="169"/>
      <c r="J193" s="168"/>
      <c r="K193" s="165"/>
      <c r="L193" s="167"/>
    </row>
    <row r="194" spans="1:12" x14ac:dyDescent="0.25">
      <c r="A194" s="170"/>
      <c r="B194" s="293" t="s">
        <v>450</v>
      </c>
      <c r="C194" s="294"/>
      <c r="D194" s="294"/>
      <c r="E194" s="294"/>
      <c r="F194" s="294"/>
      <c r="G194" s="294"/>
      <c r="H194" s="294"/>
      <c r="I194" s="294"/>
      <c r="J194" s="294"/>
      <c r="K194" s="294"/>
      <c r="L194" s="295"/>
    </row>
    <row r="195" spans="1:12" x14ac:dyDescent="0.25">
      <c r="A195" s="296" t="s">
        <v>443</v>
      </c>
      <c r="B195" s="296"/>
      <c r="C195" s="296"/>
      <c r="D195" s="296"/>
      <c r="E195" s="296"/>
      <c r="F195" s="296"/>
      <c r="G195" s="296"/>
      <c r="H195" s="296"/>
      <c r="I195" s="296"/>
      <c r="J195" s="296"/>
      <c r="K195" s="296"/>
      <c r="L195" s="296"/>
    </row>
    <row r="196" spans="1:12" x14ac:dyDescent="0.25">
      <c r="A196" s="171"/>
      <c r="B196" s="171"/>
      <c r="C196" s="171"/>
      <c r="D196" s="171"/>
      <c r="E196" s="171"/>
      <c r="F196" s="171"/>
      <c r="G196" s="171"/>
      <c r="H196" s="171"/>
      <c r="I196" s="171"/>
      <c r="J196" s="171"/>
      <c r="K196" s="171"/>
      <c r="L196" s="171"/>
    </row>
    <row r="197" spans="1:12" x14ac:dyDescent="0.25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L197" s="171"/>
    </row>
    <row r="198" spans="1:12" x14ac:dyDescent="0.25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L198" s="171"/>
    </row>
    <row r="199" spans="1:12" x14ac:dyDescent="0.25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</row>
    <row r="200" spans="1:12" x14ac:dyDescent="0.25">
      <c r="A200" s="171"/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</row>
    <row r="201" spans="1:12" x14ac:dyDescent="0.25">
      <c r="A201" s="172"/>
      <c r="B201" s="172"/>
      <c r="C201" s="172"/>
      <c r="D201" s="172"/>
      <c r="E201" s="172"/>
      <c r="F201" s="172"/>
      <c r="G201" s="172"/>
      <c r="H201" s="172"/>
      <c r="I201" s="172"/>
      <c r="J201" s="172"/>
      <c r="K201" s="172"/>
      <c r="L201" s="172"/>
    </row>
    <row r="202" spans="1:12" x14ac:dyDescent="0.25">
      <c r="A202" s="297" t="s">
        <v>444</v>
      </c>
      <c r="B202" s="297"/>
      <c r="C202" s="125"/>
      <c r="D202" s="173"/>
      <c r="E202" s="173"/>
      <c r="F202" s="174"/>
      <c r="G202" s="174"/>
      <c r="H202" s="170"/>
      <c r="I202" s="175"/>
      <c r="J202" s="176"/>
      <c r="K202" s="176"/>
      <c r="L202" s="177"/>
    </row>
    <row r="203" spans="1:12" x14ac:dyDescent="0.25">
      <c r="A203" s="298" t="s">
        <v>433</v>
      </c>
      <c r="B203" s="298"/>
      <c r="C203" s="178"/>
      <c r="D203"/>
      <c r="E203" s="179" t="s">
        <v>434</v>
      </c>
      <c r="F203" s="299" t="s">
        <v>435</v>
      </c>
      <c r="G203" s="299"/>
      <c r="H203" s="299"/>
      <c r="I203" s="180" t="s">
        <v>436</v>
      </c>
      <c r="J203" s="181"/>
      <c r="K203" s="231"/>
      <c r="L203" s="231"/>
    </row>
    <row r="204" spans="1:12" x14ac:dyDescent="0.25">
      <c r="A204"/>
      <c r="B204"/>
      <c r="C204"/>
      <c r="D204"/>
      <c r="E204" s="179" t="s">
        <v>437</v>
      </c>
      <c r="F204" s="286" t="s">
        <v>438</v>
      </c>
      <c r="G204" s="287"/>
      <c r="H204"/>
      <c r="I204" s="179" t="s">
        <v>439</v>
      </c>
      <c r="J204" s="182"/>
      <c r="K204" s="288"/>
      <c r="L204" s="231"/>
    </row>
    <row r="205" spans="1:12" x14ac:dyDescent="0.25">
      <c r="A205"/>
      <c r="B205"/>
      <c r="C205"/>
      <c r="D205"/>
      <c r="E205" s="179" t="s">
        <v>440</v>
      </c>
      <c r="F205" s="286" t="s">
        <v>448</v>
      </c>
      <c r="G205" s="287"/>
      <c r="H205"/>
      <c r="I205" s="179" t="s">
        <v>440</v>
      </c>
      <c r="J205" s="182"/>
      <c r="K205" s="288"/>
      <c r="L205" s="231"/>
    </row>
    <row r="206" spans="1:12" x14ac:dyDescent="0.25">
      <c r="I206" s="183"/>
      <c r="J206" s="183"/>
      <c r="K206" s="183"/>
      <c r="L206" s="183"/>
    </row>
    <row r="207" spans="1:12" x14ac:dyDescent="0.25">
      <c r="I207" s="183"/>
      <c r="J207" s="183"/>
      <c r="K207" s="183"/>
      <c r="L207" s="183"/>
    </row>
  </sheetData>
  <mergeCells count="32">
    <mergeCell ref="C1:H1"/>
    <mergeCell ref="L1:L2"/>
    <mergeCell ref="F3:I3"/>
    <mergeCell ref="J3:L3"/>
    <mergeCell ref="C3:E3"/>
    <mergeCell ref="F4:I4"/>
    <mergeCell ref="J4:L4"/>
    <mergeCell ref="A6:B6"/>
    <mergeCell ref="C6:E6"/>
    <mergeCell ref="G6:J6"/>
    <mergeCell ref="K6:L6"/>
    <mergeCell ref="K7:L7"/>
    <mergeCell ref="H9:I9"/>
    <mergeCell ref="A11:F11"/>
    <mergeCell ref="G11:I11"/>
    <mergeCell ref="J11:L11"/>
    <mergeCell ref="F204:G204"/>
    <mergeCell ref="K204:L204"/>
    <mergeCell ref="F205:G205"/>
    <mergeCell ref="K205:L205"/>
    <mergeCell ref="A4:B4"/>
    <mergeCell ref="C4:E4"/>
    <mergeCell ref="A192:C192"/>
    <mergeCell ref="B194:L194"/>
    <mergeCell ref="A195:L195"/>
    <mergeCell ref="A202:B202"/>
    <mergeCell ref="A203:B203"/>
    <mergeCell ref="F203:H203"/>
    <mergeCell ref="K203:L203"/>
    <mergeCell ref="A7:B7"/>
    <mergeCell ref="C7:E7"/>
    <mergeCell ref="G7:J7"/>
  </mergeCells>
  <conditionalFormatting sqref="A192 D192:L192">
    <cfRule type="expression" dxfId="4" priority="3" stopIfTrue="1">
      <formula>OR($T192&lt;0,AND($T192&gt;100,RegimeExecucao="Global"),AND($T192&gt;ROUND($O192,2),RegimeExecucao="Unitário"))</formula>
    </cfRule>
    <cfRule type="expression" dxfId="3" priority="4" stopIfTrue="1">
      <formula>$K192=#REF!</formula>
    </cfRule>
    <cfRule type="expression" dxfId="2" priority="5" stopIfTrue="1">
      <formula>#REF!&lt;&gt;"S"</formula>
    </cfRule>
  </conditionalFormatting>
  <conditionalFormatting sqref="D202:G202 D203:F203 D204:G205">
    <cfRule type="expression" dxfId="1" priority="2" stopIfTrue="1">
      <formula>OR(#REF!="",CAIXA.Modo=TRUE())</formula>
    </cfRule>
  </conditionalFormatting>
  <conditionalFormatting sqref="I204:I205">
    <cfRule type="expression" dxfId="0" priority="1" stopIfTrue="1">
      <formula>OR(#REF!="",CAIXA.Modo=TRUE())</formula>
    </cfRule>
  </conditionalFormatting>
  <pageMargins left="0.51181102362204722" right="0.51181102362204722" top="0.78740157480314965" bottom="0.78740157480314965" header="0.31496062992125984" footer="0.31496062992125984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7</vt:i4>
      </vt:variant>
    </vt:vector>
  </HeadingPairs>
  <TitlesOfParts>
    <vt:vector size="12" baseType="lpstr">
      <vt:lpstr>Orçamento Sintético</vt:lpstr>
      <vt:lpstr>MEMÓRIA CÁLCULO</vt:lpstr>
      <vt:lpstr>Planilha2</vt:lpstr>
      <vt:lpstr>Planilha1</vt:lpstr>
      <vt:lpstr>1ª MED</vt:lpstr>
      <vt:lpstr>'1ª MED'!Area_de_impressao</vt:lpstr>
      <vt:lpstr>'MEMÓRIA CÁLCULO'!Area_de_impressao</vt:lpstr>
      <vt:lpstr>'Orçamento Sintético'!Area_de_impressao</vt:lpstr>
      <vt:lpstr>Planilha1!Area_de_impressao</vt:lpstr>
      <vt:lpstr>'1ª MED'!Titulos_de_impressao</vt:lpstr>
      <vt:lpstr>'MEMÓRIA CÁLCULO'!Titulos_de_impressao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Elievan Marques dos Santos</cp:lastModifiedBy>
  <cp:revision>0</cp:revision>
  <cp:lastPrinted>2026-08-26T13:53:21Z</cp:lastPrinted>
  <dcterms:created xsi:type="dcterms:W3CDTF">2025-10-21T19:19:12Z</dcterms:created>
  <dcterms:modified xsi:type="dcterms:W3CDTF">2026-08-26T14:12:29Z</dcterms:modified>
</cp:coreProperties>
</file>