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/>
  <mc:AlternateContent xmlns:mc="http://schemas.openxmlformats.org/markup-compatibility/2006">
    <mc:Choice Requires="x15">
      <x15ac:absPath xmlns:x15ac="http://schemas.microsoft.com/office/spreadsheetml/2010/11/ac" url="V:\3. EM ANDAMENTO\Coleta de Resíduos Diversos e Volumosos\Nova planilha\"/>
    </mc:Choice>
  </mc:AlternateContent>
  <xr:revisionPtr revIDLastSave="0" documentId="13_ncr:1_{93335EC8-EF8C-4720-A95B-DF45F8D70BE4}" xr6:coauthVersionLast="47" xr6:coauthVersionMax="47" xr10:uidLastSave="{00000000-0000-0000-0000-000000000000}"/>
  <bookViews>
    <workbookView xWindow="-24120" yWindow="-120" windowWidth="24240" windowHeight="13140" tabRatio="939" activeTab="1" xr2:uid="{00000000-000D-0000-FFFF-FFFF00000000}"/>
  </bookViews>
  <sheets>
    <sheet name="Planilha" sheetId="23" r:id="rId1"/>
    <sheet name="(A.1) Coletores" sheetId="38" r:id="rId2"/>
    <sheet name="(A.2) Op Picador Triturador" sheetId="15" r:id="rId3"/>
    <sheet name="(A.3) Operador Pá carregadeira" sheetId="58" r:id="rId4"/>
    <sheet name="(A.4) Pedreiro" sheetId="59" r:id="rId5"/>
    <sheet name="(A.5) Operador de motosserra" sheetId="57" r:id="rId6"/>
    <sheet name="(A.6) Motorista Cat C" sheetId="53" r:id="rId7"/>
    <sheet name="(A.7) Motorista Cat D" sheetId="37" r:id="rId8"/>
    <sheet name="(A.8) Operador de Bobcat" sheetId="60" r:id="rId9"/>
    <sheet name="(A.9) Operador de roçadeira" sheetId="61" r:id="rId10"/>
    <sheet name="(B.1) Van" sheetId="44" r:id="rId11"/>
    <sheet name="(B.2) Caminhão Basculante" sheetId="40" r:id="rId12"/>
    <sheet name="(B.3) Compactador 15m³" sheetId="62" r:id="rId13"/>
    <sheet name="Equipamentos - Custo" sheetId="49" r:id="rId14"/>
    <sheet name="Rem. Capital" sheetId="54" r:id="rId15"/>
  </sheets>
  <definedNames>
    <definedName name="_xlnm.Print_Area" localSheetId="3">'(A.3) Operador Pá carregadeira'!$A$1:$D$105</definedName>
    <definedName name="_xlnm.Print_Area" localSheetId="4">'(A.4) Pedreiro'!$A$1:$D$104</definedName>
    <definedName name="_xlnm.Print_Area" localSheetId="13">'Equipamentos - Custo'!$A$1:$K$10</definedName>
    <definedName name="_xlnm.Print_Area" localSheetId="0">Planilha!$A$1:$F$120</definedName>
    <definedName name="_xlnm.Print_Area" localSheetId="14">'Rem. Capital'!$A$1:$D$9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23" l="1"/>
  <c r="D41" i="23"/>
  <c r="F79" i="23"/>
  <c r="D51" i="23" l="1"/>
  <c r="D53" i="60" l="1"/>
  <c r="D19" i="61"/>
  <c r="D19" i="38"/>
  <c r="F41" i="23"/>
  <c r="D46" i="61" l="1"/>
  <c r="D46" i="37"/>
  <c r="D46" i="53"/>
  <c r="D46" i="57"/>
  <c r="D52" i="59"/>
  <c r="D46" i="15"/>
  <c r="D46" i="38"/>
  <c r="D53" i="58"/>
  <c r="E42" i="40"/>
  <c r="D53" i="61"/>
  <c r="D44" i="40" l="1"/>
  <c r="E10" i="40"/>
  <c r="F49" i="23"/>
  <c r="F50" i="23"/>
  <c r="F51" i="23"/>
  <c r="F48" i="23"/>
  <c r="E50" i="62"/>
  <c r="E51" i="62" s="1"/>
  <c r="E76" i="62" s="1"/>
  <c r="D76" i="62" s="1"/>
  <c r="E43" i="62"/>
  <c r="E10" i="62" s="1"/>
  <c r="E35" i="62" s="1"/>
  <c r="E37" i="62" s="1"/>
  <c r="E74" i="62" s="1"/>
  <c r="D74" i="62" s="1"/>
  <c r="E36" i="62"/>
  <c r="E23" i="62"/>
  <c r="E25" i="62" s="1"/>
  <c r="E26" i="62" s="1"/>
  <c r="E7" i="49"/>
  <c r="I7" i="49"/>
  <c r="H7" i="49"/>
  <c r="G7" i="49"/>
  <c r="J7" i="49" s="1"/>
  <c r="E40" i="23" s="1"/>
  <c r="F40" i="23" s="1"/>
  <c r="D46" i="62" l="1"/>
  <c r="E46" i="62" s="1"/>
  <c r="E47" i="62" s="1"/>
  <c r="E75" i="62" s="1"/>
  <c r="D75" i="62" s="1"/>
  <c r="E12" i="62"/>
  <c r="E30" i="62"/>
  <c r="E31" i="62" s="1"/>
  <c r="E73" i="62" s="1"/>
  <c r="D73" i="62" s="1"/>
  <c r="E72" i="62"/>
  <c r="D72" i="62" s="1"/>
  <c r="D59" i="62" l="1"/>
  <c r="E59" i="62" s="1"/>
  <c r="E60" i="62" s="1"/>
  <c r="E77" i="62" s="1"/>
  <c r="D77" i="62" s="1"/>
  <c r="E16" i="62"/>
  <c r="E18" i="62" s="1"/>
  <c r="D18" i="62" s="1"/>
  <c r="E57" i="62"/>
  <c r="D15" i="60"/>
  <c r="D46" i="60" s="1"/>
  <c r="D15" i="59"/>
  <c r="D46" i="59" s="1"/>
  <c r="D66" i="62" l="1"/>
  <c r="E66" i="62" s="1"/>
  <c r="E67" i="62" s="1"/>
  <c r="E78" i="62" s="1"/>
  <c r="D78" i="62" s="1"/>
  <c r="E19" i="62"/>
  <c r="E71" i="62" s="1"/>
  <c r="D15" i="58"/>
  <c r="D46" i="58" s="1"/>
  <c r="D90" i="61"/>
  <c r="D91" i="61" s="1"/>
  <c r="D98" i="61" s="1"/>
  <c r="C80" i="61"/>
  <c r="D52" i="61"/>
  <c r="D51" i="61"/>
  <c r="D50" i="61"/>
  <c r="D49" i="61"/>
  <c r="D48" i="61"/>
  <c r="D47" i="61"/>
  <c r="C43" i="61"/>
  <c r="C69" i="61" s="1"/>
  <c r="C71" i="61" s="1"/>
  <c r="D18" i="61"/>
  <c r="D24" i="61" s="1"/>
  <c r="C7" i="54" l="1"/>
  <c r="D7" i="54" s="1"/>
  <c r="E79" i="62"/>
  <c r="E30" i="23" s="1"/>
  <c r="F30" i="23" s="1"/>
  <c r="D71" i="62"/>
  <c r="D25" i="61"/>
  <c r="D78" i="61" s="1"/>
  <c r="D54" i="61"/>
  <c r="D55" i="61" s="1"/>
  <c r="C60" i="61" s="1"/>
  <c r="D35" i="61"/>
  <c r="D41" i="61"/>
  <c r="C31" i="61"/>
  <c r="D38" i="61"/>
  <c r="D31" i="61" l="1"/>
  <c r="D66" i="61"/>
  <c r="D40" i="61"/>
  <c r="D75" i="61"/>
  <c r="D70" i="61"/>
  <c r="D68" i="61"/>
  <c r="D65" i="61"/>
  <c r="D69" i="61"/>
  <c r="D67" i="61"/>
  <c r="D42" i="61"/>
  <c r="D30" i="61"/>
  <c r="D36" i="61"/>
  <c r="D39" i="61"/>
  <c r="D37" i="61"/>
  <c r="D77" i="61"/>
  <c r="D29" i="61"/>
  <c r="D94" i="61"/>
  <c r="D76" i="61"/>
  <c r="D43" i="61" l="1"/>
  <c r="C59" i="61" s="1"/>
  <c r="D71" i="61"/>
  <c r="D96" i="61" s="1"/>
  <c r="D32" i="61"/>
  <c r="C58" i="61" s="1"/>
  <c r="D80" i="61"/>
  <c r="C83" i="61" s="1"/>
  <c r="C84" i="61" s="1"/>
  <c r="D97" i="61" s="1"/>
  <c r="D90" i="60"/>
  <c r="D91" i="60" s="1"/>
  <c r="D98" i="60" s="1"/>
  <c r="C80" i="60"/>
  <c r="C69" i="60"/>
  <c r="C71" i="60" s="1"/>
  <c r="D52" i="60"/>
  <c r="D54" i="60" s="1"/>
  <c r="D51" i="60"/>
  <c r="D49" i="60"/>
  <c r="D48" i="60"/>
  <c r="D47" i="60"/>
  <c r="C43" i="60"/>
  <c r="C31" i="60"/>
  <c r="D19" i="60"/>
  <c r="D18" i="60"/>
  <c r="D24" i="60" s="1"/>
  <c r="C61" i="61" l="1"/>
  <c r="D95" i="61" s="1"/>
  <c r="D99" i="61" s="1"/>
  <c r="E23" i="23" s="1"/>
  <c r="F23" i="23" s="1"/>
  <c r="D25" i="60"/>
  <c r="D94" i="60" s="1"/>
  <c r="D55" i="60"/>
  <c r="C60" i="60" s="1"/>
  <c r="D69" i="60" l="1"/>
  <c r="D39" i="60"/>
  <c r="D30" i="60"/>
  <c r="D70" i="60"/>
  <c r="D40" i="60"/>
  <c r="D41" i="60"/>
  <c r="D31" i="60"/>
  <c r="D65" i="60"/>
  <c r="D42" i="60"/>
  <c r="D75" i="60"/>
  <c r="D66" i="60"/>
  <c r="D35" i="60"/>
  <c r="D76" i="60"/>
  <c r="D67" i="60"/>
  <c r="D36" i="60"/>
  <c r="D77" i="60"/>
  <c r="D68" i="60"/>
  <c r="D37" i="60"/>
  <c r="D78" i="60"/>
  <c r="D38" i="60"/>
  <c r="D29" i="60"/>
  <c r="D32" i="60" l="1"/>
  <c r="C58" i="60" s="1"/>
  <c r="D80" i="60"/>
  <c r="C83" i="60" s="1"/>
  <c r="C84" i="60" s="1"/>
  <c r="D97" i="60" s="1"/>
  <c r="D71" i="60"/>
  <c r="D96" i="60" s="1"/>
  <c r="D43" i="60"/>
  <c r="C59" i="60" s="1"/>
  <c r="C61" i="60" l="1"/>
  <c r="D95" i="60" s="1"/>
  <c r="D99" i="60" s="1"/>
  <c r="E22" i="23" s="1"/>
  <c r="F22" i="23" s="1"/>
  <c r="D52" i="58"/>
  <c r="D47" i="58"/>
  <c r="D53" i="59" l="1"/>
  <c r="D47" i="59"/>
  <c r="F37" i="23" l="1"/>
  <c r="E4" i="49" l="1"/>
  <c r="D54" i="58" l="1"/>
  <c r="F52" i="23"/>
  <c r="I4" i="49"/>
  <c r="D53" i="40"/>
  <c r="E53" i="40" s="1"/>
  <c r="E54" i="40" s="1"/>
  <c r="E70" i="40" s="1"/>
  <c r="D70" i="40" s="1"/>
  <c r="F75" i="23"/>
  <c r="F76" i="23"/>
  <c r="F77" i="23"/>
  <c r="F78" i="23"/>
  <c r="F80" i="23"/>
  <c r="F81" i="23"/>
  <c r="F64" i="23"/>
  <c r="F65" i="23"/>
  <c r="F66" i="23"/>
  <c r="F67" i="23"/>
  <c r="F68" i="23"/>
  <c r="F69" i="23"/>
  <c r="F70" i="23"/>
  <c r="F71" i="23"/>
  <c r="F72" i="23"/>
  <c r="F73" i="23"/>
  <c r="F74" i="23"/>
  <c r="F63" i="23"/>
  <c r="D53" i="57"/>
  <c r="D53" i="15"/>
  <c r="D53" i="38"/>
  <c r="D99" i="57"/>
  <c r="D90" i="57"/>
  <c r="D91" i="57" s="1"/>
  <c r="C98" i="57" s="1"/>
  <c r="C80" i="57"/>
  <c r="C69" i="57"/>
  <c r="C71" i="57" s="1"/>
  <c r="D52" i="57"/>
  <c r="D51" i="57"/>
  <c r="D50" i="57"/>
  <c r="D49" i="57"/>
  <c r="D48" i="57"/>
  <c r="D47" i="57"/>
  <c r="C43" i="57"/>
  <c r="C31" i="57"/>
  <c r="D19" i="57"/>
  <c r="D18" i="57"/>
  <c r="D99" i="59"/>
  <c r="D90" i="59"/>
  <c r="D91" i="59" s="1"/>
  <c r="C98" i="59" s="1"/>
  <c r="C80" i="59"/>
  <c r="D51" i="59"/>
  <c r="D49" i="59"/>
  <c r="D48" i="59"/>
  <c r="D54" i="59"/>
  <c r="D55" i="59" s="1"/>
  <c r="C60" i="59" s="1"/>
  <c r="C43" i="59"/>
  <c r="C31" i="59"/>
  <c r="D19" i="59"/>
  <c r="D18" i="59"/>
  <c r="D99" i="58"/>
  <c r="D90" i="58"/>
  <c r="D91" i="58" s="1"/>
  <c r="C98" i="58" s="1"/>
  <c r="C80" i="58"/>
  <c r="D51" i="58"/>
  <c r="D49" i="58"/>
  <c r="D48" i="58"/>
  <c r="C43" i="58"/>
  <c r="C69" i="58" s="1"/>
  <c r="C71" i="58" s="1"/>
  <c r="D19" i="58"/>
  <c r="D18" i="58"/>
  <c r="D24" i="58" s="1"/>
  <c r="C69" i="59"/>
  <c r="C71" i="59"/>
  <c r="C31" i="58"/>
  <c r="D19" i="15"/>
  <c r="E40" i="44"/>
  <c r="F42" i="23"/>
  <c r="G4" i="49"/>
  <c r="I6" i="49"/>
  <c r="I5" i="49"/>
  <c r="G5" i="49"/>
  <c r="G6" i="49"/>
  <c r="E5" i="49"/>
  <c r="E6" i="49"/>
  <c r="H5" i="49"/>
  <c r="H6" i="49"/>
  <c r="F57" i="23"/>
  <c r="D99" i="53"/>
  <c r="D90" i="53"/>
  <c r="D91" i="53" s="1"/>
  <c r="C98" i="53" s="1"/>
  <c r="C80" i="53"/>
  <c r="D54" i="53"/>
  <c r="D55" i="53" s="1"/>
  <c r="C60" i="53" s="1"/>
  <c r="C43" i="53"/>
  <c r="C31" i="53"/>
  <c r="D19" i="53"/>
  <c r="D18" i="53"/>
  <c r="D24" i="53" s="1"/>
  <c r="E35" i="40"/>
  <c r="E22" i="40"/>
  <c r="E24" i="40" s="1"/>
  <c r="E25" i="40" s="1"/>
  <c r="E66" i="40" s="1"/>
  <c r="D66" i="40" s="1"/>
  <c r="E33" i="44"/>
  <c r="E20" i="44"/>
  <c r="E22" i="44" s="1"/>
  <c r="E23" i="44" s="1"/>
  <c r="E27" i="44" s="1"/>
  <c r="E28" i="44" s="1"/>
  <c r="E65" i="44" s="1"/>
  <c r="D65" i="44" s="1"/>
  <c r="D99" i="37"/>
  <c r="D90" i="37"/>
  <c r="D91" i="37" s="1"/>
  <c r="C98" i="37" s="1"/>
  <c r="C80" i="37"/>
  <c r="D52" i="37"/>
  <c r="D51" i="37"/>
  <c r="D50" i="37"/>
  <c r="D49" i="37"/>
  <c r="D48" i="37"/>
  <c r="D47" i="37"/>
  <c r="D54" i="37" s="1"/>
  <c r="D55" i="37" s="1"/>
  <c r="C60" i="37" s="1"/>
  <c r="C43" i="37"/>
  <c r="C69" i="37"/>
  <c r="C71" i="37"/>
  <c r="D19" i="37"/>
  <c r="D18" i="37"/>
  <c r="D90" i="15"/>
  <c r="D91" i="15" s="1"/>
  <c r="C98" i="15" s="1"/>
  <c r="C80" i="15"/>
  <c r="D52" i="15"/>
  <c r="D51" i="15"/>
  <c r="D50" i="15"/>
  <c r="D49" i="15"/>
  <c r="D48" i="15"/>
  <c r="D47" i="15"/>
  <c r="C43" i="15"/>
  <c r="C69" i="15" s="1"/>
  <c r="C71" i="15" s="1"/>
  <c r="D18" i="15"/>
  <c r="D24" i="15" s="1"/>
  <c r="D25" i="15" s="1"/>
  <c r="D99" i="38"/>
  <c r="D90" i="38"/>
  <c r="D91" i="38" s="1"/>
  <c r="C98" i="38" s="1"/>
  <c r="C80" i="38"/>
  <c r="D52" i="38"/>
  <c r="D51" i="38"/>
  <c r="D50" i="38"/>
  <c r="D49" i="38"/>
  <c r="D48" i="38"/>
  <c r="D47" i="38"/>
  <c r="C43" i="38"/>
  <c r="C31" i="38"/>
  <c r="D18" i="38"/>
  <c r="E34" i="40"/>
  <c r="D24" i="38"/>
  <c r="D25" i="38" s="1"/>
  <c r="E51" i="40"/>
  <c r="C69" i="38"/>
  <c r="C71" i="38" s="1"/>
  <c r="E44" i="40"/>
  <c r="E45" i="40" s="1"/>
  <c r="E69" i="40" s="1"/>
  <c r="D69" i="40" s="1"/>
  <c r="D24" i="37"/>
  <c r="D25" i="37" s="1"/>
  <c r="C69" i="53"/>
  <c r="C71" i="53"/>
  <c r="C31" i="37"/>
  <c r="D54" i="57" l="1"/>
  <c r="D55" i="57" s="1"/>
  <c r="C60" i="57" s="1"/>
  <c r="D24" i="57"/>
  <c r="D25" i="57" s="1"/>
  <c r="D54" i="15"/>
  <c r="D55" i="15" s="1"/>
  <c r="C60" i="15" s="1"/>
  <c r="D54" i="38"/>
  <c r="D55" i="38" s="1"/>
  <c r="C60" i="38" s="1"/>
  <c r="D29" i="38"/>
  <c r="D76" i="38"/>
  <c r="D38" i="38"/>
  <c r="D31" i="38"/>
  <c r="D36" i="38"/>
  <c r="D69" i="38"/>
  <c r="D65" i="38"/>
  <c r="D68" i="38"/>
  <c r="D41" i="38"/>
  <c r="D77" i="38"/>
  <c r="D37" i="38"/>
  <c r="D42" i="38"/>
  <c r="D66" i="37"/>
  <c r="D38" i="37"/>
  <c r="D42" i="37"/>
  <c r="D35" i="37"/>
  <c r="D36" i="37"/>
  <c r="C94" i="37"/>
  <c r="D39" i="37"/>
  <c r="D76" i="37"/>
  <c r="D77" i="37"/>
  <c r="D67" i="37"/>
  <c r="D70" i="37"/>
  <c r="D41" i="37"/>
  <c r="D78" i="37"/>
  <c r="D37" i="37"/>
  <c r="D69" i="37"/>
  <c r="D40" i="37"/>
  <c r="D31" i="37"/>
  <c r="D68" i="37"/>
  <c r="D29" i="37"/>
  <c r="D30" i="37"/>
  <c r="D65" i="37"/>
  <c r="D75" i="37"/>
  <c r="D25" i="53"/>
  <c r="E36" i="40"/>
  <c r="E68" i="40" s="1"/>
  <c r="D68" i="40" s="1"/>
  <c r="C31" i="15"/>
  <c r="J6" i="49"/>
  <c r="J5" i="49"/>
  <c r="E39" i="23" s="1"/>
  <c r="F39" i="23" s="1"/>
  <c r="D55" i="58"/>
  <c r="C60" i="58" s="1"/>
  <c r="E10" i="44"/>
  <c r="D51" i="44" s="1"/>
  <c r="C94" i="38"/>
  <c r="D39" i="38"/>
  <c r="D35" i="38"/>
  <c r="D40" i="38"/>
  <c r="D70" i="38"/>
  <c r="D67" i="38"/>
  <c r="D78" i="38"/>
  <c r="D30" i="38"/>
  <c r="D32" i="38" s="1"/>
  <c r="C58" i="38" s="1"/>
  <c r="D66" i="38"/>
  <c r="D75" i="38"/>
  <c r="D80" i="38" s="1"/>
  <c r="C83" i="38" s="1"/>
  <c r="C84" i="38" s="1"/>
  <c r="C97" i="38" s="1"/>
  <c r="D24" i="59"/>
  <c r="D25" i="59" s="1"/>
  <c r="D68" i="15"/>
  <c r="D42" i="15"/>
  <c r="D67" i="15"/>
  <c r="D31" i="15"/>
  <c r="D75" i="15"/>
  <c r="D37" i="15"/>
  <c r="C94" i="15"/>
  <c r="D30" i="15"/>
  <c r="D77" i="15"/>
  <c r="D70" i="15"/>
  <c r="D76" i="15"/>
  <c r="D36" i="15"/>
  <c r="D38" i="15"/>
  <c r="D41" i="15"/>
  <c r="D65" i="15"/>
  <c r="D69" i="15"/>
  <c r="D39" i="15"/>
  <c r="D29" i="15"/>
  <c r="D66" i="15"/>
  <c r="D78" i="15"/>
  <c r="D40" i="15"/>
  <c r="D35" i="15"/>
  <c r="D25" i="58"/>
  <c r="E29" i="40"/>
  <c r="E30" i="40" s="1"/>
  <c r="E67" i="40" s="1"/>
  <c r="D67" i="40" s="1"/>
  <c r="E64" i="44"/>
  <c r="D64" i="44" s="1"/>
  <c r="F82" i="23"/>
  <c r="F83" i="23" s="1"/>
  <c r="F53" i="23"/>
  <c r="F58" i="23"/>
  <c r="F59" i="23" s="1"/>
  <c r="D60" i="40"/>
  <c r="E60" i="40" s="1"/>
  <c r="C6" i="54" s="1"/>
  <c r="D6" i="54" s="1"/>
  <c r="E11" i="40"/>
  <c r="E15" i="40" s="1"/>
  <c r="E17" i="40" s="1"/>
  <c r="E65" i="40" s="1"/>
  <c r="E11" i="44"/>
  <c r="E15" i="44" s="1"/>
  <c r="E16" i="44" s="1"/>
  <c r="E63" i="44" s="1"/>
  <c r="D63" i="44" s="1"/>
  <c r="E49" i="44"/>
  <c r="D42" i="44"/>
  <c r="E42" i="44" s="1"/>
  <c r="E43" i="44" s="1"/>
  <c r="E67" i="44" s="1"/>
  <c r="D67" i="44" s="1"/>
  <c r="F38" i="23"/>
  <c r="E38" i="23"/>
  <c r="J4" i="49"/>
  <c r="F36" i="23" s="1"/>
  <c r="D43" i="37" l="1"/>
  <c r="C59" i="37" s="1"/>
  <c r="D32" i="37"/>
  <c r="C58" i="37" s="1"/>
  <c r="D32" i="15"/>
  <c r="C58" i="15" s="1"/>
  <c r="C61" i="15" s="1"/>
  <c r="C95" i="15" s="1"/>
  <c r="E32" i="44"/>
  <c r="E34" i="44" s="1"/>
  <c r="E66" i="44" s="1"/>
  <c r="D66" i="44" s="1"/>
  <c r="D70" i="53"/>
  <c r="D42" i="53"/>
  <c r="D69" i="53"/>
  <c r="D78" i="53"/>
  <c r="D76" i="53"/>
  <c r="D29" i="53"/>
  <c r="D31" i="53"/>
  <c r="D35" i="53"/>
  <c r="D36" i="53"/>
  <c r="D65" i="53"/>
  <c r="D37" i="53"/>
  <c r="D38" i="53"/>
  <c r="D40" i="53"/>
  <c r="D67" i="53"/>
  <c r="D77" i="53"/>
  <c r="D68" i="53"/>
  <c r="D41" i="53"/>
  <c r="D75" i="53"/>
  <c r="D39" i="53"/>
  <c r="D30" i="53"/>
  <c r="D66" i="53"/>
  <c r="C94" i="53"/>
  <c r="D77" i="57"/>
  <c r="D68" i="57"/>
  <c r="D78" i="57"/>
  <c r="D36" i="57"/>
  <c r="D65" i="57"/>
  <c r="D66" i="57"/>
  <c r="D76" i="57"/>
  <c r="D29" i="57"/>
  <c r="D69" i="57"/>
  <c r="D41" i="57"/>
  <c r="D70" i="57"/>
  <c r="D30" i="57"/>
  <c r="D39" i="57"/>
  <c r="D67" i="57"/>
  <c r="D37" i="57"/>
  <c r="C94" i="57"/>
  <c r="D35" i="57"/>
  <c r="D42" i="57"/>
  <c r="D38" i="57"/>
  <c r="D75" i="57"/>
  <c r="D31" i="57"/>
  <c r="D40" i="57"/>
  <c r="D80" i="37"/>
  <c r="C83" i="37" s="1"/>
  <c r="C84" i="37" s="1"/>
  <c r="C97" i="37" s="1"/>
  <c r="D43" i="15"/>
  <c r="C59" i="15" s="1"/>
  <c r="D71" i="37"/>
  <c r="C96" i="37" s="1"/>
  <c r="D71" i="38"/>
  <c r="C96" i="38" s="1"/>
  <c r="D43" i="38"/>
  <c r="C59" i="38" s="1"/>
  <c r="C61" i="38" s="1"/>
  <c r="C95" i="38" s="1"/>
  <c r="E61" i="40"/>
  <c r="E71" i="40" s="1"/>
  <c r="D71" i="40" s="1"/>
  <c r="E18" i="40"/>
  <c r="D17" i="40"/>
  <c r="D69" i="59"/>
  <c r="D30" i="59"/>
  <c r="D38" i="59"/>
  <c r="D75" i="59"/>
  <c r="D31" i="59"/>
  <c r="D40" i="59"/>
  <c r="D36" i="59"/>
  <c r="D77" i="59"/>
  <c r="D35" i="59"/>
  <c r="D42" i="59"/>
  <c r="D78" i="59"/>
  <c r="C94" i="59"/>
  <c r="D37" i="59"/>
  <c r="D65" i="59"/>
  <c r="D39" i="59"/>
  <c r="D67" i="59"/>
  <c r="D41" i="59"/>
  <c r="D70" i="59"/>
  <c r="D66" i="59"/>
  <c r="D76" i="59"/>
  <c r="D29" i="59"/>
  <c r="D68" i="59"/>
  <c r="D71" i="15"/>
  <c r="C96" i="15" s="1"/>
  <c r="D80" i="15"/>
  <c r="C83" i="15" s="1"/>
  <c r="C84" i="15" s="1"/>
  <c r="C97" i="15" s="1"/>
  <c r="D78" i="58"/>
  <c r="D70" i="58"/>
  <c r="D65" i="58"/>
  <c r="D40" i="58"/>
  <c r="D36" i="58"/>
  <c r="C94" i="58"/>
  <c r="D75" i="58"/>
  <c r="D68" i="58"/>
  <c r="D41" i="58"/>
  <c r="D37" i="58"/>
  <c r="D31" i="58"/>
  <c r="D76" i="58"/>
  <c r="D67" i="58"/>
  <c r="D42" i="58"/>
  <c r="D38" i="58"/>
  <c r="D29" i="58"/>
  <c r="D77" i="58"/>
  <c r="D69" i="58"/>
  <c r="D66" i="58"/>
  <c r="D39" i="58"/>
  <c r="D35" i="58"/>
  <c r="D30" i="58"/>
  <c r="D58" i="44"/>
  <c r="E58" i="44" s="1"/>
  <c r="E59" i="44" s="1"/>
  <c r="E51" i="44"/>
  <c r="E52" i="44" s="1"/>
  <c r="E68" i="44" s="1"/>
  <c r="D68" i="44" s="1"/>
  <c r="D65" i="40"/>
  <c r="E36" i="23"/>
  <c r="F43" i="23"/>
  <c r="F44" i="23" s="1"/>
  <c r="D32" i="57" l="1"/>
  <c r="C58" i="57" s="1"/>
  <c r="D71" i="57"/>
  <c r="C96" i="57" s="1"/>
  <c r="D80" i="53"/>
  <c r="C83" i="53" s="1"/>
  <c r="C84" i="53" s="1"/>
  <c r="C97" i="53" s="1"/>
  <c r="D71" i="53"/>
  <c r="C96" i="53" s="1"/>
  <c r="C99" i="38"/>
  <c r="E15" i="23" s="1"/>
  <c r="F15" i="23" s="1"/>
  <c r="D43" i="53"/>
  <c r="C59" i="53" s="1"/>
  <c r="D43" i="57"/>
  <c r="C59" i="57" s="1"/>
  <c r="C61" i="57"/>
  <c r="C95" i="57" s="1"/>
  <c r="C99" i="57" s="1"/>
  <c r="E19" i="23" s="1"/>
  <c r="F19" i="23" s="1"/>
  <c r="D32" i="53"/>
  <c r="C58" i="53" s="1"/>
  <c r="C61" i="53" s="1"/>
  <c r="C95" i="53" s="1"/>
  <c r="C99" i="53" s="1"/>
  <c r="E20" i="23" s="1"/>
  <c r="F20" i="23" s="1"/>
  <c r="C61" i="37"/>
  <c r="C95" i="37" s="1"/>
  <c r="C99" i="37" s="1"/>
  <c r="E21" i="23" s="1"/>
  <c r="F21" i="23" s="1"/>
  <c r="D43" i="59"/>
  <c r="C59" i="59" s="1"/>
  <c r="D80" i="57"/>
  <c r="C83" i="57" s="1"/>
  <c r="C84" i="57" s="1"/>
  <c r="C97" i="57" s="1"/>
  <c r="E72" i="40"/>
  <c r="E29" i="23" s="1"/>
  <c r="F29" i="23" s="1"/>
  <c r="D80" i="59"/>
  <c r="C83" i="59" s="1"/>
  <c r="C84" i="59" s="1"/>
  <c r="C97" i="59" s="1"/>
  <c r="D32" i="59"/>
  <c r="C58" i="59" s="1"/>
  <c r="D71" i="59"/>
  <c r="C96" i="59" s="1"/>
  <c r="C99" i="15"/>
  <c r="E16" i="23" s="1"/>
  <c r="F16" i="23" s="1"/>
  <c r="D32" i="58"/>
  <c r="C58" i="58" s="1"/>
  <c r="D43" i="58"/>
  <c r="C59" i="58" s="1"/>
  <c r="D80" i="58"/>
  <c r="C83" i="58" s="1"/>
  <c r="C84" i="58" s="1"/>
  <c r="C97" i="58" s="1"/>
  <c r="D71" i="58"/>
  <c r="C96" i="58" s="1"/>
  <c r="E69" i="44"/>
  <c r="D69" i="44" s="1"/>
  <c r="C5" i="54"/>
  <c r="D5" i="54" s="1"/>
  <c r="D8" i="54" s="1"/>
  <c r="C61" i="59" l="1"/>
  <c r="C95" i="59" s="1"/>
  <c r="C99" i="59" s="1"/>
  <c r="E18" i="23" s="1"/>
  <c r="F18" i="23" s="1"/>
  <c r="C61" i="58"/>
  <c r="C95" i="58" s="1"/>
  <c r="C99" i="58" s="1"/>
  <c r="E17" i="23" s="1"/>
  <c r="F17" i="23" s="1"/>
  <c r="E70" i="44"/>
  <c r="E28" i="23" s="1"/>
  <c r="F28" i="23" s="1"/>
  <c r="F31" i="23" s="1"/>
  <c r="F32" i="23" s="1"/>
  <c r="F24" i="23" l="1"/>
  <c r="F85" i="23" s="1"/>
  <c r="E90" i="23" s="1"/>
  <c r="F90" i="23" s="1"/>
  <c r="E89" i="23" l="1"/>
  <c r="F89" i="23" s="1"/>
  <c r="F91" i="23" s="1"/>
  <c r="E94" i="23" l="1"/>
  <c r="F94" i="23" s="1"/>
  <c r="F95" i="23" s="1"/>
  <c r="F105" i="23" s="1"/>
  <c r="E99" i="23" l="1"/>
  <c r="F99" i="23" s="1"/>
  <c r="E98" i="23"/>
  <c r="F98" i="23" s="1"/>
  <c r="E100" i="23"/>
  <c r="F100" i="23" s="1"/>
  <c r="F101" i="23" l="1"/>
  <c r="F103" i="23" s="1"/>
</calcChain>
</file>

<file path=xl/sharedStrings.xml><?xml version="1.0" encoding="utf-8"?>
<sst xmlns="http://schemas.openxmlformats.org/spreadsheetml/2006/main" count="2416" uniqueCount="492">
  <si>
    <t>MEMÓRIA DE CÁLCULO</t>
  </si>
  <si>
    <t>FUNDAMENTO</t>
  </si>
  <si>
    <t>Art. 22, Inciso I, da Lei nº 8.212/91.</t>
  </si>
  <si>
    <t>Art. 3º, Lei n.º 8.036/90.</t>
  </si>
  <si>
    <t>Decreto n.º 2.318/86.</t>
  </si>
  <si>
    <t>Lei n.º 7.787/89 e DL n.º 1.146/70.</t>
  </si>
  <si>
    <t>Art. 8º, Lei n.º 8.029/90 e Lei n.º 8.154/90.</t>
  </si>
  <si>
    <t>Art. 3º, Inciso I, Decreto n.º 87.043/82.</t>
  </si>
  <si>
    <t>[(1/12)x100] = 8,333%</t>
  </si>
  <si>
    <t>COMPANHIA MUNICIPAL DE TRÂNSITO E URBANIZAÇÃO DE LONDRINA</t>
  </si>
  <si>
    <t>DESCRIÇÃO</t>
  </si>
  <si>
    <t>%</t>
  </si>
  <si>
    <t>PLANILHA DE CUSTOS E FORMAÇÃO DE PREÇOS</t>
  </si>
  <si>
    <t>Mês de Referência</t>
  </si>
  <si>
    <t>Município/UF</t>
  </si>
  <si>
    <t>Londrina/PR</t>
  </si>
  <si>
    <t>Acordo, Convenção ou Sentença Normativa em Dissídio Coletivo</t>
  </si>
  <si>
    <t>Data base da categoria</t>
  </si>
  <si>
    <t>Nº de meses de execução contratual</t>
  </si>
  <si>
    <t>IDENTIFICAÇÃO DO SERVIÇO</t>
  </si>
  <si>
    <t>COMPOSIÇÃO DA REMUNERAÇÃO</t>
  </si>
  <si>
    <t>Valor R$</t>
  </si>
  <si>
    <t>Salário Base</t>
  </si>
  <si>
    <t>Adicional de Assiduidade</t>
  </si>
  <si>
    <t>Adicional de Risco</t>
  </si>
  <si>
    <t>Adicional Noturno</t>
  </si>
  <si>
    <t>Adicional de Hora Extra</t>
  </si>
  <si>
    <t>Descanso Semanal Remunerado</t>
  </si>
  <si>
    <t>Outros</t>
  </si>
  <si>
    <t>TOTAL DA REMUNERAÇÃO</t>
  </si>
  <si>
    <t>Transporte</t>
  </si>
  <si>
    <t>Auxílio Alimentação (vales,cestas básica,etc)</t>
  </si>
  <si>
    <t>Assistência Médica e Familiar</t>
  </si>
  <si>
    <t>Benefício Apoio Familiar</t>
  </si>
  <si>
    <t>Seguro de vida, invalidez e funeral</t>
  </si>
  <si>
    <t>Fundo de formação profissional</t>
  </si>
  <si>
    <t>TOTAL DE INSUMOS</t>
  </si>
  <si>
    <t>Valor (R$)</t>
  </si>
  <si>
    <t>INSS</t>
  </si>
  <si>
    <t>FGTS</t>
  </si>
  <si>
    <t>SESI OU SESC</t>
  </si>
  <si>
    <t>SENAI OU SENAC</t>
  </si>
  <si>
    <t>SEBRAE</t>
  </si>
  <si>
    <t>INCRA</t>
  </si>
  <si>
    <t>SALÁRIO EDUCAÇÃO</t>
  </si>
  <si>
    <t>13º salário</t>
  </si>
  <si>
    <t>Aviso Prévio Trabalhado</t>
  </si>
  <si>
    <t>Art. 15, Lei nº 8.030/90 e Art. 7º, III, CF/88</t>
  </si>
  <si>
    <t>{[(1/30) x 15] / 12} x (0,0122) = 0,051%</t>
  </si>
  <si>
    <t xml:space="preserve">Estimativa de 1,4947 ausências por ano, de acordo com a IN 2/2008-MPOG. </t>
  </si>
  <si>
    <t>Estimativa de 1,416% (taxa de natalidade da população brasileira/IBGE) de empregadas usufruindo 4 meses de licença por ano.</t>
  </si>
  <si>
    <t>Aviso Prévio Indenizado</t>
  </si>
  <si>
    <t>Férias e terço constitucional de férias</t>
  </si>
  <si>
    <t>Incidência do FGTS sobre aviso prévio Indenizado</t>
  </si>
  <si>
    <t>Multa sobre FGTS e contribuições sociais sobre aviso prévio indenizado</t>
  </si>
  <si>
    <t>Anexo V do Decreto n.º 3.048/1999 e Decreto n.º 6.957/2009</t>
  </si>
  <si>
    <t>{[(1+1/3)/12]x100} = 11,111%</t>
  </si>
  <si>
    <t>(A) MÃO DE OBRA</t>
  </si>
  <si>
    <t xml:space="preserve">UNID. </t>
  </si>
  <si>
    <t>PREÇO UNITÁRIO</t>
  </si>
  <si>
    <t>SUBTOTAL</t>
  </si>
  <si>
    <t>SOMA</t>
  </si>
  <si>
    <t>CUSTOS INDIRETOS</t>
  </si>
  <si>
    <t>LUCRO BRUTO</t>
  </si>
  <si>
    <t>TRIBUTOS</t>
  </si>
  <si>
    <t>ISS</t>
  </si>
  <si>
    <t>Art. 7º, XIX, CF/88 e 10, §1º, da ADCT -  - Planilha MODELO TCU - DIRETORIA DE LICITAÇÕES</t>
  </si>
  <si>
    <t>Art. 19 a 23 da Lei nº 8.213/91 -  - Planilha MODELO TCU - DIRETORIA DE LICITAÇÕES</t>
  </si>
  <si>
    <t>COMPOSIÇÃO DE PREÇOS UNITÁRIOS MENSAIS</t>
  </si>
  <si>
    <t>[(0,0833 x 0,01416 x 4/12) x 100] = 0,039%</t>
  </si>
  <si>
    <t>Art. 7º, XVII, CF/88 Cálculo retirado da Planilha MODELO TCU - DIRETORIA DE LICITAÇÕES</t>
  </si>
  <si>
    <t>Art. 71 da Lei n.º 8.213/1991 . Impacto do item férias sobre a licença maternidade - Cálculo retirado da Planilha MODELO TCU - DIRETORIA DE LICITAÇÕES</t>
  </si>
  <si>
    <t>Art. 7º, VIII, CF/88  - Cálculo retirado da Planilha MODELO TCU - DIRETORIA DE LICITAÇÕES</t>
  </si>
  <si>
    <t>Estimativa de 1 licença de 15 dias por ano para 1,22% dos empregados. Esta taxa foi obtida pela proporção de acidentes de trabalho registrados, 717.911, conforme dados do Anuário Estatístico da Previdência Social – AEPS/2013, em relação a 58.981.000 de trabalhadores que fazem jus a emissão da CAT (trabalhadores com carteira assinada, outros tipos de trabalhadores e domésticas), conforme dados da PNAD 2013.</t>
  </si>
  <si>
    <t xml:space="preserve">Estimativa de 1,416% (taxa de natalidade da população brasileira/IBGE) dos empregados usufruindo 5 dias da licença por ano. </t>
  </si>
  <si>
    <t xml:space="preserve">1 salário dividido por 12 meses de contrato. </t>
  </si>
  <si>
    <t xml:space="preserve">Redução de 7 dias para 100% dos empregados. Relativos a 12 meses de contrato. </t>
  </si>
  <si>
    <t xml:space="preserve">IMPORTANTE: o detalhamento da descrição de todos os itens da presente planilha, constam no Termo de Referência e devem ser considerados para a composição de custos. </t>
  </si>
  <si>
    <t xml:space="preserve">Os itens a serem cotados estão descritos no Termo de Referência. </t>
  </si>
  <si>
    <t>SOMA DOS CUSTOS DIRETOS  DOS SERVIÇOS</t>
  </si>
  <si>
    <t>SOMA DOS CUSTO INDIRETOS,  LUCRO E TRIBUTOS</t>
  </si>
  <si>
    <t xml:space="preserve">1 salário dividido por 12 meses de contrato, acrescido de 1/3 de férias. </t>
  </si>
  <si>
    <r>
      <t xml:space="preserve">Taxa de Rateio de Administração Central  </t>
    </r>
    <r>
      <rPr>
        <b/>
        <sz val="8"/>
        <rFont val="Calibri (Corpo)"/>
      </rPr>
      <t>(NOTA 1 - AO FINAL DA PLANILHA)</t>
    </r>
  </si>
  <si>
    <t>Convenção Coletiva de Trabalho</t>
  </si>
  <si>
    <t>CBO</t>
  </si>
  <si>
    <t>Adicional de Hora Noturna Reduzida</t>
  </si>
  <si>
    <t>MÓDULO 1 - COMPOSIÇÃO DA REMUNERAÇÃO</t>
  </si>
  <si>
    <t>MÓDULO 2 - ENCARGOS E BENEFÍCIOS ANUAIS, MENSAIS E DIÁRIOS</t>
  </si>
  <si>
    <t>2.1</t>
  </si>
  <si>
    <t>2.2</t>
  </si>
  <si>
    <t>2.3</t>
  </si>
  <si>
    <t>BENEFÍCIOS MENSAIS E DIÁRIOS</t>
  </si>
  <si>
    <t>13º SALÁRIO, FÉRIAS E ADICIONAL DE FÉRIAS</t>
  </si>
  <si>
    <t>QUADRO-RESUMO DO MÓDULO 2- ENCARGOS E BENEFÍCIOS ANUAIS, MENSAIS E DIÁRIOS</t>
  </si>
  <si>
    <t>GPS, FGTS E OUTRAS CONTRIBUIÇÕES</t>
  </si>
  <si>
    <t>TOTAL</t>
  </si>
  <si>
    <t>MÓDULO 3 - PROVISÃO PARA RESCISÃO</t>
  </si>
  <si>
    <t>Incidência do Submódulo 2.2 sobre o aviso prévio trabalhado</t>
  </si>
  <si>
    <t>PROVISÃO PARA RESCISÃO</t>
  </si>
  <si>
    <t>MÓDULO 4 - CUSTO DE REPOSIÇÃO DO PROFISSIONAL AUSENTE</t>
  </si>
  <si>
    <t>Outros (especificar)</t>
  </si>
  <si>
    <t>Incidência do Sub-módulo 2.2</t>
  </si>
  <si>
    <t>SAT - VER NOTA EXPLICATIVA 1*</t>
  </si>
  <si>
    <t>4.1</t>
  </si>
  <si>
    <t>SUB-MÓDULO 2.1 - 13º SALÁRIO, FÉRIAS E ADICIONAL DE FÉRIAS</t>
  </si>
  <si>
    <t>SUB-MÓDULO 2.2 - GPS, FGTS E OUTRAS CONTRIBUIÇÕES</t>
  </si>
  <si>
    <t>SUB-MÓDULO 2.3 - BENEFÍCIOS MENSAIS E DIÁRIOS</t>
  </si>
  <si>
    <t xml:space="preserve">TOTAL SUB-MÓDULO </t>
  </si>
  <si>
    <t>MÓDULO 5 - INSUMOS DIVERSOS</t>
  </si>
  <si>
    <t xml:space="preserve"> INSUMOS DIVERSOS</t>
  </si>
  <si>
    <t>QUADRO-RESUMO POR CUSTO DO EMPREGADO</t>
  </si>
  <si>
    <t>AUSÊNCIAS LEGAIS</t>
  </si>
  <si>
    <t>MATERIAIS</t>
  </si>
  <si>
    <t>PREÇO MENSAL</t>
  </si>
  <si>
    <t>vb/mês</t>
  </si>
  <si>
    <t>5142-25</t>
  </si>
  <si>
    <t>(0,0833+0,1111)x0,3680= 0,0715x100=7,15%</t>
  </si>
  <si>
    <t>(0,00417x0,08)x100 = 0,033%</t>
  </si>
  <si>
    <t>[(1/ 30) x 1,4947] / 12 = 0,415%</t>
  </si>
  <si>
    <t>{[(1/30) x 5] / 12} x 1,416% = 0,020%</t>
  </si>
  <si>
    <t>Uniformes</t>
  </si>
  <si>
    <t xml:space="preserve">EPI's </t>
  </si>
  <si>
    <t>KM RODADOS POR MÊS:</t>
  </si>
  <si>
    <t>1. VALOR DO CHASSI</t>
  </si>
  <si>
    <t>REFERÊNCIA</t>
  </si>
  <si>
    <t>ITEM</t>
  </si>
  <si>
    <t>DESCRITIVO</t>
  </si>
  <si>
    <t>VALOR R$</t>
  </si>
  <si>
    <t>1.1</t>
  </si>
  <si>
    <t>Valor Inicial</t>
  </si>
  <si>
    <t>1.2</t>
  </si>
  <si>
    <t>3.1</t>
  </si>
  <si>
    <t>VALOR KM RODADO</t>
  </si>
  <si>
    <t>5.1</t>
  </si>
  <si>
    <t>% ou R$</t>
  </si>
  <si>
    <t>7.1</t>
  </si>
  <si>
    <t>IPVA</t>
  </si>
  <si>
    <t>7.2</t>
  </si>
  <si>
    <t>Seguro Obrigatório</t>
  </si>
  <si>
    <t>8.1</t>
  </si>
  <si>
    <t>VALOR UNITÁRIO</t>
  </si>
  <si>
    <t>8.2</t>
  </si>
  <si>
    <t>CUSTO ANUAL</t>
  </si>
  <si>
    <t>Custo da Rodagem</t>
  </si>
  <si>
    <t>Depreciação</t>
  </si>
  <si>
    <t>VALOR MENSAL</t>
  </si>
  <si>
    <t>Manutenção</t>
  </si>
  <si>
    <t>Combustível</t>
  </si>
  <si>
    <t>Lubrificante, Filtros e Graxas</t>
  </si>
  <si>
    <t>Impostos e Seguros</t>
  </si>
  <si>
    <t>Rodagem</t>
  </si>
  <si>
    <t xml:space="preserve">HORAS TRABALHADAS POR MÊS: </t>
  </si>
  <si>
    <t>VALOR ANUAL</t>
  </si>
  <si>
    <t>Custo de Manutenção</t>
  </si>
  <si>
    <t>KM/L</t>
  </si>
  <si>
    <t>R$/DIESEL</t>
  </si>
  <si>
    <t>Custo Unitário</t>
  </si>
  <si>
    <t xml:space="preserve"> QTD. TROCAS ANUAL </t>
  </si>
  <si>
    <t xml:space="preserve"> VALOR TOTAL </t>
  </si>
  <si>
    <t xml:space="preserve"> CUSTO MENSAL </t>
  </si>
  <si>
    <t xml:space="preserve"> Selic </t>
  </si>
  <si>
    <t xml:space="preserve"> VALOR MENSAL </t>
  </si>
  <si>
    <t>(B) VEÍCULOS - INCLUSAS TODAS AS DEPESAS DE OPERAÇÃO E MANUTENÇÃO, EXCETO MOTORISTA</t>
  </si>
  <si>
    <t xml:space="preserve">QTD. </t>
  </si>
  <si>
    <t>unid./mês</t>
  </si>
  <si>
    <r>
      <t>(G) VALOR TOTAL MENSAL</t>
    </r>
    <r>
      <rPr>
        <b/>
        <sz val="8"/>
        <rFont val="Calibri (Corpo)"/>
      </rPr>
      <t xml:space="preserve"> </t>
    </r>
  </si>
  <si>
    <t>lts/mês</t>
  </si>
  <si>
    <t>Cone para sinalização, laranja e branco, 50 cm</t>
  </si>
  <si>
    <t>Foice, cabo 120 cm, cabo madeira</t>
  </si>
  <si>
    <t>Forcado reto, arame, 4 dentes, cabo madeira</t>
  </si>
  <si>
    <t>Descrição</t>
  </si>
  <si>
    <t>Valor</t>
  </si>
  <si>
    <t>Vida Útil em Meses</t>
  </si>
  <si>
    <t>Depreciação Mensal</t>
  </si>
  <si>
    <t>Fonte</t>
  </si>
  <si>
    <t>3. CUSTO DE COMBUSTÍVEL</t>
  </si>
  <si>
    <t>3.2</t>
  </si>
  <si>
    <t>5. CUSTO DE IMPOSTOS E SEGUROS</t>
  </si>
  <si>
    <t>5.2</t>
  </si>
  <si>
    <t>6. CUSTO DE RODAGEM</t>
  </si>
  <si>
    <t>6.1</t>
  </si>
  <si>
    <t>6.2</t>
  </si>
  <si>
    <t>7.3</t>
  </si>
  <si>
    <t>Custo Mensal</t>
  </si>
  <si>
    <t>Taxa de Manutenção Mensal</t>
  </si>
  <si>
    <t>4. CUSTO COM LUBRIFICANTE, FILTROS, GRAXAS E LAVAGENS</t>
  </si>
  <si>
    <r>
      <t xml:space="preserve">Taxa de Seguro  </t>
    </r>
    <r>
      <rPr>
        <b/>
        <sz val="8"/>
        <rFont val="Calibri (Corpo)"/>
      </rPr>
      <t>(NOTA 1 - AO FINAL DA PLANILHA)</t>
    </r>
  </si>
  <si>
    <r>
      <t>Lucro Bruto</t>
    </r>
    <r>
      <rPr>
        <b/>
        <sz val="8"/>
        <rFont val="Calibri (Corpo)"/>
      </rPr>
      <t xml:space="preserve"> (NOTA 1 - AO FINAL DA PLANILHA)</t>
    </r>
  </si>
  <si>
    <r>
      <t xml:space="preserve">PIS </t>
    </r>
    <r>
      <rPr>
        <b/>
        <sz val="8"/>
        <rFont val="Calibri (Corpo)"/>
      </rPr>
      <t xml:space="preserve"> (NOTA 2 - AO FINAL DA PLANILHA)</t>
    </r>
  </si>
  <si>
    <r>
      <t xml:space="preserve">COFINS </t>
    </r>
    <r>
      <rPr>
        <b/>
        <sz val="8"/>
        <rFont val="Calibri (Corpo)"/>
      </rPr>
      <t xml:space="preserve"> (NOTA 2 - AO FINAL DA PLANILHA)</t>
    </r>
  </si>
  <si>
    <t xml:space="preserve"> 2. CUSTO DE MANUTENÇÃO</t>
  </si>
  <si>
    <t>INFORMAÇÕES ADICIONAIS</t>
  </si>
  <si>
    <t>1.3</t>
  </si>
  <si>
    <t>1.4</t>
  </si>
  <si>
    <t>1.5</t>
  </si>
  <si>
    <t>Adicional de Insalubridade</t>
  </si>
  <si>
    <t>1.6</t>
  </si>
  <si>
    <t>1.7</t>
  </si>
  <si>
    <t>1.8</t>
  </si>
  <si>
    <t>1.9</t>
  </si>
  <si>
    <t>1.10</t>
  </si>
  <si>
    <t>2.1.1</t>
  </si>
  <si>
    <t>2.1.2</t>
  </si>
  <si>
    <t>2.1.3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</si>
  <si>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</si>
  <si>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</si>
  <si>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</si>
  <si>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</si>
  <si>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</si>
  <si>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</si>
  <si>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</si>
  <si>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</si>
  <si>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2.3.1</t>
  </si>
  <si>
    <t>Art. 4º parágrafo único da Lei 7.418/85 e art. 9º do Decreto 95.247/87.</t>
  </si>
  <si>
    <t>2.3.2</t>
  </si>
  <si>
    <t>Convenção Coletiva de Trabalho.</t>
  </si>
  <si>
    <t>2.3.3</t>
  </si>
  <si>
    <t>2.3.4</t>
  </si>
  <si>
    <t>2.3.5</t>
  </si>
  <si>
    <t>2.3.6</t>
  </si>
  <si>
    <t>2.3.7</t>
  </si>
  <si>
    <t>Vale Alimentação - Férias</t>
  </si>
  <si>
    <t>Valor de R$ 551,50,  descontados 20%, conforme CCT a serem pagos nas férias, se não houver falta no trabalho, dividido por 12 meses</t>
  </si>
  <si>
    <t>2.3.8</t>
  </si>
  <si>
    <t>Desjejum</t>
  </si>
  <si>
    <t>2.3.9</t>
  </si>
  <si>
    <t>Crédito de Pis e Cofins</t>
  </si>
  <si>
    <t xml:space="preserve">art. 3º  da Lei Federal n.º 10.637, de 30/12/2002 e Lei Federal n.º 10.833, de 29/12/2003. </t>
  </si>
  <si>
    <t>([0,05x(1/12)]x100) = 0,417%</t>
  </si>
  <si>
    <t xml:space="preserve">Estimativa de que 5% (cinco por cento) dos empregados são demitidos pelo empregador, antes do término do contrato de trabalho. Provisão de aviso prévio indenizado: 1/12. 
</t>
  </si>
  <si>
    <r>
      <t xml:space="preserve">Art. 7º, XXI, CF/88, 488 e </t>
    </r>
    <r>
      <rPr>
        <sz val="11"/>
        <rFont val="Calibri"/>
        <family val="2"/>
      </rPr>
      <t>§</t>
    </r>
    <r>
      <rPr>
        <sz val="9.35"/>
        <rFont val="Calibri"/>
        <family val="2"/>
      </rPr>
      <t>1º</t>
    </r>
    <r>
      <rPr>
        <sz val="11"/>
        <rFont val="Calibri"/>
        <family val="2"/>
        <scheme val="minor"/>
      </rPr>
      <t>. CLT.</t>
    </r>
  </si>
  <si>
    <t>8% do FGTS X 0,417%</t>
  </si>
  <si>
    <t>Art. 15 da Lei nº 8.036, de 1990.</t>
  </si>
  <si>
    <t>3.3</t>
  </si>
  <si>
    <t>Adotada a metodologia da IN 5/2017, que unifica a multa sobre FGTS e Contribuições Sociais sobre aviso prévio indenizado e trabalhado. (alínea F)</t>
  </si>
  <si>
    <t>IN SEGES/MPDG N.º 5/2017 (Anexo XII).</t>
  </si>
  <si>
    <t>3.4</t>
  </si>
  <si>
    <t>((1/30)x7]/12x100)=1,944%</t>
  </si>
  <si>
    <t>Art. 7º, XXI, CF/88; 488, parágrafo único da CLT.</t>
  </si>
  <si>
    <t>3.5</t>
  </si>
  <si>
    <t>((0,368x 0,01944)x100) = 0,715%</t>
  </si>
  <si>
    <t>IN SEGES/MPDG N.º 5/2017 (Anexo VII-D).</t>
  </si>
  <si>
    <t>3.6</t>
  </si>
  <si>
    <t>Multa sobre FGTS sobre aviso prévio trabalhado</t>
  </si>
  <si>
    <t>((1+0,0833+0,0833+0,0278)x(0,40x0,08x0,9)*100= 3,439%</t>
  </si>
  <si>
    <t>Total da Remuneração, acrescido de 13 salário mensal, férias e terço constitucional) multiplicado pelo percentual de multa sobre o FGTS, multiplicado pela alíquota de recolhimento do FGTS, multiplicado pelo percentual de dispensa sem justa causa. (90%)</t>
  </si>
  <si>
    <t>Art. 18, §1º da Lei 8.036/90.</t>
  </si>
  <si>
    <t>SUB-MÓDULO 4.1 - SUBSTITUTO NAS AUSÊNCIAS LEGAIS</t>
  </si>
  <si>
    <t>4.1.1</t>
  </si>
  <si>
    <t>Substituto na cobertura de Faltas Legais</t>
  </si>
  <si>
    <t>Art. 473 da CLT  - Planilha MODELO TCU - DIRETORIA DE LICITAÇÕES</t>
  </si>
  <si>
    <t>4.1.2</t>
  </si>
  <si>
    <t>Substituto na cobertura de Licença paternidade</t>
  </si>
  <si>
    <t>4.1.3</t>
  </si>
  <si>
    <t>Substituto na cobertura de Acidente de Trabalho</t>
  </si>
  <si>
    <t>4.1.4</t>
  </si>
  <si>
    <t>Substituto na cobertura de Férias sobre licença maternidade</t>
  </si>
  <si>
    <t>4.1.5</t>
  </si>
  <si>
    <t>QUADRO RESUMO DO MÓDULO 4 - CUSTO DE REPOSIÇÃO DO PROFISSIONAL AUSENTE</t>
  </si>
  <si>
    <t>5.3</t>
  </si>
  <si>
    <r>
      <t xml:space="preserve">* </t>
    </r>
    <r>
      <rPr>
        <b/>
        <sz val="12"/>
        <color theme="4" tint="-0.249977111117893"/>
        <rFont val="Calibri"/>
        <family val="2"/>
        <scheme val="minor"/>
      </rPr>
      <t xml:space="preserve">NOTA 1: RAT X FAP
</t>
    </r>
    <r>
      <rPr>
        <b/>
        <sz val="12"/>
        <rFont val="Calibri"/>
        <family val="2"/>
        <scheme val="minor"/>
      </rPr>
      <t xml:space="preserve"> A licitante deve preencher o item em questão com o valor real do seu RATXFAP. Como forma de comprovação do percentual lançado em planilha,  a licitante deverá anexar à proposta comercial final (após a fase de lances) declaração firmada, sob as penas da lei,  pelo representante legal e contador, com o devido CRC,  ratificando os valores individuais de RAT E FAP apresentados.</t>
    </r>
  </si>
  <si>
    <r>
      <t>*</t>
    </r>
    <r>
      <rPr>
        <b/>
        <sz val="12"/>
        <color theme="4" tint="-0.249977111117893"/>
        <rFont val="Calibri"/>
        <family val="2"/>
        <scheme val="minor"/>
      </rPr>
      <t xml:space="preserve"> NOTA 2: CUSTOS NÃO RENOVÁVEIS</t>
    </r>
    <r>
      <rPr>
        <b/>
        <sz val="12"/>
        <rFont val="Calibri"/>
        <family val="2"/>
        <scheme val="minor"/>
      </rPr>
      <t xml:space="preserve"> 
Nas eventuais prorrogações contratuais, os custos não renováveis já pagos ou amortizados no primeiro ano da contratação deverão ser eliminados como condição para a renovação. São custos não renováveis e serão eliminados na proporção da amortização ocorrida no primeiro ano de contrato: aviso prévio indenizado (será permitida a manutenção de 10% do valor inicialmente provisionado, em atendimento à Lei  n.º 12.506/2001 e Acórdão 1.186/2017 - Plenário TCU) , aviso prévio trabalhado, incidência do FGTS sobre aviso prévio indenizado, incidência dos encargos do submódulo 2.2. sobre o aviso prévio trabalho e os custos que compõem o módulo 4 - Custo de Reposição do Profissional Ausente.</t>
    </r>
  </si>
  <si>
    <r>
      <t xml:space="preserve">* </t>
    </r>
    <r>
      <rPr>
        <b/>
        <sz val="12"/>
        <color theme="4" tint="-0.249977111117893"/>
        <rFont val="Calibri"/>
        <family val="2"/>
        <scheme val="minor"/>
      </rPr>
      <t xml:space="preserve">NOTA 3: LAUDO DE INSALUBRIDADE/PERICULOSIDADE
</t>
    </r>
    <r>
      <rPr>
        <b/>
        <sz val="12"/>
        <rFont val="Calibri"/>
        <family val="2"/>
        <scheme val="minor"/>
      </rPr>
      <t xml:space="preserve">O pagamento do adicional de insalubridade e/ou periculosidade estará condicionado à realização, pela empresa contratada, de perícia por profissional competente (médico ou engenheiro do trabalho), e da apresentação de laudo que venha a atestar existência de tais adicionais bem como do grau de incidência, (mínimo, médio ou máximo), quando for o caso, bem como se a atividades apontada como insalubre consta da relação da NR–15 do MTE, nos termos do artigo 192 da CLT ou se perciculosa consta da relação da NR-16 DO MTE, nos termos do artigo 195 da CLT. A contratada terá um prazo de até 30 (trinta) dias a partir da celebração do contrato para apresentar o referido laudo. </t>
    </r>
  </si>
  <si>
    <t>FORMAÇÃO DE CUSTO DE VEÍCULO</t>
  </si>
  <si>
    <t xml:space="preserve"> REFERÊNCIAS </t>
  </si>
  <si>
    <t>COEFICIENTE</t>
  </si>
  <si>
    <t xml:space="preserve"> VALOR MENSAL</t>
  </si>
  <si>
    <r>
      <t xml:space="preserve">Usual de mercado, percentual já adotado pela CMTU em demais contratos, calculado sobre o consumo de combustível.
</t>
    </r>
    <r>
      <rPr>
        <b/>
        <sz val="9"/>
        <color theme="1"/>
        <rFont val="Calibri"/>
        <family val="2"/>
        <scheme val="minor"/>
      </rPr>
      <t>Planilha GEIPOT:</t>
    </r>
    <r>
      <rPr>
        <sz val="9"/>
        <color theme="1"/>
        <rFont val="Calibri"/>
        <family val="2"/>
        <scheme val="minor"/>
      </rPr>
      <t xml:space="preserve">
Coeficientes de referência:0,04 a 0,06 l/km, que refletem uma variação de 8% a 15% sobre os coeficientes de consumo de combustível, da mesma planilha.</t>
    </r>
  </si>
  <si>
    <t>Custo com lubrificante, filtros, graxas e lavagens</t>
  </si>
  <si>
    <r>
      <rPr>
        <b/>
        <sz val="9"/>
        <color theme="1"/>
        <rFont val="Calibri"/>
        <family val="2"/>
        <scheme val="minor"/>
      </rPr>
      <t>Detran/PR</t>
    </r>
    <r>
      <rPr>
        <sz val="9"/>
        <color theme="1"/>
        <rFont val="Calibri"/>
        <family val="2"/>
        <scheme val="minor"/>
      </rPr>
      <t xml:space="preserve"> , IPVA sobre valor aproximado do chassi. </t>
    </r>
  </si>
  <si>
    <t>Ciclo de Troca</t>
  </si>
  <si>
    <t>7. DEPRECIAÇÃO</t>
  </si>
  <si>
    <t>VIDA ÚTIL EM ANOS</t>
  </si>
  <si>
    <t>Percentual de Depreciação</t>
  </si>
  <si>
    <t>VALOR RESIDUAL</t>
  </si>
  <si>
    <t>Percentual de Valor Residual</t>
  </si>
  <si>
    <t>VALOR EM 180</t>
  </si>
  <si>
    <t>8. REMUNERAÇÃO DE CAPITAL</t>
  </si>
  <si>
    <t>ACUMULADO 12 MESES</t>
  </si>
  <si>
    <r>
      <t xml:space="preserve">Orientação Técnica Serviços de Coleta de Resíduos Sólidos Domiciliares - TCE-RS:
Fórmulas:
</t>
    </r>
    <r>
      <rPr>
        <sz val="9"/>
        <color theme="1"/>
        <rFont val="Calibri"/>
        <family val="2"/>
        <scheme val="minor"/>
      </rPr>
      <t>jm = (lm x i) /12
lm =((v0 - vr) x ((n+1)/(2 x n)))+vr</t>
    </r>
    <r>
      <rPr>
        <b/>
        <sz val="9"/>
        <color theme="1"/>
        <rFont val="Calibri"/>
        <family val="2"/>
        <scheme val="minor"/>
      </rPr>
      <t xml:space="preserve">
Onde:
</t>
    </r>
    <r>
      <rPr>
        <sz val="9"/>
        <color theme="1"/>
        <rFont val="Calibri"/>
        <family val="2"/>
        <scheme val="minor"/>
      </rPr>
      <t>Im - Investimento médio
jm – Remuneração de capital mensal
i – Taxa de juros do mercado (SELIC) 
v0 – Valor inicial do bem
vr – Valor residual do bem
n – Vida útil do bem em anos</t>
    </r>
    <r>
      <rPr>
        <b/>
        <sz val="9"/>
        <color theme="1"/>
        <rFont val="Calibri"/>
        <family val="2"/>
        <scheme val="minor"/>
      </rPr>
      <t xml:space="preserve">
</t>
    </r>
  </si>
  <si>
    <t>Taxa de juros a.a</t>
  </si>
  <si>
    <t>VALOR DO
 INVESTIMENTO MÉDIO</t>
  </si>
  <si>
    <t>REMUNERAÇÃO DE CAPITAL MENSAL</t>
  </si>
  <si>
    <t>Remuneração de Capital</t>
  </si>
  <si>
    <t>9. RESUMO</t>
  </si>
  <si>
    <t>9.1</t>
  </si>
  <si>
    <t>9.2</t>
  </si>
  <si>
    <t>9.3</t>
  </si>
  <si>
    <t>9.4</t>
  </si>
  <si>
    <t>9.5</t>
  </si>
  <si>
    <t>9.6</t>
  </si>
  <si>
    <t>9.7</t>
  </si>
  <si>
    <t>NOTA 1:  Os percentuais utilizados como base foram extraídos do Quadro 16, pág.73, do Acórdão 2622/2013.</t>
  </si>
  <si>
    <t xml:space="preserve">NOTA 3: Devem ser contemplados todos os descontos obtidos com créditos de PIS e COFINS.  As empresas enquadradas no Regime Não-Cumulativo DEVERÃO OBRIGATORIAMENTE conceder os descontos referentes aos itens previstos no art. 3º, da Lei Federal n.º 10.637, de 30/12/2002 e Lei Federal n.º 10.833, de 29/12/2003. </t>
  </si>
  <si>
    <t>NOTA 4: Nenhum valor unitário poderá ultrapassar os valores estimados na planilha mensal, exceto quando houver justificativa com amparo legal.</t>
  </si>
  <si>
    <t>A.1</t>
  </si>
  <si>
    <t>A.2</t>
  </si>
  <si>
    <t>A.3</t>
  </si>
  <si>
    <t>B.1</t>
  </si>
  <si>
    <t>B.2</t>
  </si>
  <si>
    <t>C.2</t>
  </si>
  <si>
    <t>C.4</t>
  </si>
  <si>
    <t>D.1</t>
  </si>
  <si>
    <t>E.1</t>
  </si>
  <si>
    <t>NOTA 6: A CMTU-LD poderá realizar diligências para comprovar os valores lançados na planilha do licitante, especialmente para os insumos de fornecimento mensal, caso tais valores sejam manifestamente abaixo do valor de mercado. A comprovação se dará por apresentação de nota fiscal de compra ou orçamento recebido de fornecedores do ramo, expedidos, no máximo, nos últimos 180 dias anteriores. A CMTU-LD, poderá ainda realizar diligências in loco, caso a licitante informe já possuir os insumos/equipamentos em estoque próprio.</t>
  </si>
  <si>
    <r>
      <rPr>
        <b/>
        <sz val="9"/>
        <color theme="1"/>
        <rFont val="Calibri"/>
        <family val="2"/>
        <scheme val="minor"/>
      </rPr>
      <t>Planilha GEIPOT:</t>
    </r>
    <r>
      <rPr>
        <sz val="9"/>
        <color theme="1"/>
        <rFont val="Calibri"/>
        <family val="2"/>
        <scheme val="minor"/>
      </rPr>
      <t xml:space="preserve">
Coeficientes de referência:0,04 a 0,06 , adotado o coeficiente médio.</t>
    </r>
  </si>
  <si>
    <t>COEF. ADOTADO</t>
  </si>
  <si>
    <t>CUSTO POR KM</t>
  </si>
  <si>
    <t>Coeficiente</t>
  </si>
  <si>
    <t>Consumo de Combustível</t>
  </si>
  <si>
    <t>Remuneração de Capital sobre Veículos e Equipamentos</t>
  </si>
  <si>
    <t>QTD.</t>
  </si>
  <si>
    <t>VALOR TOTAL</t>
  </si>
  <si>
    <t>% Residual</t>
  </si>
  <si>
    <t>Valor 
Residual</t>
  </si>
  <si>
    <t>Investimento Médio</t>
  </si>
  <si>
    <t>7825-10</t>
  </si>
  <si>
    <t xml:space="preserve"> </t>
  </si>
  <si>
    <t>VAN</t>
  </si>
  <si>
    <t>VEÍCULO - REFERÊNCIA - CAMINHÃO BASCULANTE</t>
  </si>
  <si>
    <t>Banheiro Químico</t>
  </si>
  <si>
    <t>(F) CUSTOS INDIRETOS, LUCRO E TRIBUTOS</t>
  </si>
  <si>
    <t>F.1</t>
  </si>
  <si>
    <t>F.2</t>
  </si>
  <si>
    <t>F.3</t>
  </si>
  <si>
    <t>F.4</t>
  </si>
  <si>
    <t>F.5</t>
  </si>
  <si>
    <t>F.6</t>
  </si>
  <si>
    <t>Vida útil: BEC; Manual Siafi.</t>
  </si>
  <si>
    <t xml:space="preserve"> CONSUMO MENSAL  - LTS</t>
  </si>
  <si>
    <t>Óleo 2 tempos</t>
  </si>
  <si>
    <t>Custo do Pneu (4 unidades)</t>
  </si>
  <si>
    <t xml:space="preserve">Gasolina equipamentos </t>
  </si>
  <si>
    <t>C.1</t>
  </si>
  <si>
    <t>C.3</t>
  </si>
  <si>
    <t>C.5</t>
  </si>
  <si>
    <t>A.4</t>
  </si>
  <si>
    <r>
      <t xml:space="preserve">Manual Siafi - Ministério da Fazenda e BEC - Bolsa Eletrônica de Compras de São Paulo:
</t>
    </r>
    <r>
      <rPr>
        <sz val="9"/>
        <color theme="1"/>
        <rFont val="Calibri"/>
        <family val="2"/>
        <scheme val="minor"/>
      </rPr>
      <t xml:space="preserve">Depreciação: 90% em 15 anos.
 Valor residual: 10%. </t>
    </r>
    <r>
      <rPr>
        <b/>
        <sz val="9"/>
        <color theme="1"/>
        <rFont val="Calibri"/>
        <family val="2"/>
        <scheme val="minor"/>
      </rPr>
      <t xml:space="preserve">
</t>
    </r>
  </si>
  <si>
    <t>MOTORISTA CAT C</t>
  </si>
  <si>
    <t xml:space="preserve">NOTA 2: A empresa tem a obrigatoriedade de adequar os tributos à realidade financeira da mesma, devendo apresentar junto a planilha final, declaração firmada pelo representante legal e  contador da empresa, com o devido CRC,  informando qual o regime ou forma de apuração: cumulativo, não-cumulativo ou simples nacional, conforme proposta apresentada. </t>
  </si>
  <si>
    <t>Veículo para Transporte de Passageiros</t>
  </si>
  <si>
    <t>Termo de Referência</t>
  </si>
  <si>
    <t xml:space="preserve">Média de 25,33 dias de trabalho, com a concessão de 2 passes diários. </t>
  </si>
  <si>
    <t>143,19 x 9,25% =13,24</t>
  </si>
  <si>
    <t>((50,66x R$ 5,75)-(0,06*R$ 2468,48))= 143,19</t>
  </si>
  <si>
    <t>(34,17+47,19) x 9,25% = 7,53</t>
  </si>
  <si>
    <t>CCT SINTTROL 2024/2025</t>
  </si>
  <si>
    <t>incidência do sub-módulo 2, sobre os itens desse módulo</t>
  </si>
  <si>
    <t>((50,66x R$ 5,75)-(0,06*R$ 1700,00))= 189,30</t>
  </si>
  <si>
    <t>Valor de R$ 700,00 de vale alimentação, descontados 20%, conforme CCT</t>
  </si>
  <si>
    <t>((R$700-(R$ 700x0,2))/12= R$ 46,67</t>
  </si>
  <si>
    <t>(R$700-(R$ 700x0,2))= R$ 560,00</t>
  </si>
  <si>
    <t>(189,30+560,00 +46,67) x 9,25% = 73,63</t>
  </si>
  <si>
    <t>(68,33+58,09) x 9,25% =11,69</t>
  </si>
  <si>
    <t>Adicional de Periculosidade</t>
  </si>
  <si>
    <t>COLETOR</t>
  </si>
  <si>
    <t>Pedreiro ( Oficial )</t>
  </si>
  <si>
    <t>Café da manhã</t>
  </si>
  <si>
    <t>Vale Compras - Férias</t>
  </si>
  <si>
    <t>Ancinho, rastelo curvo, cabo 150 cm</t>
  </si>
  <si>
    <t>Enxada estreita de 25 cm, cabo de madeira</t>
  </si>
  <si>
    <t>Coletores</t>
  </si>
  <si>
    <t>Operador Picador /Triturador</t>
  </si>
  <si>
    <t>Pedreiro</t>
  </si>
  <si>
    <t>Motorista Cat C</t>
  </si>
  <si>
    <t>Motorista Cat D</t>
  </si>
  <si>
    <t>A.5</t>
  </si>
  <si>
    <t>A.6</t>
  </si>
  <si>
    <t>A.7</t>
  </si>
  <si>
    <t>Caminhão basculante trucado</t>
  </si>
  <si>
    <t>Picador /Triturador de galhos</t>
  </si>
  <si>
    <t>Máquina motosserra</t>
  </si>
  <si>
    <t>Máquina motopoda</t>
  </si>
  <si>
    <t>C.6</t>
  </si>
  <si>
    <t>Máquina Motopoda</t>
  </si>
  <si>
    <t>Máquina Motosserra</t>
  </si>
  <si>
    <t>Custo do Pneu (10 unidades)</t>
  </si>
  <si>
    <r>
      <rPr>
        <b/>
        <sz val="9"/>
        <color theme="1"/>
        <rFont val="Calibri"/>
        <family val="2"/>
        <scheme val="minor"/>
      </rPr>
      <t>Planilha GEIPOT:</t>
    </r>
    <r>
      <rPr>
        <sz val="9"/>
        <color theme="1"/>
        <rFont val="Calibri"/>
        <family val="2"/>
        <scheme val="minor"/>
      </rPr>
      <t xml:space="preserve">
Coeficiente de referência: de 0,0033 a 0,0083
Uso severo do veículo
</t>
    </r>
    <r>
      <rPr>
        <b/>
        <sz val="9"/>
        <color theme="1"/>
        <rFont val="Calibri"/>
        <family val="2"/>
        <scheme val="minor"/>
      </rPr>
      <t>Guia do Transportador:</t>
    </r>
    <r>
      <rPr>
        <sz val="9"/>
        <color theme="1"/>
        <rFont val="Calibri"/>
        <family val="2"/>
        <scheme val="minor"/>
      </rPr>
      <t xml:space="preserve">
Percentual de referência, varia de 0,65 a 0,85 a cada 6.000 km sobre o valor do veículo/equipamento, por essa metodologia o valor seria bem semelhante ao obtido com a metodologia da  planilha GEIPOT.
</t>
    </r>
  </si>
  <si>
    <t>Vale Refeição</t>
  </si>
  <si>
    <t>Consumo médio conforme o Estudo Técnico Preliminar.
Valor do combustível: preço médio da tabela da ANP, referente ao último levantamento de preços na cidade de Londrina-PR.</t>
  </si>
  <si>
    <t>Ciclo de troca conforme Estudo Técnico Preliminar e informações da Coordenadoria de Controle de Frotas.</t>
  </si>
  <si>
    <t>Caminhão Basculante</t>
  </si>
  <si>
    <t>Veículo transporte passageiros - Van</t>
  </si>
  <si>
    <r>
      <rPr>
        <b/>
        <sz val="9"/>
        <color theme="1"/>
        <rFont val="Calibri"/>
        <family val="2"/>
        <scheme val="minor"/>
      </rPr>
      <t>Planilha GEIPOT:</t>
    </r>
    <r>
      <rPr>
        <sz val="9"/>
        <color theme="1"/>
        <rFont val="Calibri"/>
        <family val="2"/>
        <scheme val="minor"/>
      </rPr>
      <t xml:space="preserve">
Coeficiente de referência: de 0,0033 a 0,0083. Uso severo do veículo. 
</t>
    </r>
  </si>
  <si>
    <t>7152-10</t>
  </si>
  <si>
    <t>OPERADOR DE MOTOSSERRA</t>
  </si>
  <si>
    <t>MOTORISTA CAT D</t>
  </si>
  <si>
    <t>6321-20</t>
  </si>
  <si>
    <t>7823-10</t>
  </si>
  <si>
    <t>OPERADOR PARA PICADOR/TRITURADOR DE GALHOS</t>
  </si>
  <si>
    <t>Carreta Semi Reboque - 3,00 x 1,80 metros aprox</t>
  </si>
  <si>
    <t>(C) EQUIPAMENTOS LEVES E ACESSÓRIOS - INCLUSAS TODAS AS DEPESAS DE OPERAÇÃO E MANUTENÇÃO, EXCETO MOTORISTA/OPERADOR</t>
  </si>
  <si>
    <t>Pneus para carreta semi reboque</t>
  </si>
  <si>
    <t>D.2</t>
  </si>
  <si>
    <t>(E) BANHEIRO QUÍMICO - INCLUSAS TODAS AS DEPESAS DE OPERAÇÃO E MANUTENÇÃO</t>
  </si>
  <si>
    <t>(F) MATERIAIS</t>
  </si>
  <si>
    <t>F.7</t>
  </si>
  <si>
    <t>F.8</t>
  </si>
  <si>
    <t>F.9</t>
  </si>
  <si>
    <t>F.10</t>
  </si>
  <si>
    <t>F.11</t>
  </si>
  <si>
    <t>F.12</t>
  </si>
  <si>
    <t>F.13</t>
  </si>
  <si>
    <t>F.14</t>
  </si>
  <si>
    <t>F.15</t>
  </si>
  <si>
    <t>F.16</t>
  </si>
  <si>
    <t>F.17</t>
  </si>
  <si>
    <t>F.18</t>
  </si>
  <si>
    <t xml:space="preserve">   </t>
  </si>
  <si>
    <t>(D) EQUIPAMENTOS PESADOS - INCLUSAS TODAS AS DEPESAS DE OPERAÇÃO E MANUTENÇÃO, EXCETO MOTORISTA/OPERADOR</t>
  </si>
  <si>
    <t>CCT SINTRAPAV 2025/2026</t>
  </si>
  <si>
    <t xml:space="preserve"> SINTRAPAV 01/06/2025</t>
  </si>
  <si>
    <t xml:space="preserve">NOTA 5: O licitante vencedor, após a fase de lances, deverá anexar a planilha na plataforma do BLL conforme determina o edital de licitação, bem como encaminhar a planilha na versão digital, desbloqueada, para o e-mail: precos@cmtuld.com.br. </t>
  </si>
  <si>
    <t>D.3</t>
  </si>
  <si>
    <t>Diesel equipamentos</t>
  </si>
  <si>
    <t>Carreta Semi Reboque - 3,00 x 1,80 metros</t>
  </si>
  <si>
    <t>A.8</t>
  </si>
  <si>
    <t>Operador de minicarregadeira tipo "Bobcat"</t>
  </si>
  <si>
    <t>7112-10</t>
  </si>
  <si>
    <t>Pá carregadeira</t>
  </si>
  <si>
    <t>Operador de Motosserra/Motopoda</t>
  </si>
  <si>
    <t>B.3</t>
  </si>
  <si>
    <t>Caminhão Compactador</t>
  </si>
  <si>
    <t>Mini pá carregadeira</t>
  </si>
  <si>
    <t>D.4</t>
  </si>
  <si>
    <t>A.9</t>
  </si>
  <si>
    <t>Operador de Roçadeira Costal</t>
  </si>
  <si>
    <t>Adidional de Periculosidade</t>
  </si>
  <si>
    <t xml:space="preserve"> SINTRACOM 01/06/2025</t>
  </si>
  <si>
    <t>CCT SINTRACOM 2025/2026</t>
  </si>
  <si>
    <t>OPERADOR DE BOB CAT (Nível III)</t>
  </si>
  <si>
    <t>ROÇADOR (Operador de Máquina Costal)</t>
  </si>
  <si>
    <t>Máquina Roçadeira</t>
  </si>
  <si>
    <t>1. VALOR DO CHASSI COM COMPACTADOR</t>
  </si>
  <si>
    <t xml:space="preserve"> VALOR R$ </t>
  </si>
  <si>
    <t>Chassi  com Compactador</t>
  </si>
  <si>
    <r>
      <rPr>
        <b/>
        <sz val="9"/>
        <color theme="1"/>
        <rFont val="Calibri"/>
        <family val="2"/>
        <scheme val="minor"/>
      </rPr>
      <t>Planilha GEIPOT:</t>
    </r>
    <r>
      <rPr>
        <sz val="9"/>
        <color theme="1"/>
        <rFont val="Calibri"/>
        <family val="2"/>
        <scheme val="minor"/>
      </rPr>
      <t xml:space="preserve">
Coeficiente de referência: de 0,033 a 0,0083
Foi utilizada a mesma metodologia do contrato anterior, com o coeficiente máximo, em razão da fiscalização informar o uso severo dos caminhões.
</t>
    </r>
    <r>
      <rPr>
        <b/>
        <sz val="9"/>
        <color theme="1"/>
        <rFont val="Calibri"/>
        <family val="2"/>
        <scheme val="minor"/>
      </rPr>
      <t>Guia do Transportador:</t>
    </r>
    <r>
      <rPr>
        <sz val="9"/>
        <color theme="1"/>
        <rFont val="Calibri"/>
        <family val="2"/>
        <scheme val="minor"/>
      </rPr>
      <t xml:space="preserve">
Percentual de referência, varia de 0,65 a 0,85 a cada 6.000 km sobre o valor do veículo/equipamento, por essa metodologia o valor seria bem semelhante ao obtido com a metodologia da  planilha GEiPOT, considerando também o índice máximo.
</t>
    </r>
  </si>
  <si>
    <t>Consumo médio conforme o Termo de Referência</t>
  </si>
  <si>
    <t>Consumo de Combustível -Diesel S10</t>
  </si>
  <si>
    <r>
      <t xml:space="preserve">Usual de mercado, percentual já adotado pela CMTU em demais contratos.
</t>
    </r>
    <r>
      <rPr>
        <b/>
        <sz val="9"/>
        <color theme="1"/>
        <rFont val="Calibri"/>
        <family val="2"/>
        <scheme val="minor"/>
      </rPr>
      <t>Planilha GEIPOT:</t>
    </r>
    <r>
      <rPr>
        <sz val="9"/>
        <color theme="1"/>
        <rFont val="Calibri"/>
        <family val="2"/>
        <scheme val="minor"/>
      </rPr>
      <t xml:space="preserve">
Coeficientes de referência:0,04 a 0,06 l/km, que refletem uma variação de 8% a 15% sobre os coeficientes de consumo de combustível, da mesma planilha.</t>
    </r>
  </si>
  <si>
    <t>Coeficiente sobre custo do combustível</t>
  </si>
  <si>
    <t xml:space="preserve">Ciclo de Troca: conforme Termo de Referência.
Valores obtidos conforme pesquisa de mercado. </t>
  </si>
  <si>
    <t>Custo do Pneu (6 unidades)</t>
  </si>
  <si>
    <t>6.3</t>
  </si>
  <si>
    <t>7. SISTEMA DE RASTREAMENTO</t>
  </si>
  <si>
    <t xml:space="preserve">Valores obtidos conforme pesquisa de mercado. </t>
  </si>
  <si>
    <t>Sistema de Rastreamento</t>
  </si>
  <si>
    <t>8. DEPRECIAÇÃO</t>
  </si>
  <si>
    <r>
      <t xml:space="preserve">Orientação Técnica Serviços de Coleta de Resíduos Sólidos Domiciliares - TCE - RS:
</t>
    </r>
    <r>
      <rPr>
        <sz val="9"/>
        <color theme="1"/>
        <rFont val="Calibri"/>
        <family val="2"/>
        <scheme val="minor"/>
      </rPr>
      <t xml:space="preserve">Depreciação: 65% em 5 anos (jornada de 16 horas/dia). Valor residual: 35%. </t>
    </r>
    <r>
      <rPr>
        <b/>
        <sz val="9"/>
        <color theme="1"/>
        <rFont val="Calibri"/>
        <family val="2"/>
        <scheme val="minor"/>
      </rPr>
      <t xml:space="preserve">
</t>
    </r>
  </si>
  <si>
    <t>VALOR EM 60 MESES</t>
  </si>
  <si>
    <t>8.3</t>
  </si>
  <si>
    <t>9. REMUNERAÇÃO DE CAPITAL</t>
  </si>
  <si>
    <t>10. RESUMO</t>
  </si>
  <si>
    <t>10.1</t>
  </si>
  <si>
    <t>10.2</t>
  </si>
  <si>
    <t>10.3</t>
  </si>
  <si>
    <t>10.4</t>
  </si>
  <si>
    <t>10.5</t>
  </si>
  <si>
    <t>10.6</t>
  </si>
  <si>
    <t>10.7</t>
  </si>
  <si>
    <t>10.8</t>
  </si>
  <si>
    <t>CAMINHÃO COMPACTADOR 15m³</t>
  </si>
  <si>
    <t xml:space="preserve">Valor médio de mercado,  chassi 0km  com compactador deduzido o valor dos pneus, compactador novo.
</t>
  </si>
  <si>
    <t>OPERADOR DE PÁ CARREGADEIRA</t>
  </si>
  <si>
    <t>7151-35</t>
  </si>
  <si>
    <t>Operador de Pá carregadeira</t>
  </si>
  <si>
    <t xml:space="preserve">Ciclo de Troca </t>
  </si>
  <si>
    <t>Sombrite 50% para cobertura do caminhão (7 basculantes)</t>
  </si>
  <si>
    <t>Balaio polipropileno n° 6</t>
  </si>
  <si>
    <t xml:space="preserve">Enxada larga, 30 cm, cabo madeira </t>
  </si>
  <si>
    <t>Enxadão largo, 130 cm, cabo de madeira</t>
  </si>
  <si>
    <t>Lima para enxada</t>
  </si>
  <si>
    <t>Pá quadrada nº 4 com cabo</t>
  </si>
  <si>
    <t>Picareta chibanca, cabo 90cm</t>
  </si>
  <si>
    <t>Vassourão tipo “gari” 40cm com cabo</t>
  </si>
  <si>
    <t>Colher de pedreiro nº 9 “reta”</t>
  </si>
  <si>
    <t>Marreta pequena 1,5 kg</t>
  </si>
  <si>
    <t>Martelo de unha 29mm polido</t>
  </si>
  <si>
    <t>Talhadeira de aço forjado 3/4 x 8</t>
  </si>
  <si>
    <t>Trena com trava e fita de aço 5mx19mm</t>
  </si>
  <si>
    <t>C.7</t>
  </si>
  <si>
    <t xml:space="preserve"> SIEMACO 01/02/2025 SINTRACOM 01/06/2025  SINTRAPAV 01/06/2025
SINTTROL 01/08/2024</t>
  </si>
  <si>
    <t>SINTTROL 01/08/2024</t>
  </si>
  <si>
    <t xml:space="preserve"> CONSUMO MÊS </t>
  </si>
  <si>
    <t xml:space="preserve">Valor inicial: preço de mercado, veículo novo 0km, deduzido o valor dos pneus. 
</t>
  </si>
  <si>
    <t xml:space="preserve">Valor inicial: preço de mercado, veículos novos 0km, deduzido o valor dos pneus. </t>
  </si>
  <si>
    <t>F.19</t>
  </si>
  <si>
    <t>Sacos plásticos de no mínimo 100 litros (micra 0,6mm)</t>
  </si>
  <si>
    <t>CCT SIEMACO 2026/2028 
CCT SINTRACOM 2025/2026
 CCT SINTRAPAV 2025/2026
CCT SINTTROL 2024/2025</t>
  </si>
  <si>
    <t>CCT SIEMACO 2026/2028</t>
  </si>
  <si>
    <t>Fevereiro de 2026</t>
  </si>
  <si>
    <t xml:space="preserve"> SIEMACO 01/02/2026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</si>
</sst>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[$-416]mmmm\-yy;@"/>
    <numFmt numFmtId="167" formatCode="_(&quot;R$ &quot;* #,##0.00_);_(&quot;R$ &quot;* \(#,##0.00\);_(&quot;R$ &quot;* \-??_);_(@_)"/>
    <numFmt numFmtId="168" formatCode="0.000%"/>
    <numFmt numFmtId="169" formatCode="_-[$R$-416]\ * #,##0.00_-;\-[$R$-416]\ * #,##0.00_-;_-[$R$-416]\ * &quot;-&quot;??_-;_-@_-"/>
    <numFmt numFmtId="170" formatCode="_-[$R$-416]\ * #,##0.00000_-;\-[$R$-416]\ * #,##0.00000_-;_-[$R$-416]\ * &quot;-&quot;??_-;_-@_-"/>
    <numFmt numFmtId="171" formatCode="_-[$R$-416]\ * #,##0.0000_-;\-[$R$-416]\ * #,##0.0000_-;_-[$R$-416]\ * &quot;-&quot;??_-;_-@_-"/>
    <numFmt numFmtId="172" formatCode="_(&quot;R$&quot;* #,##0.0000_);_(&quot;R$&quot;* \(#,##0.0000\);_(&quot;R$&quot;* &quot;-&quot;??_);_(@_)"/>
    <numFmt numFmtId="173" formatCode="0.000000000"/>
    <numFmt numFmtId="174" formatCode="_-&quot;R$&quot;\ * #,##0.000000000_-;\-&quot;R$&quot;\ * #,##0.000000000_-;_-&quot;R$&quot;\ * &quot;-&quot;?????????_-;_-@_-"/>
    <numFmt numFmtId="175" formatCode="_-&quot;R$&quot;\ * #,##0.000_-;\-&quot;R$&quot;\ * #,##0.000_-;_-&quot;R$&quot;\ * &quot;-&quot;???_-;_-@_-"/>
    <numFmt numFmtId="176" formatCode="0.0000"/>
    <numFmt numFmtId="177" formatCode="_-&quot;R$&quot;\ * #,##0.0000_-;\-&quot;R$&quot;\ * #,##0.0000_-;_-&quot;R$&quot;\ * &quot;-&quot;????_-;_-@_-"/>
    <numFmt numFmtId="178" formatCode="_-[$R$-416]\ * #,##0.00000000_-;\-[$R$-416]\ * #,##0.00000000_-;_-[$R$-416]\ * &quot;-&quot;??_-;_-@_-"/>
    <numFmt numFmtId="179" formatCode="&quot;R$&quot;\ #,##0.00"/>
    <numFmt numFmtId="180" formatCode="_-&quot;R$&quot;\ * #,##0.0000_-;\-&quot;R$&quot;\ * #,##0.0000_-;_-&quot;R$&quot;\ * &quot;-&quot;??_-;_-@_-"/>
    <numFmt numFmtId="181" formatCode="_(&quot;R$&quot;* #,##0.000_);_(&quot;R$&quot;* \(#,##0.000\);_(&quot;R$&quot;* &quot;-&quot;??_);_(@_)"/>
  </numFmts>
  <fonts count="45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Calibri (Corpo)"/>
    </font>
    <font>
      <u/>
      <sz val="12"/>
      <color theme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4"/>
      <name val="Calibri"/>
      <family val="2"/>
      <scheme val="minor"/>
    </font>
    <font>
      <sz val="14"/>
      <color indexed="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22222"/>
      <name val="Arial"/>
      <family val="2"/>
    </font>
    <font>
      <sz val="10"/>
      <color indexed="8"/>
      <name val="Calibri"/>
      <family val="2"/>
      <scheme val="minor"/>
    </font>
    <font>
      <sz val="11"/>
      <name val="Calibri"/>
      <family val="2"/>
    </font>
    <font>
      <sz val="9.35"/>
      <name val="Calibri"/>
      <family val="2"/>
    </font>
    <font>
      <b/>
      <sz val="11"/>
      <color theme="4" tint="0.3999755851924192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4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7">
    <xf numFmtId="0" fontId="0" fillId="0" borderId="0"/>
    <xf numFmtId="164" fontId="4" fillId="0" borderId="0" applyFont="0" applyFill="0" applyBorder="0" applyAlignment="0" applyProtection="0"/>
    <xf numFmtId="0" fontId="5" fillId="0" borderId="0"/>
    <xf numFmtId="9" fontId="7" fillId="0" borderId="0" applyFont="0" applyFill="0" applyBorder="0" applyAlignment="0" applyProtection="0"/>
    <xf numFmtId="44" fontId="5" fillId="0" borderId="0" applyFill="0" applyBorder="0" applyAlignment="0" applyProtection="0"/>
    <xf numFmtId="0" fontId="18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40" fillId="7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44" fillId="8" borderId="0" applyNumberFormat="0" applyBorder="0" applyAlignment="0" applyProtection="0"/>
  </cellStyleXfs>
  <cellXfs count="437">
    <xf numFmtId="0" fontId="0" fillId="0" borderId="0" xfId="0"/>
    <xf numFmtId="10" fontId="8" fillId="0" borderId="0" xfId="3" applyNumberFormat="1" applyFont="1" applyFill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vertical="center"/>
    </xf>
    <xf numFmtId="0" fontId="6" fillId="0" borderId="0" xfId="2" applyFont="1" applyAlignment="1">
      <alignment vertical="center" wrapText="1"/>
    </xf>
    <xf numFmtId="14" fontId="6" fillId="0" borderId="0" xfId="2" applyNumberFormat="1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2" borderId="10" xfId="2" applyFont="1" applyFill="1" applyBorder="1" applyAlignment="1">
      <alignment vertical="center"/>
    </xf>
    <xf numFmtId="0" fontId="8" fillId="0" borderId="15" xfId="2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8" fillId="0" borderId="17" xfId="2" applyFont="1" applyBorder="1" applyAlignment="1">
      <alignment horizontal="left" vertical="center"/>
    </xf>
    <xf numFmtId="10" fontId="10" fillId="0" borderId="17" xfId="3" applyNumberFormat="1" applyFont="1" applyFill="1" applyBorder="1" applyAlignment="1">
      <alignment horizontal="center" vertical="center"/>
    </xf>
    <xf numFmtId="169" fontId="9" fillId="0" borderId="0" xfId="2" applyNumberFormat="1" applyFont="1" applyAlignment="1">
      <alignment horizontal="center" vertical="center"/>
    </xf>
    <xf numFmtId="169" fontId="8" fillId="0" borderId="0" xfId="2" applyNumberFormat="1" applyFont="1" applyAlignment="1">
      <alignment horizontal="center" vertical="center"/>
    </xf>
    <xf numFmtId="169" fontId="8" fillId="0" borderId="0" xfId="2" applyNumberFormat="1" applyFont="1" applyAlignment="1">
      <alignment vertical="center"/>
    </xf>
    <xf numFmtId="169" fontId="6" fillId="2" borderId="17" xfId="4" applyNumberFormat="1" applyFont="1" applyFill="1" applyBorder="1" applyAlignment="1">
      <alignment horizontal="center" vertical="center"/>
    </xf>
    <xf numFmtId="169" fontId="8" fillId="0" borderId="17" xfId="2" applyNumberFormat="1" applyFont="1" applyBorder="1" applyAlignment="1">
      <alignment horizontal="left" vertical="center"/>
    </xf>
    <xf numFmtId="2" fontId="8" fillId="0" borderId="0" xfId="2" applyNumberFormat="1" applyFont="1" applyAlignment="1">
      <alignment horizontal="center" vertical="center"/>
    </xf>
    <xf numFmtId="2" fontId="6" fillId="0" borderId="0" xfId="2" applyNumberFormat="1" applyFont="1" applyAlignment="1">
      <alignment horizontal="center" vertical="center" wrapText="1"/>
    </xf>
    <xf numFmtId="2" fontId="8" fillId="0" borderId="7" xfId="4" applyNumberFormat="1" applyFont="1" applyFill="1" applyBorder="1" applyAlignment="1">
      <alignment horizontal="center" vertical="center"/>
    </xf>
    <xf numFmtId="0" fontId="8" fillId="0" borderId="17" xfId="2" applyFont="1" applyBorder="1" applyAlignment="1">
      <alignment horizontal="left" vertical="center" wrapText="1"/>
    </xf>
    <xf numFmtId="10" fontId="8" fillId="0" borderId="0" xfId="3" applyNumberFormat="1" applyFont="1" applyFill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vertical="center" wrapText="1"/>
    </xf>
    <xf numFmtId="0" fontId="8" fillId="0" borderId="0" xfId="2" applyFont="1" applyAlignment="1">
      <alignment horizontal="left" vertical="center" wrapText="1"/>
    </xf>
    <xf numFmtId="169" fontId="8" fillId="0" borderId="18" xfId="2" applyNumberFormat="1" applyFont="1" applyBorder="1" applyAlignment="1">
      <alignment horizontal="left" vertical="center"/>
    </xf>
    <xf numFmtId="0" fontId="15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10" fontId="19" fillId="0" borderId="0" xfId="3" applyNumberFormat="1" applyFont="1" applyFill="1" applyAlignment="1">
      <alignment horizontal="center" vertical="center"/>
    </xf>
    <xf numFmtId="2" fontId="19" fillId="0" borderId="0" xfId="2" applyNumberFormat="1" applyFont="1" applyAlignment="1">
      <alignment horizontal="center" vertical="center"/>
    </xf>
    <xf numFmtId="169" fontId="20" fillId="0" borderId="0" xfId="2" applyNumberFormat="1" applyFont="1" applyAlignment="1">
      <alignment horizontal="center" vertical="center"/>
    </xf>
    <xf numFmtId="0" fontId="21" fillId="0" borderId="0" xfId="2" applyFont="1" applyAlignment="1">
      <alignment horizontal="center" vertical="center"/>
    </xf>
    <xf numFmtId="10" fontId="21" fillId="0" borderId="0" xfId="3" applyNumberFormat="1" applyFont="1" applyFill="1" applyAlignment="1">
      <alignment horizontal="center" vertical="center"/>
    </xf>
    <xf numFmtId="2" fontId="21" fillId="0" borderId="0" xfId="2" applyNumberFormat="1" applyFont="1" applyAlignment="1">
      <alignment horizontal="center" vertical="center"/>
    </xf>
    <xf numFmtId="169" fontId="22" fillId="0" borderId="0" xfId="2" applyNumberFormat="1" applyFont="1" applyAlignment="1">
      <alignment horizontal="center" vertical="center"/>
    </xf>
    <xf numFmtId="2" fontId="6" fillId="2" borderId="4" xfId="4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0" borderId="0" xfId="2" applyFont="1" applyAlignment="1">
      <alignment horizontal="left" vertical="center" wrapText="1"/>
    </xf>
    <xf numFmtId="0" fontId="8" fillId="0" borderId="17" xfId="2" applyFont="1" applyBorder="1" applyAlignment="1">
      <alignment horizontal="center" vertical="center"/>
    </xf>
    <xf numFmtId="4" fontId="8" fillId="0" borderId="7" xfId="4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3" fillId="2" borderId="17" xfId="0" applyFont="1" applyFill="1" applyBorder="1" applyAlignment="1">
      <alignment horizontal="center"/>
    </xf>
    <xf numFmtId="0" fontId="23" fillId="0" borderId="17" xfId="0" applyFont="1" applyBorder="1" applyAlignment="1">
      <alignment horizontal="center"/>
    </xf>
    <xf numFmtId="9" fontId="23" fillId="0" borderId="3" xfId="0" applyNumberFormat="1" applyFont="1" applyBorder="1" applyAlignment="1">
      <alignment horizontal="center"/>
    </xf>
    <xf numFmtId="0" fontId="0" fillId="0" borderId="17" xfId="0" applyBorder="1" applyAlignment="1">
      <alignment horizontal="center"/>
    </xf>
    <xf numFmtId="9" fontId="0" fillId="0" borderId="17" xfId="0" applyNumberFormat="1" applyBorder="1" applyAlignment="1">
      <alignment horizontal="center"/>
    </xf>
    <xf numFmtId="9" fontId="23" fillId="0" borderId="17" xfId="0" applyNumberFormat="1" applyFont="1" applyBorder="1" applyAlignment="1">
      <alignment horizontal="center"/>
    </xf>
    <xf numFmtId="39" fontId="0" fillId="0" borderId="17" xfId="6" applyNumberFormat="1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9" fontId="23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 vertical="center"/>
    </xf>
    <xf numFmtId="164" fontId="8" fillId="0" borderId="0" xfId="1" applyFont="1" applyAlignment="1">
      <alignment horizontal="center" vertical="center"/>
    </xf>
    <xf numFmtId="164" fontId="8" fillId="0" borderId="0" xfId="2" applyNumberFormat="1" applyFont="1" applyAlignment="1">
      <alignment horizontal="center" vertical="center"/>
    </xf>
    <xf numFmtId="164" fontId="8" fillId="0" borderId="0" xfId="1" applyFont="1" applyFill="1" applyAlignment="1">
      <alignment horizontal="center" vertical="center"/>
    </xf>
    <xf numFmtId="0" fontId="6" fillId="2" borderId="2" xfId="2" applyFont="1" applyFill="1" applyBorder="1" applyAlignment="1">
      <alignment vertical="center"/>
    </xf>
    <xf numFmtId="2" fontId="6" fillId="2" borderId="17" xfId="4" applyNumberFormat="1" applyFont="1" applyFill="1" applyBorder="1" applyAlignment="1">
      <alignment horizontal="center" vertical="center"/>
    </xf>
    <xf numFmtId="164" fontId="23" fillId="2" borderId="17" xfId="1" applyFont="1" applyFill="1" applyBorder="1" applyAlignment="1">
      <alignment horizontal="center"/>
    </xf>
    <xf numFmtId="169" fontId="10" fillId="0" borderId="20" xfId="3" applyNumberFormat="1" applyFont="1" applyFill="1" applyBorder="1" applyAlignment="1">
      <alignment horizontal="center" vertical="center"/>
    </xf>
    <xf numFmtId="169" fontId="10" fillId="0" borderId="20" xfId="1" applyNumberFormat="1" applyFont="1" applyFill="1" applyBorder="1" applyAlignment="1">
      <alignment horizontal="right" vertical="center"/>
    </xf>
    <xf numFmtId="169" fontId="8" fillId="0" borderId="17" xfId="2" applyNumberFormat="1" applyFont="1" applyBorder="1" applyAlignment="1">
      <alignment horizontal="center" vertical="center"/>
    </xf>
    <xf numFmtId="169" fontId="8" fillId="0" borderId="23" xfId="2" applyNumberFormat="1" applyFont="1" applyBorder="1" applyAlignment="1">
      <alignment horizontal="center" vertical="center"/>
    </xf>
    <xf numFmtId="0" fontId="8" fillId="0" borderId="23" xfId="2" applyFont="1" applyBorder="1" applyAlignment="1">
      <alignment horizontal="left" vertical="center"/>
    </xf>
    <xf numFmtId="0" fontId="8" fillId="0" borderId="23" xfId="2" applyFont="1" applyBorder="1" applyAlignment="1">
      <alignment horizontal="left" vertical="center" wrapText="1"/>
    </xf>
    <xf numFmtId="0" fontId="0" fillId="0" borderId="23" xfId="0" applyBorder="1" applyAlignment="1">
      <alignment horizontal="center" vertical="center"/>
    </xf>
    <xf numFmtId="9" fontId="8" fillId="0" borderId="23" xfId="7" applyFont="1" applyFill="1" applyBorder="1" applyAlignment="1">
      <alignment horizontal="center" vertical="center"/>
    </xf>
    <xf numFmtId="9" fontId="0" fillId="0" borderId="0" xfId="7" applyFont="1"/>
    <xf numFmtId="9" fontId="0" fillId="0" borderId="17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169" fontId="0" fillId="0" borderId="0" xfId="0" applyNumberFormat="1"/>
    <xf numFmtId="164" fontId="8" fillId="0" borderId="0" xfId="1" applyFont="1" applyFill="1" applyBorder="1" applyAlignment="1">
      <alignment horizontal="center" vertical="center"/>
    </xf>
    <xf numFmtId="2" fontId="8" fillId="0" borderId="0" xfId="2" applyNumberFormat="1" applyFont="1" applyAlignment="1">
      <alignment vertical="center" wrapText="1"/>
    </xf>
    <xf numFmtId="44" fontId="8" fillId="0" borderId="0" xfId="2" applyNumberFormat="1" applyFont="1" applyAlignment="1">
      <alignment vertical="center" wrapText="1"/>
    </xf>
    <xf numFmtId="0" fontId="6" fillId="2" borderId="23" xfId="2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vertical="center" wrapText="1"/>
    </xf>
    <xf numFmtId="44" fontId="6" fillId="2" borderId="23" xfId="4" applyFont="1" applyFill="1" applyBorder="1" applyAlignment="1">
      <alignment horizontal="center" vertical="center" wrapText="1"/>
    </xf>
    <xf numFmtId="0" fontId="8" fillId="0" borderId="23" xfId="2" applyFont="1" applyBorder="1" applyAlignment="1">
      <alignment horizontal="center" vertical="center" wrapText="1"/>
    </xf>
    <xf numFmtId="10" fontId="10" fillId="0" borderId="23" xfId="3" applyNumberFormat="1" applyFont="1" applyFill="1" applyBorder="1" applyAlignment="1">
      <alignment horizontal="center" vertical="center" wrapText="1"/>
    </xf>
    <xf numFmtId="44" fontId="8" fillId="0" borderId="23" xfId="4" applyFont="1" applyFill="1" applyBorder="1" applyAlignment="1">
      <alignment horizontal="center" vertical="center" wrapText="1"/>
    </xf>
    <xf numFmtId="0" fontId="2" fillId="0" borderId="23" xfId="2" applyFont="1" applyBorder="1" applyAlignment="1">
      <alignment horizontal="left" vertical="center" wrapText="1"/>
    </xf>
    <xf numFmtId="10" fontId="11" fillId="2" borderId="23" xfId="3" applyNumberFormat="1" applyFont="1" applyFill="1" applyBorder="1" applyAlignment="1">
      <alignment horizontal="center" vertical="center" wrapText="1"/>
    </xf>
    <xf numFmtId="168" fontId="8" fillId="0" borderId="23" xfId="3" applyNumberFormat="1" applyFont="1" applyFill="1" applyBorder="1" applyAlignment="1">
      <alignment horizontal="center" vertical="center" wrapText="1"/>
    </xf>
    <xf numFmtId="167" fontId="8" fillId="0" borderId="23" xfId="4" applyNumberFormat="1" applyFont="1" applyFill="1" applyBorder="1" applyAlignment="1" applyProtection="1">
      <alignment horizontal="left" vertical="center" wrapText="1"/>
    </xf>
    <xf numFmtId="0" fontId="8" fillId="0" borderId="23" xfId="2" applyFont="1" applyBorder="1" applyAlignment="1">
      <alignment vertical="center" wrapText="1"/>
    </xf>
    <xf numFmtId="10" fontId="8" fillId="0" borderId="23" xfId="2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left" vertical="center" wrapText="1"/>
    </xf>
    <xf numFmtId="168" fontId="8" fillId="0" borderId="23" xfId="2" applyNumberFormat="1" applyFont="1" applyBorder="1" applyAlignment="1">
      <alignment horizontal="center" vertical="center" wrapText="1"/>
    </xf>
    <xf numFmtId="44" fontId="10" fillId="0" borderId="23" xfId="1" applyNumberFormat="1" applyFont="1" applyFill="1" applyBorder="1" applyAlignment="1">
      <alignment horizontal="center" vertical="center" wrapText="1"/>
    </xf>
    <xf numFmtId="10" fontId="10" fillId="0" borderId="23" xfId="7" applyNumberFormat="1" applyFont="1" applyFill="1" applyBorder="1" applyAlignment="1">
      <alignment horizontal="center" vertical="center" wrapText="1"/>
    </xf>
    <xf numFmtId="44" fontId="10" fillId="0" borderId="23" xfId="3" applyNumberFormat="1" applyFont="1" applyFill="1" applyBorder="1" applyAlignment="1">
      <alignment horizontal="center" vertical="center" wrapText="1"/>
    </xf>
    <xf numFmtId="49" fontId="8" fillId="0" borderId="23" xfId="2" applyNumberFormat="1" applyFont="1" applyBorder="1" applyAlignment="1">
      <alignment horizontal="left" vertical="center" wrapText="1"/>
    </xf>
    <xf numFmtId="168" fontId="6" fillId="2" borderId="23" xfId="2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8" fillId="4" borderId="23" xfId="2" applyFont="1" applyFill="1" applyBorder="1" applyAlignment="1">
      <alignment vertical="center" wrapText="1"/>
    </xf>
    <xf numFmtId="168" fontId="10" fillId="0" borderId="23" xfId="3" applyNumberFormat="1" applyFont="1" applyFill="1" applyBorder="1" applyAlignment="1">
      <alignment horizontal="center" vertical="center"/>
    </xf>
    <xf numFmtId="0" fontId="32" fillId="0" borderId="23" xfId="2" applyFont="1" applyBorder="1" applyAlignment="1">
      <alignment horizontal="left" vertical="center" wrapText="1"/>
    </xf>
    <xf numFmtId="10" fontId="11" fillId="2" borderId="12" xfId="3" applyNumberFormat="1" applyFont="1" applyFill="1" applyBorder="1" applyAlignment="1">
      <alignment horizontal="center" vertical="center" wrapText="1"/>
    </xf>
    <xf numFmtId="44" fontId="6" fillId="2" borderId="12" xfId="4" applyFont="1" applyFill="1" applyBorder="1" applyAlignment="1">
      <alignment horizontal="center" vertical="center" wrapText="1"/>
    </xf>
    <xf numFmtId="173" fontId="0" fillId="0" borderId="0" xfId="0" applyNumberFormat="1"/>
    <xf numFmtId="174" fontId="0" fillId="0" borderId="0" xfId="0" applyNumberFormat="1"/>
    <xf numFmtId="164" fontId="23" fillId="0" borderId="4" xfId="1" applyFont="1" applyBorder="1" applyAlignment="1">
      <alignment horizontal="center"/>
    </xf>
    <xf numFmtId="164" fontId="0" fillId="0" borderId="17" xfId="1" applyFont="1" applyBorder="1"/>
    <xf numFmtId="164" fontId="0" fillId="2" borderId="2" xfId="1" applyFont="1" applyFill="1" applyBorder="1"/>
    <xf numFmtId="164" fontId="23" fillId="0" borderId="3" xfId="1" applyFont="1" applyBorder="1" applyAlignment="1">
      <alignment horizontal="center"/>
    </xf>
    <xf numFmtId="44" fontId="0" fillId="0" borderId="0" xfId="0" applyNumberFormat="1"/>
    <xf numFmtId="164" fontId="0" fillId="0" borderId="2" xfId="1" applyFont="1" applyBorder="1" applyAlignment="1">
      <alignment vertical="center"/>
    </xf>
    <xf numFmtId="2" fontId="0" fillId="0" borderId="0" xfId="0" applyNumberFormat="1"/>
    <xf numFmtId="164" fontId="23" fillId="0" borderId="17" xfId="1" applyFont="1" applyBorder="1" applyAlignment="1">
      <alignment horizontal="center"/>
    </xf>
    <xf numFmtId="164" fontId="0" fillId="2" borderId="17" xfId="1" applyFont="1" applyFill="1" applyBorder="1"/>
    <xf numFmtId="13" fontId="0" fillId="0" borderId="0" xfId="0" applyNumberFormat="1"/>
    <xf numFmtId="164" fontId="0" fillId="0" borderId="17" xfId="1" applyFont="1" applyBorder="1" applyAlignment="1">
      <alignment horizontal="center" vertical="center"/>
    </xf>
    <xf numFmtId="164" fontId="0" fillId="0" borderId="2" xfId="1" applyFont="1" applyBorder="1"/>
    <xf numFmtId="164" fontId="23" fillId="2" borderId="17" xfId="1" applyFont="1" applyFill="1" applyBorder="1"/>
    <xf numFmtId="164" fontId="23" fillId="0" borderId="2" xfId="1" applyFont="1" applyBorder="1" applyAlignment="1">
      <alignment horizontal="center"/>
    </xf>
    <xf numFmtId="9" fontId="0" fillId="0" borderId="17" xfId="7" applyFont="1" applyBorder="1" applyAlignment="1">
      <alignment horizontal="center" vertical="center"/>
    </xf>
    <xf numFmtId="2" fontId="0" fillId="0" borderId="2" xfId="1" applyNumberFormat="1" applyFont="1" applyBorder="1" applyAlignment="1">
      <alignment horizontal="center"/>
    </xf>
    <xf numFmtId="164" fontId="23" fillId="0" borderId="2" xfId="1" applyFont="1" applyBorder="1" applyAlignment="1">
      <alignment horizontal="center" vertical="center" wrapText="1"/>
    </xf>
    <xf numFmtId="164" fontId="23" fillId="2" borderId="2" xfId="1" applyFont="1" applyFill="1" applyBorder="1"/>
    <xf numFmtId="0" fontId="34" fillId="0" borderId="0" xfId="0" applyFont="1" applyAlignment="1">
      <alignment vertical="center" wrapText="1"/>
    </xf>
    <xf numFmtId="4" fontId="35" fillId="0" borderId="0" xfId="0" applyNumberFormat="1" applyFont="1"/>
    <xf numFmtId="4" fontId="0" fillId="0" borderId="0" xfId="0" applyNumberFormat="1"/>
    <xf numFmtId="164" fontId="0" fillId="0" borderId="17" xfId="1" applyFont="1" applyBorder="1" applyAlignment="1">
      <alignment vertical="center"/>
    </xf>
    <xf numFmtId="169" fontId="8" fillId="0" borderId="28" xfId="2" applyNumberFormat="1" applyFont="1" applyBorder="1" applyAlignment="1">
      <alignment horizontal="left" vertical="center"/>
    </xf>
    <xf numFmtId="175" fontId="0" fillId="0" borderId="0" xfId="0" applyNumberFormat="1"/>
    <xf numFmtId="44" fontId="0" fillId="0" borderId="2" xfId="1" applyNumberFormat="1" applyFont="1" applyBorder="1" applyAlignment="1">
      <alignment horizontal="center" vertical="center"/>
    </xf>
    <xf numFmtId="170" fontId="8" fillId="0" borderId="0" xfId="2" applyNumberFormat="1" applyFont="1" applyAlignment="1">
      <alignment horizontal="center" vertical="center"/>
    </xf>
    <xf numFmtId="9" fontId="23" fillId="4" borderId="3" xfId="0" applyNumberFormat="1" applyFont="1" applyFill="1" applyBorder="1" applyAlignment="1">
      <alignment horizontal="center"/>
    </xf>
    <xf numFmtId="164" fontId="23" fillId="4" borderId="17" xfId="1" applyFont="1" applyFill="1" applyBorder="1" applyAlignment="1">
      <alignment horizontal="center"/>
    </xf>
    <xf numFmtId="164" fontId="0" fillId="4" borderId="17" xfId="1" applyFont="1" applyFill="1" applyBorder="1" applyAlignment="1">
      <alignment horizontal="center" vertical="center"/>
    </xf>
    <xf numFmtId="164" fontId="0" fillId="4" borderId="17" xfId="1" applyFont="1" applyFill="1" applyBorder="1"/>
    <xf numFmtId="0" fontId="8" fillId="0" borderId="23" xfId="2" applyFont="1" applyBorder="1" applyAlignment="1">
      <alignment horizontal="center" vertical="center"/>
    </xf>
    <xf numFmtId="0" fontId="6" fillId="5" borderId="23" xfId="2" applyFont="1" applyFill="1" applyBorder="1" applyAlignment="1">
      <alignment horizontal="center" vertical="center"/>
    </xf>
    <xf numFmtId="169" fontId="6" fillId="5" borderId="23" xfId="2" applyNumberFormat="1" applyFont="1" applyFill="1" applyBorder="1" applyAlignment="1">
      <alignment horizontal="center" vertical="center"/>
    </xf>
    <xf numFmtId="177" fontId="0" fillId="0" borderId="0" xfId="0" applyNumberFormat="1"/>
    <xf numFmtId="10" fontId="10" fillId="4" borderId="23" xfId="3" applyNumberFormat="1" applyFont="1" applyFill="1" applyBorder="1" applyAlignment="1">
      <alignment horizontal="center" vertical="center" wrapText="1"/>
    </xf>
    <xf numFmtId="44" fontId="8" fillId="4" borderId="23" xfId="4" applyFont="1" applyFill="1" applyBorder="1" applyAlignment="1">
      <alignment horizontal="center" vertical="center" wrapText="1"/>
    </xf>
    <xf numFmtId="172" fontId="8" fillId="0" borderId="0" xfId="1" applyNumberFormat="1" applyFont="1" applyFill="1" applyBorder="1" applyAlignment="1">
      <alignment horizontal="center" vertical="center"/>
    </xf>
    <xf numFmtId="171" fontId="8" fillId="0" borderId="0" xfId="2" applyNumberFormat="1" applyFont="1" applyAlignment="1">
      <alignment horizontal="center" vertical="center"/>
    </xf>
    <xf numFmtId="164" fontId="23" fillId="2" borderId="2" xfId="1" applyFont="1" applyFill="1" applyBorder="1" applyAlignment="1">
      <alignment horizontal="center" vertical="center"/>
    </xf>
    <xf numFmtId="178" fontId="8" fillId="0" borderId="0" xfId="2" applyNumberFormat="1" applyFont="1" applyAlignment="1">
      <alignment horizontal="center" vertical="center"/>
    </xf>
    <xf numFmtId="0" fontId="8" fillId="0" borderId="22" xfId="2" applyFont="1" applyBorder="1" applyAlignment="1">
      <alignment horizontal="left" vertical="center" wrapText="1"/>
    </xf>
    <xf numFmtId="169" fontId="8" fillId="0" borderId="20" xfId="2" applyNumberFormat="1" applyFont="1" applyBorder="1" applyAlignment="1">
      <alignment horizontal="center" vertical="center"/>
    </xf>
    <xf numFmtId="179" fontId="8" fillId="0" borderId="23" xfId="7" applyNumberFormat="1" applyFont="1" applyFill="1" applyBorder="1" applyAlignment="1">
      <alignment horizontal="center" vertical="center"/>
    </xf>
    <xf numFmtId="164" fontId="8" fillId="0" borderId="23" xfId="1" applyFont="1" applyFill="1" applyBorder="1" applyAlignment="1">
      <alignment horizontal="center" vertical="center"/>
    </xf>
    <xf numFmtId="169" fontId="8" fillId="0" borderId="23" xfId="2" applyNumberFormat="1" applyFont="1" applyBorder="1" applyAlignment="1">
      <alignment horizontal="center" vertical="center" wrapText="1"/>
    </xf>
    <xf numFmtId="180" fontId="0" fillId="0" borderId="0" xfId="0" applyNumberFormat="1"/>
    <xf numFmtId="172" fontId="0" fillId="4" borderId="17" xfId="1" applyNumberFormat="1" applyFont="1" applyFill="1" applyBorder="1" applyAlignment="1">
      <alignment vertical="center"/>
    </xf>
    <xf numFmtId="176" fontId="0" fillId="4" borderId="17" xfId="6" applyNumberFormat="1" applyFont="1" applyFill="1" applyBorder="1" applyAlignment="1">
      <alignment horizontal="center" vertical="center"/>
    </xf>
    <xf numFmtId="4" fontId="36" fillId="0" borderId="0" xfId="2" applyNumberFormat="1" applyFont="1" applyAlignment="1">
      <alignment horizontal="center" vertical="center" wrapText="1"/>
    </xf>
    <xf numFmtId="0" fontId="36" fillId="0" borderId="0" xfId="2" applyFont="1" applyAlignment="1">
      <alignment horizontal="left" vertical="center" wrapText="1"/>
    </xf>
    <xf numFmtId="10" fontId="0" fillId="4" borderId="2" xfId="0" applyNumberFormat="1" applyFill="1" applyBorder="1" applyAlignment="1">
      <alignment horizontal="center" vertical="center"/>
    </xf>
    <xf numFmtId="2" fontId="0" fillId="4" borderId="17" xfId="0" applyNumberFormat="1" applyFill="1" applyBorder="1" applyAlignment="1">
      <alignment horizontal="center" vertical="center"/>
    </xf>
    <xf numFmtId="2" fontId="8" fillId="4" borderId="7" xfId="4" applyNumberFormat="1" applyFont="1" applyFill="1" applyBorder="1" applyAlignment="1">
      <alignment horizontal="center" vertical="center"/>
    </xf>
    <xf numFmtId="10" fontId="10" fillId="0" borderId="23" xfId="1" applyNumberFormat="1" applyFont="1" applyFill="1" applyBorder="1" applyAlignment="1">
      <alignment horizontal="center" vertical="center" wrapText="1"/>
    </xf>
    <xf numFmtId="0" fontId="38" fillId="0" borderId="0" xfId="2" applyFont="1" applyAlignment="1">
      <alignment horizontal="center" vertical="center" wrapText="1"/>
    </xf>
    <xf numFmtId="10" fontId="10" fillId="0" borderId="4" xfId="3" applyNumberFormat="1" applyFont="1" applyFill="1" applyBorder="1" applyAlignment="1">
      <alignment horizontal="center" vertical="center"/>
    </xf>
    <xf numFmtId="0" fontId="8" fillId="2" borderId="33" xfId="2" applyFont="1" applyFill="1" applyBorder="1" applyAlignment="1">
      <alignment horizontal="center" vertical="center"/>
    </xf>
    <xf numFmtId="0" fontId="8" fillId="2" borderId="34" xfId="2" applyFont="1" applyFill="1" applyBorder="1" applyAlignment="1">
      <alignment vertical="center"/>
    </xf>
    <xf numFmtId="0" fontId="8" fillId="4" borderId="0" xfId="2" applyFont="1" applyFill="1" applyAlignment="1">
      <alignment horizontal="left" vertical="center"/>
    </xf>
    <xf numFmtId="0" fontId="8" fillId="4" borderId="0" xfId="2" applyFont="1" applyFill="1" applyAlignment="1">
      <alignment horizontal="center" vertical="center"/>
    </xf>
    <xf numFmtId="0" fontId="8" fillId="4" borderId="0" xfId="2" applyFont="1" applyFill="1" applyAlignment="1">
      <alignment vertical="center" wrapText="1"/>
    </xf>
    <xf numFmtId="169" fontId="6" fillId="4" borderId="0" xfId="4" applyNumberFormat="1" applyFont="1" applyFill="1" applyBorder="1" applyAlignment="1">
      <alignment horizontal="right" vertical="center"/>
    </xf>
    <xf numFmtId="169" fontId="6" fillId="4" borderId="0" xfId="4" applyNumberFormat="1" applyFont="1" applyFill="1" applyBorder="1" applyAlignment="1">
      <alignment horizontal="center" vertical="center"/>
    </xf>
    <xf numFmtId="169" fontId="6" fillId="2" borderId="18" xfId="4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left" vertical="center"/>
    </xf>
    <xf numFmtId="4" fontId="8" fillId="0" borderId="0" xfId="4" applyNumberFormat="1" applyFont="1" applyFill="1" applyBorder="1" applyAlignment="1">
      <alignment horizontal="center" vertical="center"/>
    </xf>
    <xf numFmtId="169" fontId="8" fillId="0" borderId="14" xfId="2" applyNumberFormat="1" applyFont="1" applyBorder="1" applyAlignment="1">
      <alignment horizontal="left" vertical="center"/>
    </xf>
    <xf numFmtId="0" fontId="8" fillId="0" borderId="13" xfId="2" applyFont="1" applyBorder="1" applyAlignment="1">
      <alignment horizontal="center" vertical="center"/>
    </xf>
    <xf numFmtId="10" fontId="10" fillId="0" borderId="0" xfId="3" applyNumberFormat="1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35" xfId="2" applyFont="1" applyFill="1" applyBorder="1" applyAlignment="1">
      <alignment vertical="center"/>
    </xf>
    <xf numFmtId="2" fontId="6" fillId="2" borderId="9" xfId="4" applyNumberFormat="1" applyFont="1" applyFill="1" applyBorder="1" applyAlignment="1">
      <alignment horizontal="center" vertical="center"/>
    </xf>
    <xf numFmtId="169" fontId="6" fillId="2" borderId="36" xfId="4" applyNumberFormat="1" applyFont="1" applyFill="1" applyBorder="1" applyAlignment="1">
      <alignment horizontal="center" vertical="center"/>
    </xf>
    <xf numFmtId="4" fontId="8" fillId="0" borderId="7" xfId="4" applyNumberFormat="1" applyFont="1" applyFill="1" applyBorder="1" applyAlignment="1">
      <alignment horizontal="left" vertical="center"/>
    </xf>
    <xf numFmtId="167" fontId="8" fillId="0" borderId="29" xfId="3" applyNumberFormat="1" applyFont="1" applyFill="1" applyBorder="1" applyAlignment="1">
      <alignment vertical="center"/>
    </xf>
    <xf numFmtId="167" fontId="6" fillId="2" borderId="29" xfId="3" applyNumberFormat="1" applyFont="1" applyFill="1" applyBorder="1" applyAlignment="1">
      <alignment vertical="center"/>
    </xf>
    <xf numFmtId="167" fontId="6" fillId="2" borderId="30" xfId="2" applyNumberFormat="1" applyFont="1" applyFill="1" applyBorder="1" applyAlignment="1">
      <alignment vertical="center"/>
    </xf>
    <xf numFmtId="169" fontId="1" fillId="0" borderId="23" xfId="8" applyNumberFormat="1" applyBorder="1"/>
    <xf numFmtId="0" fontId="6" fillId="0" borderId="0" xfId="0" applyFont="1" applyAlignment="1">
      <alignment horizontal="justify" vertical="center" wrapText="1"/>
    </xf>
    <xf numFmtId="10" fontId="6" fillId="0" borderId="0" xfId="0" applyNumberFormat="1" applyFont="1" applyAlignment="1">
      <alignment horizontal="justify" vertical="center" wrapText="1"/>
    </xf>
    <xf numFmtId="0" fontId="8" fillId="0" borderId="0" xfId="2" applyFont="1" applyAlignment="1">
      <alignment horizontal="justify" vertical="center" wrapText="1"/>
    </xf>
    <xf numFmtId="167" fontId="8" fillId="0" borderId="30" xfId="3" applyNumberFormat="1" applyFont="1" applyFill="1" applyBorder="1" applyAlignment="1">
      <alignment vertical="center"/>
    </xf>
    <xf numFmtId="0" fontId="0" fillId="0" borderId="23" xfId="0" applyBorder="1"/>
    <xf numFmtId="0" fontId="26" fillId="2" borderId="24" xfId="0" applyFont="1" applyFill="1" applyBorder="1" applyAlignment="1">
      <alignment horizontal="center" vertical="center"/>
    </xf>
    <xf numFmtId="0" fontId="27" fillId="2" borderId="23" xfId="0" applyFont="1" applyFill="1" applyBorder="1" applyAlignment="1">
      <alignment horizontal="center" vertical="center"/>
    </xf>
    <xf numFmtId="0" fontId="27" fillId="2" borderId="23" xfId="0" applyFont="1" applyFill="1" applyBorder="1" applyAlignment="1">
      <alignment horizontal="center" vertical="center" wrapText="1"/>
    </xf>
    <xf numFmtId="9" fontId="27" fillId="2" borderId="23" xfId="7" applyFont="1" applyFill="1" applyBorder="1" applyAlignment="1">
      <alignment horizontal="center" vertical="center" wrapText="1"/>
    </xf>
    <xf numFmtId="164" fontId="0" fillId="0" borderId="17" xfId="12" applyNumberFormat="1" applyFont="1" applyBorder="1" applyAlignment="1">
      <alignment vertical="center"/>
    </xf>
    <xf numFmtId="164" fontId="23" fillId="0" borderId="3" xfId="12" applyNumberFormat="1" applyFont="1" applyBorder="1" applyAlignment="1">
      <alignment horizontal="center"/>
    </xf>
    <xf numFmtId="39" fontId="0" fillId="0" borderId="17" xfId="13" applyNumberFormat="1" applyFont="1" applyBorder="1" applyAlignment="1">
      <alignment horizontal="center" vertical="center"/>
    </xf>
    <xf numFmtId="164" fontId="0" fillId="0" borderId="17" xfId="12" applyNumberFormat="1" applyFont="1" applyBorder="1"/>
    <xf numFmtId="164" fontId="0" fillId="0" borderId="2" xfId="12" applyNumberFormat="1" applyFont="1" applyBorder="1"/>
    <xf numFmtId="164" fontId="0" fillId="2" borderId="2" xfId="12" applyNumberFormat="1" applyFont="1" applyFill="1" applyBorder="1"/>
    <xf numFmtId="164" fontId="23" fillId="0" borderId="17" xfId="12" applyNumberFormat="1" applyFont="1" applyBorder="1" applyAlignment="1">
      <alignment horizontal="center"/>
    </xf>
    <xf numFmtId="164" fontId="0" fillId="2" borderId="17" xfId="12" applyNumberFormat="1" applyFont="1" applyFill="1" applyBorder="1"/>
    <xf numFmtId="164" fontId="0" fillId="0" borderId="17" xfId="12" applyNumberFormat="1" applyFont="1" applyBorder="1" applyAlignment="1">
      <alignment horizontal="center" vertical="center"/>
    </xf>
    <xf numFmtId="164" fontId="23" fillId="2" borderId="17" xfId="12" applyNumberFormat="1" applyFont="1" applyFill="1" applyBorder="1"/>
    <xf numFmtId="164" fontId="23" fillId="2" borderId="17" xfId="12" applyNumberFormat="1" applyFont="1" applyFill="1" applyBorder="1" applyAlignment="1">
      <alignment horizontal="center"/>
    </xf>
    <xf numFmtId="176" fontId="0" fillId="0" borderId="17" xfId="13" applyNumberFormat="1" applyFont="1" applyBorder="1" applyAlignment="1">
      <alignment horizontal="center" vertical="center"/>
    </xf>
    <xf numFmtId="44" fontId="0" fillId="0" borderId="2" xfId="12" applyFont="1" applyBorder="1" applyAlignment="1">
      <alignment horizontal="center" vertical="center"/>
    </xf>
    <xf numFmtId="164" fontId="0" fillId="0" borderId="2" xfId="12" applyNumberFormat="1" applyFont="1" applyBorder="1" applyAlignment="1">
      <alignment vertical="center"/>
    </xf>
    <xf numFmtId="164" fontId="23" fillId="0" borderId="2" xfId="12" applyNumberFormat="1" applyFont="1" applyBorder="1" applyAlignment="1">
      <alignment horizontal="center"/>
    </xf>
    <xf numFmtId="164" fontId="23" fillId="0" borderId="2" xfId="12" applyNumberFormat="1" applyFont="1" applyBorder="1" applyAlignment="1">
      <alignment horizontal="center" vertical="center" wrapText="1"/>
    </xf>
    <xf numFmtId="164" fontId="23" fillId="2" borderId="2" xfId="12" applyNumberFormat="1" applyFont="1" applyFill="1" applyBorder="1"/>
    <xf numFmtId="2" fontId="0" fillId="0" borderId="2" xfId="12" applyNumberFormat="1" applyFont="1" applyBorder="1" applyAlignment="1">
      <alignment horizontal="center"/>
    </xf>
    <xf numFmtId="10" fontId="0" fillId="0" borderId="2" xfId="0" applyNumberFormat="1" applyBorder="1" applyAlignment="1">
      <alignment horizontal="center" vertical="center"/>
    </xf>
    <xf numFmtId="10" fontId="0" fillId="0" borderId="17" xfId="7" applyNumberFormat="1" applyFont="1" applyBorder="1" applyAlignment="1">
      <alignment horizontal="center" vertical="center"/>
    </xf>
    <xf numFmtId="164" fontId="0" fillId="0" borderId="0" xfId="0" applyNumberFormat="1"/>
    <xf numFmtId="0" fontId="0" fillId="0" borderId="17" xfId="15" applyNumberFormat="1" applyFont="1" applyBorder="1" applyAlignment="1">
      <alignment horizontal="center" vertical="center"/>
    </xf>
    <xf numFmtId="0" fontId="8" fillId="0" borderId="29" xfId="2" applyFont="1" applyBorder="1" applyAlignment="1">
      <alignment horizontal="left" vertical="center" wrapText="1"/>
    </xf>
    <xf numFmtId="164" fontId="0" fillId="0" borderId="17" xfId="15" applyNumberFormat="1" applyFont="1" applyBorder="1" applyAlignment="1">
      <alignment horizontal="center" vertical="center"/>
    </xf>
    <xf numFmtId="0" fontId="6" fillId="2" borderId="29" xfId="2" applyFont="1" applyFill="1" applyBorder="1" applyAlignment="1">
      <alignment horizontal="center" vertical="center" wrapText="1"/>
    </xf>
    <xf numFmtId="164" fontId="0" fillId="0" borderId="17" xfId="12" applyNumberFormat="1" applyFont="1" applyFill="1" applyBorder="1" applyAlignment="1">
      <alignment horizontal="center" vertical="center"/>
    </xf>
    <xf numFmtId="167" fontId="6" fillId="2" borderId="30" xfId="3" applyNumberFormat="1" applyFont="1" applyFill="1" applyBorder="1" applyAlignment="1">
      <alignment vertical="center"/>
    </xf>
    <xf numFmtId="10" fontId="8" fillId="0" borderId="29" xfId="3" applyNumberFormat="1" applyFont="1" applyFill="1" applyBorder="1" applyAlignment="1">
      <alignment horizontal="center" vertical="center" wrapText="1"/>
    </xf>
    <xf numFmtId="10" fontId="8" fillId="2" borderId="29" xfId="3" applyNumberFormat="1" applyFont="1" applyFill="1" applyBorder="1" applyAlignment="1">
      <alignment horizontal="center" vertical="center" wrapText="1"/>
    </xf>
    <xf numFmtId="2" fontId="8" fillId="0" borderId="17" xfId="6" applyNumberFormat="1" applyFont="1" applyFill="1" applyBorder="1" applyAlignment="1">
      <alignment horizontal="center" vertical="center"/>
    </xf>
    <xf numFmtId="169" fontId="6" fillId="2" borderId="39" xfId="2" applyNumberFormat="1" applyFont="1" applyFill="1" applyBorder="1" applyAlignment="1">
      <alignment horizontal="left" vertical="center"/>
    </xf>
    <xf numFmtId="0" fontId="6" fillId="2" borderId="40" xfId="2" applyFont="1" applyFill="1" applyBorder="1" applyAlignment="1">
      <alignment horizontal="center" vertical="center"/>
    </xf>
    <xf numFmtId="2" fontId="6" fillId="2" borderId="20" xfId="4" applyNumberFormat="1" applyFont="1" applyFill="1" applyBorder="1" applyAlignment="1">
      <alignment horizontal="center" vertical="center"/>
    </xf>
    <xf numFmtId="169" fontId="6" fillId="2" borderId="28" xfId="4" applyNumberFormat="1" applyFont="1" applyFill="1" applyBorder="1" applyAlignment="1">
      <alignment horizontal="center" vertical="center"/>
    </xf>
    <xf numFmtId="0" fontId="39" fillId="0" borderId="17" xfId="0" applyFont="1" applyBorder="1"/>
    <xf numFmtId="2" fontId="8" fillId="0" borderId="17" xfId="4" applyNumberFormat="1" applyFont="1" applyFill="1" applyBorder="1" applyAlignment="1">
      <alignment horizontal="center" vertical="center"/>
    </xf>
    <xf numFmtId="169" fontId="10" fillId="0" borderId="17" xfId="1" applyNumberFormat="1" applyFont="1" applyFill="1" applyBorder="1" applyAlignment="1">
      <alignment horizontal="right" vertical="center"/>
    </xf>
    <xf numFmtId="169" fontId="8" fillId="0" borderId="42" xfId="2" applyNumberFormat="1" applyFont="1" applyBorder="1" applyAlignment="1">
      <alignment horizontal="center" vertical="center"/>
    </xf>
    <xf numFmtId="2" fontId="8" fillId="0" borderId="17" xfId="2" applyNumberFormat="1" applyFont="1" applyBorder="1" applyAlignment="1">
      <alignment horizontal="center" vertical="center"/>
    </xf>
    <xf numFmtId="44" fontId="8" fillId="0" borderId="17" xfId="6" applyNumberFormat="1" applyFont="1" applyFill="1" applyBorder="1" applyAlignment="1">
      <alignment horizontal="center" vertical="center"/>
    </xf>
    <xf numFmtId="44" fontId="8" fillId="0" borderId="17" xfId="2" applyNumberFormat="1" applyFont="1" applyBorder="1" applyAlignment="1">
      <alignment horizontal="center" vertical="center"/>
    </xf>
    <xf numFmtId="164" fontId="23" fillId="0" borderId="4" xfId="12" applyNumberFormat="1" applyFont="1" applyBorder="1" applyAlignment="1">
      <alignment horizontal="center"/>
    </xf>
    <xf numFmtId="39" fontId="0" fillId="4" borderId="2" xfId="13" applyNumberFormat="1" applyFont="1" applyFill="1" applyBorder="1" applyAlignment="1">
      <alignment horizontal="center" vertical="center"/>
    </xf>
    <xf numFmtId="39" fontId="0" fillId="4" borderId="4" xfId="13" applyNumberFormat="1" applyFont="1" applyFill="1" applyBorder="1" applyAlignment="1">
      <alignment horizontal="center" vertical="center"/>
    </xf>
    <xf numFmtId="164" fontId="0" fillId="0" borderId="17" xfId="1" applyFont="1" applyFill="1" applyBorder="1" applyAlignment="1">
      <alignment horizontal="center" vertical="center"/>
    </xf>
    <xf numFmtId="181" fontId="0" fillId="0" borderId="17" xfId="12" applyNumberFormat="1" applyFont="1" applyFill="1" applyBorder="1" applyAlignment="1">
      <alignment horizontal="center" vertical="center"/>
    </xf>
    <xf numFmtId="164" fontId="8" fillId="4" borderId="17" xfId="9" applyNumberFormat="1" applyFont="1" applyFill="1" applyBorder="1" applyAlignment="1">
      <alignment horizontal="center" vertical="center"/>
    </xf>
    <xf numFmtId="164" fontId="8" fillId="4" borderId="2" xfId="9" applyNumberFormat="1" applyFont="1" applyFill="1" applyBorder="1" applyAlignment="1">
      <alignment vertical="center"/>
    </xf>
    <xf numFmtId="0" fontId="8" fillId="4" borderId="0" xfId="2" applyFont="1" applyFill="1" applyAlignment="1">
      <alignment vertical="center"/>
    </xf>
    <xf numFmtId="0" fontId="41" fillId="0" borderId="0" xfId="0" applyFont="1" applyAlignment="1">
      <alignment horizontal="center"/>
    </xf>
    <xf numFmtId="9" fontId="41" fillId="0" borderId="0" xfId="0" applyNumberFormat="1" applyFont="1" applyAlignment="1">
      <alignment horizontal="center"/>
    </xf>
    <xf numFmtId="164" fontId="41" fillId="0" borderId="0" xfId="12" applyNumberFormat="1" applyFont="1" applyFill="1" applyBorder="1" applyAlignment="1">
      <alignment horizontal="center"/>
    </xf>
    <xf numFmtId="0" fontId="42" fillId="0" borderId="0" xfId="0" applyFont="1" applyAlignment="1">
      <alignment horizontal="center"/>
    </xf>
    <xf numFmtId="39" fontId="42" fillId="0" borderId="0" xfId="13" applyNumberFormat="1" applyFont="1" applyFill="1" applyBorder="1" applyAlignment="1">
      <alignment horizontal="center" vertical="center"/>
    </xf>
    <xf numFmtId="165" fontId="42" fillId="0" borderId="0" xfId="6" applyFont="1" applyFill="1" applyBorder="1" applyAlignment="1">
      <alignment horizontal="center" vertical="center"/>
    </xf>
    <xf numFmtId="164" fontId="41" fillId="0" borderId="0" xfId="12" applyNumberFormat="1" applyFont="1" applyFill="1" applyBorder="1"/>
    <xf numFmtId="0" fontId="19" fillId="0" borderId="2" xfId="2" applyFont="1" applyBorder="1" applyAlignment="1">
      <alignment horizontal="left" vertical="center" wrapText="1"/>
    </xf>
    <xf numFmtId="0" fontId="19" fillId="0" borderId="3" xfId="2" applyFont="1" applyBorder="1" applyAlignment="1">
      <alignment horizontal="left" vertical="center" wrapText="1"/>
    </xf>
    <xf numFmtId="0" fontId="19" fillId="0" borderId="4" xfId="2" applyFont="1" applyBorder="1" applyAlignment="1">
      <alignment horizontal="left" vertical="center" wrapText="1"/>
    </xf>
    <xf numFmtId="0" fontId="6" fillId="6" borderId="2" xfId="2" applyFont="1" applyFill="1" applyBorder="1" applyAlignment="1">
      <alignment horizontal="center" vertical="center" wrapText="1"/>
    </xf>
    <xf numFmtId="0" fontId="6" fillId="6" borderId="3" xfId="2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1" fontId="6" fillId="2" borderId="2" xfId="4" applyNumberFormat="1" applyFont="1" applyFill="1" applyBorder="1" applyAlignment="1">
      <alignment horizontal="center" vertical="center"/>
    </xf>
    <xf numFmtId="1" fontId="6" fillId="2" borderId="3" xfId="4" applyNumberFormat="1" applyFont="1" applyFill="1" applyBorder="1" applyAlignment="1">
      <alignment horizontal="center" vertical="center"/>
    </xf>
    <xf numFmtId="1" fontId="6" fillId="2" borderId="4" xfId="4" applyNumberFormat="1" applyFont="1" applyFill="1" applyBorder="1" applyAlignment="1">
      <alignment horizontal="center" vertical="center"/>
    </xf>
    <xf numFmtId="2" fontId="6" fillId="2" borderId="16" xfId="4" applyNumberFormat="1" applyFont="1" applyFill="1" applyBorder="1" applyAlignment="1">
      <alignment horizontal="center" vertical="center"/>
    </xf>
    <xf numFmtId="2" fontId="6" fillId="2" borderId="4" xfId="4" applyNumberFormat="1" applyFont="1" applyFill="1" applyBorder="1" applyAlignment="1">
      <alignment horizontal="center" vertical="center"/>
    </xf>
    <xf numFmtId="10" fontId="10" fillId="0" borderId="2" xfId="3" applyNumberFormat="1" applyFont="1" applyFill="1" applyBorder="1" applyAlignment="1">
      <alignment horizontal="center" vertical="center"/>
    </xf>
    <xf numFmtId="10" fontId="10" fillId="0" borderId="4" xfId="3" applyNumberFormat="1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right" vertical="center"/>
    </xf>
    <xf numFmtId="1" fontId="6" fillId="2" borderId="3" xfId="4" applyNumberFormat="1" applyFont="1" applyFill="1" applyBorder="1" applyAlignment="1">
      <alignment horizontal="right" vertical="center"/>
    </xf>
    <xf numFmtId="1" fontId="6" fillId="2" borderId="4" xfId="4" applyNumberFormat="1" applyFont="1" applyFill="1" applyBorder="1" applyAlignment="1">
      <alignment horizontal="right" vertical="center"/>
    </xf>
    <xf numFmtId="0" fontId="19" fillId="0" borderId="2" xfId="2" applyFont="1" applyBorder="1" applyAlignment="1">
      <alignment horizontal="center" vertical="center" wrapText="1"/>
    </xf>
    <xf numFmtId="0" fontId="19" fillId="0" borderId="3" xfId="2" applyFont="1" applyBorder="1" applyAlignment="1">
      <alignment horizontal="center" vertical="center" wrapText="1"/>
    </xf>
    <xf numFmtId="0" fontId="19" fillId="0" borderId="4" xfId="2" applyFont="1" applyBorder="1" applyAlignment="1">
      <alignment horizontal="center" vertical="center" wrapText="1"/>
    </xf>
    <xf numFmtId="0" fontId="6" fillId="6" borderId="19" xfId="2" applyFont="1" applyFill="1" applyBorder="1" applyAlignment="1">
      <alignment horizontal="center" vertical="center" wrapText="1"/>
    </xf>
    <xf numFmtId="0" fontId="6" fillId="6" borderId="32" xfId="2" applyFont="1" applyFill="1" applyBorder="1" applyAlignment="1">
      <alignment horizontal="center" vertical="center" wrapText="1"/>
    </xf>
    <xf numFmtId="169" fontId="6" fillId="2" borderId="5" xfId="4" applyNumberFormat="1" applyFont="1" applyFill="1" applyBorder="1" applyAlignment="1">
      <alignment horizontal="right" vertical="center"/>
    </xf>
    <xf numFmtId="169" fontId="6" fillId="2" borderId="6" xfId="4" applyNumberFormat="1" applyFont="1" applyFill="1" applyBorder="1" applyAlignment="1">
      <alignment horizontal="right" vertical="center"/>
    </xf>
    <xf numFmtId="169" fontId="6" fillId="2" borderId="7" xfId="4" applyNumberFormat="1" applyFont="1" applyFill="1" applyBorder="1" applyAlignment="1">
      <alignment horizontal="right" vertical="center"/>
    </xf>
    <xf numFmtId="0" fontId="6" fillId="6" borderId="23" xfId="2" applyFont="1" applyFill="1" applyBorder="1" applyAlignment="1">
      <alignment horizontal="center" vertical="center" wrapText="1"/>
    </xf>
    <xf numFmtId="0" fontId="8" fillId="0" borderId="2" xfId="2" applyFont="1" applyBorder="1" applyAlignment="1">
      <alignment horizontal="right" vertical="center"/>
    </xf>
    <xf numFmtId="0" fontId="8" fillId="0" borderId="3" xfId="2" applyFont="1" applyBorder="1" applyAlignment="1">
      <alignment horizontal="right" vertical="center"/>
    </xf>
    <xf numFmtId="0" fontId="8" fillId="0" borderId="4" xfId="2" applyFont="1" applyBorder="1" applyAlignment="1">
      <alignment horizontal="right" vertical="center"/>
    </xf>
    <xf numFmtId="169" fontId="6" fillId="2" borderId="2" xfId="4" applyNumberFormat="1" applyFont="1" applyFill="1" applyBorder="1" applyAlignment="1">
      <alignment horizontal="right" vertical="center"/>
    </xf>
    <xf numFmtId="169" fontId="6" fillId="2" borderId="3" xfId="4" applyNumberFormat="1" applyFont="1" applyFill="1" applyBorder="1" applyAlignment="1">
      <alignment horizontal="right" vertical="center"/>
    </xf>
    <xf numFmtId="169" fontId="6" fillId="2" borderId="4" xfId="4" applyNumberFormat="1" applyFont="1" applyFill="1" applyBorder="1" applyAlignment="1">
      <alignment horizontal="right" vertical="center"/>
    </xf>
    <xf numFmtId="0" fontId="6" fillId="6" borderId="20" xfId="2" applyFont="1" applyFill="1" applyBorder="1" applyAlignment="1">
      <alignment horizontal="center" vertical="center" wrapText="1"/>
    </xf>
    <xf numFmtId="0" fontId="8" fillId="0" borderId="41" xfId="2" applyFont="1" applyBorder="1" applyAlignment="1">
      <alignment horizontal="right" vertical="center"/>
    </xf>
    <xf numFmtId="0" fontId="8" fillId="0" borderId="12" xfId="2" applyFont="1" applyBorder="1" applyAlignment="1">
      <alignment horizontal="right" vertical="center"/>
    </xf>
    <xf numFmtId="169" fontId="6" fillId="2" borderId="38" xfId="4" applyNumberFormat="1" applyFont="1" applyFill="1" applyBorder="1" applyAlignment="1">
      <alignment horizontal="right" vertical="center"/>
    </xf>
    <xf numFmtId="169" fontId="6" fillId="2" borderId="31" xfId="4" applyNumberFormat="1" applyFont="1" applyFill="1" applyBorder="1" applyAlignment="1">
      <alignment horizontal="right" vertical="center"/>
    </xf>
    <xf numFmtId="0" fontId="37" fillId="0" borderId="10" xfId="2" applyFont="1" applyBorder="1" applyAlignment="1">
      <alignment horizontal="center" vertical="center" wrapText="1"/>
    </xf>
    <xf numFmtId="0" fontId="37" fillId="0" borderId="37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left" vertical="center" wrapText="1"/>
    </xf>
    <xf numFmtId="0" fontId="8" fillId="0" borderId="11" xfId="2" applyFont="1" applyBorder="1" applyAlignment="1">
      <alignment horizontal="left" vertical="center" wrapText="1"/>
    </xf>
    <xf numFmtId="0" fontId="37" fillId="0" borderId="11" xfId="2" applyFont="1" applyBorder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169" fontId="8" fillId="0" borderId="0" xfId="2" applyNumberFormat="1" applyFont="1" applyAlignment="1">
      <alignment horizontal="left" vertical="top"/>
    </xf>
    <xf numFmtId="0" fontId="6" fillId="0" borderId="21" xfId="2" applyFont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0" fontId="8" fillId="0" borderId="16" xfId="2" applyFont="1" applyBorder="1" applyAlignment="1">
      <alignment horizontal="left" vertical="center" wrapText="1"/>
    </xf>
    <xf numFmtId="166" fontId="37" fillId="0" borderId="10" xfId="2" applyNumberFormat="1" applyFont="1" applyBorder="1" applyAlignment="1">
      <alignment horizontal="center" vertical="center" wrapText="1"/>
    </xf>
    <xf numFmtId="166" fontId="37" fillId="0" borderId="37" xfId="2" applyNumberFormat="1" applyFont="1" applyBorder="1" applyAlignment="1">
      <alignment horizontal="center" vertical="center" wrapText="1"/>
    </xf>
    <xf numFmtId="169" fontId="6" fillId="2" borderId="8" xfId="4" applyNumberFormat="1" applyFont="1" applyFill="1" applyBorder="1" applyAlignment="1">
      <alignment horizontal="right" vertical="center"/>
    </xf>
    <xf numFmtId="169" fontId="6" fillId="2" borderId="21" xfId="4" applyNumberFormat="1" applyFont="1" applyFill="1" applyBorder="1" applyAlignment="1">
      <alignment horizontal="right" vertical="center"/>
    </xf>
    <xf numFmtId="169" fontId="6" fillId="2" borderId="9" xfId="4" applyNumberFormat="1" applyFont="1" applyFill="1" applyBorder="1" applyAlignment="1">
      <alignment horizontal="right" vertical="center"/>
    </xf>
    <xf numFmtId="0" fontId="16" fillId="0" borderId="0" xfId="0" applyFont="1" applyAlignment="1">
      <alignment horizontal="justify" vertical="center" wrapText="1"/>
    </xf>
    <xf numFmtId="167" fontId="8" fillId="0" borderId="23" xfId="3" applyNumberFormat="1" applyFont="1" applyFill="1" applyBorder="1" applyAlignment="1">
      <alignment horizontal="center" vertical="center"/>
    </xf>
    <xf numFmtId="10" fontId="8" fillId="0" borderId="23" xfId="3" applyNumberFormat="1" applyFont="1" applyFill="1" applyBorder="1" applyAlignment="1">
      <alignment horizontal="center" vertical="center"/>
    </xf>
    <xf numFmtId="0" fontId="6" fillId="2" borderId="23" xfId="2" applyFont="1" applyFill="1" applyBorder="1" applyAlignment="1">
      <alignment horizontal="center" vertical="center" wrapText="1"/>
    </xf>
    <xf numFmtId="167" fontId="6" fillId="2" borderId="23" xfId="3" applyNumberFormat="1" applyFont="1" applyFill="1" applyBorder="1" applyAlignment="1">
      <alignment horizontal="center" vertical="center"/>
    </xf>
    <xf numFmtId="0" fontId="6" fillId="5" borderId="23" xfId="2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vertical="center" wrapText="1"/>
    </xf>
    <xf numFmtId="44" fontId="8" fillId="0" borderId="23" xfId="3" applyNumberFormat="1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8" fillId="0" borderId="23" xfId="2" applyFont="1" applyBorder="1" applyAlignment="1">
      <alignment horizontal="left" vertical="center" wrapText="1"/>
    </xf>
    <xf numFmtId="166" fontId="6" fillId="0" borderId="23" xfId="2" applyNumberFormat="1" applyFont="1" applyBorder="1" applyAlignment="1">
      <alignment horizontal="center" vertical="center" wrapText="1"/>
    </xf>
    <xf numFmtId="0" fontId="6" fillId="0" borderId="23" xfId="2" applyFont="1" applyBorder="1" applyAlignment="1">
      <alignment horizontal="center" vertical="center" wrapText="1"/>
    </xf>
    <xf numFmtId="0" fontId="8" fillId="0" borderId="23" xfId="2" applyFont="1" applyBorder="1" applyAlignment="1">
      <alignment vertical="center" wrapText="1"/>
    </xf>
    <xf numFmtId="0" fontId="6" fillId="0" borderId="29" xfId="2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 wrapText="1"/>
    </xf>
    <xf numFmtId="0" fontId="6" fillId="3" borderId="23" xfId="2" applyFont="1" applyFill="1" applyBorder="1" applyAlignment="1">
      <alignment horizontal="center" vertical="center" wrapText="1"/>
    </xf>
    <xf numFmtId="43" fontId="6" fillId="5" borderId="23" xfId="2" applyNumberFormat="1" applyFont="1" applyFill="1" applyBorder="1" applyAlignment="1">
      <alignment horizontal="center" vertical="center" wrapText="1"/>
    </xf>
    <xf numFmtId="0" fontId="6" fillId="5" borderId="24" xfId="2" applyFont="1" applyFill="1" applyBorder="1" applyAlignment="1">
      <alignment horizontal="center" vertical="center" wrapText="1"/>
    </xf>
    <xf numFmtId="167" fontId="8" fillId="0" borderId="29" xfId="3" applyNumberFormat="1" applyFont="1" applyFill="1" applyBorder="1" applyAlignment="1">
      <alignment horizontal="center" vertical="center"/>
    </xf>
    <xf numFmtId="167" fontId="8" fillId="0" borderId="30" xfId="3" applyNumberFormat="1" applyFont="1" applyFill="1" applyBorder="1" applyAlignment="1">
      <alignment horizontal="center" vertical="center"/>
    </xf>
    <xf numFmtId="167" fontId="6" fillId="2" borderId="29" xfId="3" applyNumberFormat="1" applyFont="1" applyFill="1" applyBorder="1" applyAlignment="1">
      <alignment horizontal="center" vertical="center"/>
    </xf>
    <xf numFmtId="167" fontId="6" fillId="2" borderId="30" xfId="3" applyNumberFormat="1" applyFont="1" applyFill="1" applyBorder="1" applyAlignment="1">
      <alignment horizontal="center" vertical="center"/>
    </xf>
    <xf numFmtId="0" fontId="6" fillId="5" borderId="29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6" fillId="5" borderId="30" xfId="2" applyFont="1" applyFill="1" applyBorder="1" applyAlignment="1">
      <alignment horizontal="center" vertical="center" wrapText="1"/>
    </xf>
    <xf numFmtId="0" fontId="6" fillId="2" borderId="29" xfId="2" applyFont="1" applyFill="1" applyBorder="1" applyAlignment="1">
      <alignment vertical="center" wrapText="1"/>
    </xf>
    <xf numFmtId="0" fontId="6" fillId="2" borderId="30" xfId="2" applyFont="1" applyFill="1" applyBorder="1" applyAlignment="1">
      <alignment vertical="center" wrapText="1"/>
    </xf>
    <xf numFmtId="0" fontId="6" fillId="2" borderId="29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30" xfId="2" applyFont="1" applyFill="1" applyBorder="1" applyAlignment="1">
      <alignment horizontal="center" vertical="center" wrapText="1"/>
    </xf>
    <xf numFmtId="44" fontId="8" fillId="0" borderId="29" xfId="3" applyNumberFormat="1" applyFont="1" applyFill="1" applyBorder="1" applyAlignment="1">
      <alignment horizontal="center" vertical="center"/>
    </xf>
    <xf numFmtId="44" fontId="8" fillId="0" borderId="30" xfId="3" applyNumberFormat="1" applyFont="1" applyFill="1" applyBorder="1" applyAlignment="1">
      <alignment horizontal="center" vertical="center"/>
    </xf>
    <xf numFmtId="0" fontId="6" fillId="0" borderId="6" xfId="2" applyFont="1" applyBorder="1" applyAlignment="1">
      <alignment horizontal="left" vertical="center" wrapText="1"/>
    </xf>
    <xf numFmtId="0" fontId="6" fillId="0" borderId="6" xfId="2" applyFont="1" applyBorder="1" applyAlignment="1">
      <alignment horizontal="center" vertical="center" wrapText="1"/>
    </xf>
    <xf numFmtId="0" fontId="8" fillId="0" borderId="29" xfId="2" applyFont="1" applyBorder="1" applyAlignment="1">
      <alignment horizontal="left" vertical="center" wrapText="1"/>
    </xf>
    <xf numFmtId="0" fontId="8" fillId="0" borderId="30" xfId="2" applyFont="1" applyBorder="1" applyAlignment="1">
      <alignment horizontal="left" vertical="center" wrapText="1"/>
    </xf>
    <xf numFmtId="0" fontId="8" fillId="0" borderId="29" xfId="2" applyFont="1" applyBorder="1" applyAlignment="1">
      <alignment vertical="center" wrapText="1"/>
    </xf>
    <xf numFmtId="0" fontId="8" fillId="0" borderId="30" xfId="2" applyFont="1" applyBorder="1" applyAlignment="1">
      <alignment vertical="center" wrapText="1"/>
    </xf>
    <xf numFmtId="0" fontId="6" fillId="3" borderId="29" xfId="2" applyFont="1" applyFill="1" applyBorder="1" applyAlignment="1">
      <alignment horizontal="center" vertical="center" wrapText="1"/>
    </xf>
    <xf numFmtId="0" fontId="6" fillId="3" borderId="30" xfId="2" applyFont="1" applyFill="1" applyBorder="1" applyAlignment="1">
      <alignment horizontal="center" vertical="center" wrapText="1"/>
    </xf>
    <xf numFmtId="43" fontId="6" fillId="5" borderId="29" xfId="2" applyNumberFormat="1" applyFont="1" applyFill="1" applyBorder="1" applyAlignment="1">
      <alignment horizontal="center" vertical="center" wrapText="1"/>
    </xf>
    <xf numFmtId="43" fontId="6" fillId="5" borderId="30" xfId="2" applyNumberFormat="1" applyFont="1" applyFill="1" applyBorder="1" applyAlignment="1">
      <alignment horizontal="center" vertical="center" wrapText="1"/>
    </xf>
    <xf numFmtId="0" fontId="6" fillId="4" borderId="23" xfId="2" applyFont="1" applyFill="1" applyBorder="1" applyAlignment="1">
      <alignment horizontal="center" vertical="center" wrapText="1"/>
    </xf>
    <xf numFmtId="0" fontId="6" fillId="2" borderId="25" xfId="2" applyFont="1" applyFill="1" applyBorder="1" applyAlignment="1">
      <alignment horizontal="center" vertical="center" wrapText="1"/>
    </xf>
    <xf numFmtId="0" fontId="6" fillId="2" borderId="26" xfId="2" applyFont="1" applyFill="1" applyBorder="1" applyAlignment="1">
      <alignment horizontal="center" vertical="center" wrapText="1"/>
    </xf>
    <xf numFmtId="0" fontId="6" fillId="2" borderId="27" xfId="2" applyFont="1" applyFill="1" applyBorder="1" applyAlignment="1">
      <alignment horizontal="center" vertical="center" wrapText="1"/>
    </xf>
    <xf numFmtId="0" fontId="28" fillId="0" borderId="23" xfId="0" applyFont="1" applyBorder="1" applyAlignment="1">
      <alignment horizontal="center" wrapText="1"/>
    </xf>
    <xf numFmtId="166" fontId="6" fillId="0" borderId="29" xfId="2" applyNumberFormat="1" applyFont="1" applyBorder="1" applyAlignment="1">
      <alignment horizontal="center" vertical="center" wrapText="1"/>
    </xf>
    <xf numFmtId="166" fontId="6" fillId="0" borderId="30" xfId="2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164" fontId="0" fillId="2" borderId="19" xfId="1" applyFont="1" applyFill="1" applyBorder="1" applyAlignment="1">
      <alignment horizontal="center"/>
    </xf>
    <xf numFmtId="164" fontId="0" fillId="2" borderId="20" xfId="1" applyFont="1" applyFill="1" applyBorder="1" applyAlignment="1">
      <alignment horizont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right" vertical="center"/>
    </xf>
    <xf numFmtId="0" fontId="23" fillId="2" borderId="3" xfId="0" applyFont="1" applyFill="1" applyBorder="1" applyAlignment="1">
      <alignment horizontal="right" vertical="center"/>
    </xf>
    <xf numFmtId="0" fontId="23" fillId="2" borderId="4" xfId="0" applyFont="1" applyFill="1" applyBorder="1" applyAlignment="1">
      <alignment horizontal="right" vertical="center"/>
    </xf>
    <xf numFmtId="0" fontId="23" fillId="2" borderId="2" xfId="0" applyFont="1" applyFill="1" applyBorder="1" applyAlignment="1">
      <alignment horizontal="left"/>
    </xf>
    <xf numFmtId="0" fontId="23" fillId="2" borderId="3" xfId="0" applyFont="1" applyFill="1" applyBorder="1" applyAlignment="1">
      <alignment horizontal="left"/>
    </xf>
    <xf numFmtId="0" fontId="23" fillId="2" borderId="4" xfId="0" applyFont="1" applyFill="1" applyBorder="1" applyAlignment="1">
      <alignment horizontal="left"/>
    </xf>
    <xf numFmtId="0" fontId="23" fillId="0" borderId="2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6" fillId="6" borderId="2" xfId="2" applyFont="1" applyFill="1" applyBorder="1" applyAlignment="1">
      <alignment horizontal="center" vertical="center"/>
    </xf>
    <xf numFmtId="0" fontId="6" fillId="6" borderId="3" xfId="2" applyFont="1" applyFill="1" applyBorder="1" applyAlignment="1">
      <alignment horizontal="center" vertical="center"/>
    </xf>
    <xf numFmtId="0" fontId="6" fillId="6" borderId="4" xfId="2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/>
    </xf>
    <xf numFmtId="0" fontId="23" fillId="2" borderId="3" xfId="0" applyFont="1" applyFill="1" applyBorder="1" applyAlignment="1">
      <alignment horizontal="center"/>
    </xf>
    <xf numFmtId="0" fontId="23" fillId="2" borderId="4" xfId="0" applyFont="1" applyFill="1" applyBorder="1" applyAlignment="1">
      <alignment horizontal="center"/>
    </xf>
    <xf numFmtId="0" fontId="25" fillId="0" borderId="1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right"/>
    </xf>
    <xf numFmtId="0" fontId="23" fillId="2" borderId="3" xfId="0" applyFont="1" applyFill="1" applyBorder="1" applyAlignment="1">
      <alignment horizontal="right"/>
    </xf>
    <xf numFmtId="0" fontId="23" fillId="2" borderId="4" xfId="0" applyFont="1" applyFill="1" applyBorder="1" applyAlignment="1">
      <alignment horizontal="right"/>
    </xf>
    <xf numFmtId="0" fontId="24" fillId="0" borderId="0" xfId="0" applyFont="1" applyAlignment="1">
      <alignment horizontal="center" vertical="center" wrapText="1"/>
    </xf>
    <xf numFmtId="164" fontId="0" fillId="2" borderId="2" xfId="1" applyFont="1" applyFill="1" applyBorder="1" applyAlignment="1">
      <alignment horizontal="center"/>
    </xf>
    <xf numFmtId="164" fontId="0" fillId="2" borderId="4" xfId="1" applyFont="1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5" fillId="4" borderId="19" xfId="0" applyFont="1" applyFill="1" applyBorder="1" applyAlignment="1">
      <alignment horizontal="center" vertical="center" wrapText="1"/>
    </xf>
    <xf numFmtId="0" fontId="25" fillId="4" borderId="20" xfId="0" applyFont="1" applyFill="1" applyBorder="1" applyAlignment="1">
      <alignment horizontal="center" vertical="center" wrapText="1"/>
    </xf>
    <xf numFmtId="0" fontId="25" fillId="4" borderId="13" xfId="0" applyFont="1" applyFill="1" applyBorder="1" applyAlignment="1">
      <alignment horizontal="center" vertical="center" wrapText="1"/>
    </xf>
    <xf numFmtId="0" fontId="25" fillId="4" borderId="14" xfId="0" applyFont="1" applyFill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center" vertical="center" wrapText="1"/>
    </xf>
    <xf numFmtId="0" fontId="25" fillId="4" borderId="9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/>
    </xf>
    <xf numFmtId="0" fontId="23" fillId="4" borderId="4" xfId="0" applyFont="1" applyFill="1" applyBorder="1" applyAlignment="1">
      <alignment horizontal="center"/>
    </xf>
    <xf numFmtId="164" fontId="23" fillId="4" borderId="2" xfId="1" applyFont="1" applyFill="1" applyBorder="1" applyAlignment="1">
      <alignment horizontal="center"/>
    </xf>
    <xf numFmtId="164" fontId="23" fillId="4" borderId="4" xfId="1" applyFont="1" applyFill="1" applyBorder="1" applyAlignment="1">
      <alignment horizontal="center"/>
    </xf>
    <xf numFmtId="0" fontId="0" fillId="4" borderId="2" xfId="0" applyFill="1" applyBorder="1" applyAlignment="1">
      <alignment horizontal="left"/>
    </xf>
    <xf numFmtId="0" fontId="0" fillId="4" borderId="4" xfId="0" applyFill="1" applyBorder="1" applyAlignment="1">
      <alignment horizontal="left"/>
    </xf>
    <xf numFmtId="39" fontId="0" fillId="4" borderId="2" xfId="6" applyNumberFormat="1" applyFont="1" applyFill="1" applyBorder="1" applyAlignment="1">
      <alignment horizontal="center" vertical="center"/>
    </xf>
    <xf numFmtId="39" fontId="0" fillId="4" borderId="4" xfId="6" applyNumberFormat="1" applyFont="1" applyFill="1" applyBorder="1" applyAlignment="1">
      <alignment horizontal="center" vertical="center"/>
    </xf>
    <xf numFmtId="164" fontId="23" fillId="0" borderId="2" xfId="1" applyFont="1" applyBorder="1" applyAlignment="1">
      <alignment horizontal="center"/>
    </xf>
    <xf numFmtId="164" fontId="23" fillId="0" borderId="4" xfId="1" applyFont="1" applyBorder="1" applyAlignment="1">
      <alignment horizontal="center"/>
    </xf>
    <xf numFmtId="0" fontId="24" fillId="0" borderId="3" xfId="0" applyFont="1" applyBorder="1" applyAlignment="1">
      <alignment horizontal="center" vertical="center" wrapText="1"/>
    </xf>
    <xf numFmtId="164" fontId="0" fillId="2" borderId="19" xfId="12" applyNumberFormat="1" applyFont="1" applyFill="1" applyBorder="1" applyAlignment="1">
      <alignment horizontal="center"/>
    </xf>
    <xf numFmtId="164" fontId="0" fillId="2" borderId="20" xfId="12" applyNumberFormat="1" applyFont="1" applyFill="1" applyBorder="1" applyAlignment="1">
      <alignment horizontal="center"/>
    </xf>
    <xf numFmtId="0" fontId="23" fillId="2" borderId="19" xfId="0" applyFont="1" applyFill="1" applyBorder="1" applyAlignment="1">
      <alignment horizontal="left"/>
    </xf>
    <xf numFmtId="0" fontId="23" fillId="2" borderId="32" xfId="0" applyFont="1" applyFill="1" applyBorder="1" applyAlignment="1">
      <alignment horizontal="left"/>
    </xf>
    <xf numFmtId="0" fontId="23" fillId="2" borderId="20" xfId="0" applyFont="1" applyFill="1" applyBorder="1" applyAlignment="1">
      <alignment horizontal="left"/>
    </xf>
    <xf numFmtId="164" fontId="0" fillId="2" borderId="2" xfId="12" applyNumberFormat="1" applyFont="1" applyFill="1" applyBorder="1" applyAlignment="1">
      <alignment horizontal="center"/>
    </xf>
    <xf numFmtId="164" fontId="0" fillId="2" borderId="4" xfId="12" applyNumberFormat="1" applyFont="1" applyFill="1" applyBorder="1" applyAlignment="1">
      <alignment horizontal="center"/>
    </xf>
    <xf numFmtId="0" fontId="41" fillId="0" borderId="0" xfId="0" applyFont="1" applyAlignment="1">
      <alignment horizontal="left"/>
    </xf>
    <xf numFmtId="164" fontId="42" fillId="0" borderId="0" xfId="12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 vertical="center" wrapText="1"/>
    </xf>
    <xf numFmtId="0" fontId="42" fillId="0" borderId="0" xfId="0" applyFont="1" applyAlignment="1">
      <alignment horizontal="left"/>
    </xf>
    <xf numFmtId="0" fontId="41" fillId="0" borderId="0" xfId="0" applyFont="1" applyAlignment="1">
      <alignment horizontal="right"/>
    </xf>
    <xf numFmtId="0" fontId="23" fillId="0" borderId="0" xfId="0" applyFont="1" applyAlignment="1">
      <alignment horizontal="center"/>
    </xf>
    <xf numFmtId="0" fontId="6" fillId="5" borderId="29" xfId="2" applyFont="1" applyFill="1" applyBorder="1" applyAlignment="1">
      <alignment horizontal="center" vertical="center"/>
    </xf>
    <xf numFmtId="0" fontId="6" fillId="5" borderId="1" xfId="2" applyFont="1" applyFill="1" applyBorder="1" applyAlignment="1">
      <alignment horizontal="center" vertical="center"/>
    </xf>
    <xf numFmtId="0" fontId="6" fillId="5" borderId="30" xfId="2" applyFont="1" applyFill="1" applyBorder="1" applyAlignment="1">
      <alignment horizontal="center" vertical="center"/>
    </xf>
    <xf numFmtId="0" fontId="6" fillId="5" borderId="29" xfId="2" applyFont="1" applyFill="1" applyBorder="1" applyAlignment="1">
      <alignment horizontal="right" vertical="center"/>
    </xf>
    <xf numFmtId="0" fontId="6" fillId="5" borderId="1" xfId="2" applyFont="1" applyFill="1" applyBorder="1" applyAlignment="1">
      <alignment horizontal="right" vertical="center"/>
    </xf>
    <xf numFmtId="0" fontId="6" fillId="5" borderId="30" xfId="2" applyFont="1" applyFill="1" applyBorder="1" applyAlignment="1">
      <alignment horizontal="right" vertical="center"/>
    </xf>
    <xf numFmtId="165" fontId="8" fillId="0" borderId="17" xfId="6" applyFont="1" applyFill="1" applyBorder="1" applyAlignment="1">
      <alignment horizontal="center" vertical="center"/>
    </xf>
    <xf numFmtId="0" fontId="40" fillId="0" borderId="0" xfId="9" applyFill="1" applyAlignment="1">
      <alignment vertical="center"/>
    </xf>
    <xf numFmtId="0" fontId="44" fillId="0" borderId="0" xfId="16" applyFill="1" applyAlignment="1">
      <alignment vertical="center" wrapText="1"/>
    </xf>
  </cellXfs>
  <cellStyles count="17">
    <cellStyle name="Bom" xfId="9" builtinId="26"/>
    <cellStyle name="Hiperlink Visitado" xfId="5" builtinId="9" hidden="1"/>
    <cellStyle name="Hiperlink Visitado" xfId="10" builtinId="9" hidden="1"/>
    <cellStyle name="Hiperlink Visitado" xfId="11" builtinId="9" hidden="1"/>
    <cellStyle name="Hiperlink Visitado" xfId="14" builtinId="9" hidden="1"/>
    <cellStyle name="Moeda" xfId="1" builtinId="4"/>
    <cellStyle name="Moeda 2" xfId="4" xr:uid="{00000000-0005-0000-0000-000006000000}"/>
    <cellStyle name="Moeda 4" xfId="12" xr:uid="{00000000-0005-0000-0000-000007000000}"/>
    <cellStyle name="Moeda 5" xfId="15" xr:uid="{00000000-0005-0000-0000-000008000000}"/>
    <cellStyle name="Neutro" xfId="16" builtinId="28"/>
    <cellStyle name="Normal" xfId="0" builtinId="0"/>
    <cellStyle name="Normal 2" xfId="2" xr:uid="{00000000-0005-0000-0000-00000B000000}"/>
    <cellStyle name="Normal 3" xfId="8" xr:uid="{00000000-0005-0000-0000-00000C000000}"/>
    <cellStyle name="Porcentagem" xfId="7" builtinId="5"/>
    <cellStyle name="Porcentagem 6" xfId="3" xr:uid="{00000000-0005-0000-0000-00000E000000}"/>
    <cellStyle name="Separador de milhares 3" xfId="13" xr:uid="{00000000-0005-0000-0000-000010000000}"/>
    <cellStyle name="Vírgula" xfId="6" builtinId="3"/>
  </cellStyles>
  <dxfs count="0"/>
  <tableStyles count="1" defaultTableStyle="TableStyleMedium9" defaultPivotStyle="PivotStyleLight16">
    <tableStyle name="Único" pivot="0" count="0" xr9:uid="{00000000-0011-0000-FFFF-FFFF00000000}"/>
  </tableStyles>
  <colors>
    <mruColors>
      <color rgb="FFE2A1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</sheetPr>
  <dimension ref="A1:J125"/>
  <sheetViews>
    <sheetView showGridLines="0" topLeftCell="A76" zoomScaleNormal="100" zoomScalePageLayoutView="125" workbookViewId="0">
      <selection activeCell="H104" sqref="H104"/>
    </sheetView>
  </sheetViews>
  <sheetFormatPr defaultRowHeight="15"/>
  <cols>
    <col min="1" max="1" width="5.75" style="2" customWidth="1"/>
    <col min="2" max="2" width="47.875" style="2" bestFit="1" customWidth="1"/>
    <col min="3" max="3" width="13.875" style="1" bestFit="1" customWidth="1"/>
    <col min="4" max="4" width="9.75" style="18" customWidth="1"/>
    <col min="5" max="5" width="15.5" style="13" bestFit="1" customWidth="1"/>
    <col min="6" max="6" width="17.625" style="13" bestFit="1" customWidth="1"/>
    <col min="7" max="7" width="3.25" style="2" customWidth="1"/>
    <col min="8" max="8" width="3.5" style="2" customWidth="1"/>
    <col min="9" max="9" width="12.5" style="2" bestFit="1" customWidth="1"/>
    <col min="10" max="10" width="47.5" style="2" customWidth="1"/>
    <col min="11" max="251" width="8.75" style="2"/>
    <col min="252" max="252" width="5.75" style="2" customWidth="1"/>
    <col min="253" max="253" width="82.5" style="2" customWidth="1"/>
    <col min="254" max="254" width="13.5" style="2" customWidth="1"/>
    <col min="255" max="255" width="24" style="2" customWidth="1"/>
    <col min="256" max="256" width="10.25" style="2" customWidth="1"/>
    <col min="257" max="258" width="0" style="2" hidden="1" customWidth="1"/>
    <col min="259" max="507" width="8.75" style="2"/>
    <col min="508" max="508" width="5.75" style="2" customWidth="1"/>
    <col min="509" max="509" width="82.5" style="2" customWidth="1"/>
    <col min="510" max="510" width="13.5" style="2" customWidth="1"/>
    <col min="511" max="511" width="24" style="2" customWidth="1"/>
    <col min="512" max="512" width="10.25" style="2" customWidth="1"/>
    <col min="513" max="514" width="0" style="2" hidden="1" customWidth="1"/>
    <col min="515" max="763" width="8.75" style="2"/>
    <col min="764" max="764" width="5.75" style="2" customWidth="1"/>
    <col min="765" max="765" width="82.5" style="2" customWidth="1"/>
    <col min="766" max="766" width="13.5" style="2" customWidth="1"/>
    <col min="767" max="767" width="24" style="2" customWidth="1"/>
    <col min="768" max="768" width="10.25" style="2" customWidth="1"/>
    <col min="769" max="770" width="0" style="2" hidden="1" customWidth="1"/>
    <col min="771" max="1019" width="8.75" style="2"/>
    <col min="1020" max="1020" width="5.75" style="2" customWidth="1"/>
    <col min="1021" max="1021" width="82.5" style="2" customWidth="1"/>
    <col min="1022" max="1022" width="13.5" style="2" customWidth="1"/>
    <col min="1023" max="1023" width="24" style="2" customWidth="1"/>
    <col min="1024" max="1024" width="10.25" style="2" customWidth="1"/>
    <col min="1025" max="1026" width="0" style="2" hidden="1" customWidth="1"/>
    <col min="1027" max="1275" width="8.75" style="2"/>
    <col min="1276" max="1276" width="5.75" style="2" customWidth="1"/>
    <col min="1277" max="1277" width="82.5" style="2" customWidth="1"/>
    <col min="1278" max="1278" width="13.5" style="2" customWidth="1"/>
    <col min="1279" max="1279" width="24" style="2" customWidth="1"/>
    <col min="1280" max="1280" width="10.25" style="2" customWidth="1"/>
    <col min="1281" max="1282" width="0" style="2" hidden="1" customWidth="1"/>
    <col min="1283" max="1531" width="8.75" style="2"/>
    <col min="1532" max="1532" width="5.75" style="2" customWidth="1"/>
    <col min="1533" max="1533" width="82.5" style="2" customWidth="1"/>
    <col min="1534" max="1534" width="13.5" style="2" customWidth="1"/>
    <col min="1535" max="1535" width="24" style="2" customWidth="1"/>
    <col min="1536" max="1536" width="10.25" style="2" customWidth="1"/>
    <col min="1537" max="1538" width="0" style="2" hidden="1" customWidth="1"/>
    <col min="1539" max="1787" width="8.75" style="2"/>
    <col min="1788" max="1788" width="5.75" style="2" customWidth="1"/>
    <col min="1789" max="1789" width="82.5" style="2" customWidth="1"/>
    <col min="1790" max="1790" width="13.5" style="2" customWidth="1"/>
    <col min="1791" max="1791" width="24" style="2" customWidth="1"/>
    <col min="1792" max="1792" width="10.25" style="2" customWidth="1"/>
    <col min="1793" max="1794" width="0" style="2" hidden="1" customWidth="1"/>
    <col min="1795" max="2043" width="8.75" style="2"/>
    <col min="2044" max="2044" width="5.75" style="2" customWidth="1"/>
    <col min="2045" max="2045" width="82.5" style="2" customWidth="1"/>
    <col min="2046" max="2046" width="13.5" style="2" customWidth="1"/>
    <col min="2047" max="2047" width="24" style="2" customWidth="1"/>
    <col min="2048" max="2048" width="10.25" style="2" customWidth="1"/>
    <col min="2049" max="2050" width="0" style="2" hidden="1" customWidth="1"/>
    <col min="2051" max="2299" width="8.75" style="2"/>
    <col min="2300" max="2300" width="5.75" style="2" customWidth="1"/>
    <col min="2301" max="2301" width="82.5" style="2" customWidth="1"/>
    <col min="2302" max="2302" width="13.5" style="2" customWidth="1"/>
    <col min="2303" max="2303" width="24" style="2" customWidth="1"/>
    <col min="2304" max="2304" width="10.25" style="2" customWidth="1"/>
    <col min="2305" max="2306" width="0" style="2" hidden="1" customWidth="1"/>
    <col min="2307" max="2555" width="8.75" style="2"/>
    <col min="2556" max="2556" width="5.75" style="2" customWidth="1"/>
    <col min="2557" max="2557" width="82.5" style="2" customWidth="1"/>
    <col min="2558" max="2558" width="13.5" style="2" customWidth="1"/>
    <col min="2559" max="2559" width="24" style="2" customWidth="1"/>
    <col min="2560" max="2560" width="10.25" style="2" customWidth="1"/>
    <col min="2561" max="2562" width="0" style="2" hidden="1" customWidth="1"/>
    <col min="2563" max="2811" width="8.75" style="2"/>
    <col min="2812" max="2812" width="5.75" style="2" customWidth="1"/>
    <col min="2813" max="2813" width="82.5" style="2" customWidth="1"/>
    <col min="2814" max="2814" width="13.5" style="2" customWidth="1"/>
    <col min="2815" max="2815" width="24" style="2" customWidth="1"/>
    <col min="2816" max="2816" width="10.25" style="2" customWidth="1"/>
    <col min="2817" max="2818" width="0" style="2" hidden="1" customWidth="1"/>
    <col min="2819" max="3067" width="8.75" style="2"/>
    <col min="3068" max="3068" width="5.75" style="2" customWidth="1"/>
    <col min="3069" max="3069" width="82.5" style="2" customWidth="1"/>
    <col min="3070" max="3070" width="13.5" style="2" customWidth="1"/>
    <col min="3071" max="3071" width="24" style="2" customWidth="1"/>
    <col min="3072" max="3072" width="10.25" style="2" customWidth="1"/>
    <col min="3073" max="3074" width="0" style="2" hidden="1" customWidth="1"/>
    <col min="3075" max="3323" width="8.75" style="2"/>
    <col min="3324" max="3324" width="5.75" style="2" customWidth="1"/>
    <col min="3325" max="3325" width="82.5" style="2" customWidth="1"/>
    <col min="3326" max="3326" width="13.5" style="2" customWidth="1"/>
    <col min="3327" max="3327" width="24" style="2" customWidth="1"/>
    <col min="3328" max="3328" width="10.25" style="2" customWidth="1"/>
    <col min="3329" max="3330" width="0" style="2" hidden="1" customWidth="1"/>
    <col min="3331" max="3579" width="8.75" style="2"/>
    <col min="3580" max="3580" width="5.75" style="2" customWidth="1"/>
    <col min="3581" max="3581" width="82.5" style="2" customWidth="1"/>
    <col min="3582" max="3582" width="13.5" style="2" customWidth="1"/>
    <col min="3583" max="3583" width="24" style="2" customWidth="1"/>
    <col min="3584" max="3584" width="10.25" style="2" customWidth="1"/>
    <col min="3585" max="3586" width="0" style="2" hidden="1" customWidth="1"/>
    <col min="3587" max="3835" width="8.75" style="2"/>
    <col min="3836" max="3836" width="5.75" style="2" customWidth="1"/>
    <col min="3837" max="3837" width="82.5" style="2" customWidth="1"/>
    <col min="3838" max="3838" width="13.5" style="2" customWidth="1"/>
    <col min="3839" max="3839" width="24" style="2" customWidth="1"/>
    <col min="3840" max="3840" width="10.25" style="2" customWidth="1"/>
    <col min="3841" max="3842" width="0" style="2" hidden="1" customWidth="1"/>
    <col min="3843" max="4091" width="8.75" style="2"/>
    <col min="4092" max="4092" width="5.75" style="2" customWidth="1"/>
    <col min="4093" max="4093" width="82.5" style="2" customWidth="1"/>
    <col min="4094" max="4094" width="13.5" style="2" customWidth="1"/>
    <col min="4095" max="4095" width="24" style="2" customWidth="1"/>
    <col min="4096" max="4096" width="10.25" style="2" customWidth="1"/>
    <col min="4097" max="4098" width="0" style="2" hidden="1" customWidth="1"/>
    <col min="4099" max="4347" width="8.75" style="2"/>
    <col min="4348" max="4348" width="5.75" style="2" customWidth="1"/>
    <col min="4349" max="4349" width="82.5" style="2" customWidth="1"/>
    <col min="4350" max="4350" width="13.5" style="2" customWidth="1"/>
    <col min="4351" max="4351" width="24" style="2" customWidth="1"/>
    <col min="4352" max="4352" width="10.25" style="2" customWidth="1"/>
    <col min="4353" max="4354" width="0" style="2" hidden="1" customWidth="1"/>
    <col min="4355" max="4603" width="8.75" style="2"/>
    <col min="4604" max="4604" width="5.75" style="2" customWidth="1"/>
    <col min="4605" max="4605" width="82.5" style="2" customWidth="1"/>
    <col min="4606" max="4606" width="13.5" style="2" customWidth="1"/>
    <col min="4607" max="4607" width="24" style="2" customWidth="1"/>
    <col min="4608" max="4608" width="10.25" style="2" customWidth="1"/>
    <col min="4609" max="4610" width="0" style="2" hidden="1" customWidth="1"/>
    <col min="4611" max="4859" width="8.75" style="2"/>
    <col min="4860" max="4860" width="5.75" style="2" customWidth="1"/>
    <col min="4861" max="4861" width="82.5" style="2" customWidth="1"/>
    <col min="4862" max="4862" width="13.5" style="2" customWidth="1"/>
    <col min="4863" max="4863" width="24" style="2" customWidth="1"/>
    <col min="4864" max="4864" width="10.25" style="2" customWidth="1"/>
    <col min="4865" max="4866" width="0" style="2" hidden="1" customWidth="1"/>
    <col min="4867" max="5115" width="8.75" style="2"/>
    <col min="5116" max="5116" width="5.75" style="2" customWidth="1"/>
    <col min="5117" max="5117" width="82.5" style="2" customWidth="1"/>
    <col min="5118" max="5118" width="13.5" style="2" customWidth="1"/>
    <col min="5119" max="5119" width="24" style="2" customWidth="1"/>
    <col min="5120" max="5120" width="10.25" style="2" customWidth="1"/>
    <col min="5121" max="5122" width="0" style="2" hidden="1" customWidth="1"/>
    <col min="5123" max="5371" width="8.75" style="2"/>
    <col min="5372" max="5372" width="5.75" style="2" customWidth="1"/>
    <col min="5373" max="5373" width="82.5" style="2" customWidth="1"/>
    <col min="5374" max="5374" width="13.5" style="2" customWidth="1"/>
    <col min="5375" max="5375" width="24" style="2" customWidth="1"/>
    <col min="5376" max="5376" width="10.25" style="2" customWidth="1"/>
    <col min="5377" max="5378" width="0" style="2" hidden="1" customWidth="1"/>
    <col min="5379" max="5627" width="8.75" style="2"/>
    <col min="5628" max="5628" width="5.75" style="2" customWidth="1"/>
    <col min="5629" max="5629" width="82.5" style="2" customWidth="1"/>
    <col min="5630" max="5630" width="13.5" style="2" customWidth="1"/>
    <col min="5631" max="5631" width="24" style="2" customWidth="1"/>
    <col min="5632" max="5632" width="10.25" style="2" customWidth="1"/>
    <col min="5633" max="5634" width="0" style="2" hidden="1" customWidth="1"/>
    <col min="5635" max="5883" width="8.75" style="2"/>
    <col min="5884" max="5884" width="5.75" style="2" customWidth="1"/>
    <col min="5885" max="5885" width="82.5" style="2" customWidth="1"/>
    <col min="5886" max="5886" width="13.5" style="2" customWidth="1"/>
    <col min="5887" max="5887" width="24" style="2" customWidth="1"/>
    <col min="5888" max="5888" width="10.25" style="2" customWidth="1"/>
    <col min="5889" max="5890" width="0" style="2" hidden="1" customWidth="1"/>
    <col min="5891" max="6139" width="8.75" style="2"/>
    <col min="6140" max="6140" width="5.75" style="2" customWidth="1"/>
    <col min="6141" max="6141" width="82.5" style="2" customWidth="1"/>
    <col min="6142" max="6142" width="13.5" style="2" customWidth="1"/>
    <col min="6143" max="6143" width="24" style="2" customWidth="1"/>
    <col min="6144" max="6144" width="10.25" style="2" customWidth="1"/>
    <col min="6145" max="6146" width="0" style="2" hidden="1" customWidth="1"/>
    <col min="6147" max="6395" width="8.75" style="2"/>
    <col min="6396" max="6396" width="5.75" style="2" customWidth="1"/>
    <col min="6397" max="6397" width="82.5" style="2" customWidth="1"/>
    <col min="6398" max="6398" width="13.5" style="2" customWidth="1"/>
    <col min="6399" max="6399" width="24" style="2" customWidth="1"/>
    <col min="6400" max="6400" width="10.25" style="2" customWidth="1"/>
    <col min="6401" max="6402" width="0" style="2" hidden="1" customWidth="1"/>
    <col min="6403" max="6651" width="8.75" style="2"/>
    <col min="6652" max="6652" width="5.75" style="2" customWidth="1"/>
    <col min="6653" max="6653" width="82.5" style="2" customWidth="1"/>
    <col min="6654" max="6654" width="13.5" style="2" customWidth="1"/>
    <col min="6655" max="6655" width="24" style="2" customWidth="1"/>
    <col min="6656" max="6656" width="10.25" style="2" customWidth="1"/>
    <col min="6657" max="6658" width="0" style="2" hidden="1" customWidth="1"/>
    <col min="6659" max="6907" width="8.75" style="2"/>
    <col min="6908" max="6908" width="5.75" style="2" customWidth="1"/>
    <col min="6909" max="6909" width="82.5" style="2" customWidth="1"/>
    <col min="6910" max="6910" width="13.5" style="2" customWidth="1"/>
    <col min="6911" max="6911" width="24" style="2" customWidth="1"/>
    <col min="6912" max="6912" width="10.25" style="2" customWidth="1"/>
    <col min="6913" max="6914" width="0" style="2" hidden="1" customWidth="1"/>
    <col min="6915" max="7163" width="8.75" style="2"/>
    <col min="7164" max="7164" width="5.75" style="2" customWidth="1"/>
    <col min="7165" max="7165" width="82.5" style="2" customWidth="1"/>
    <col min="7166" max="7166" width="13.5" style="2" customWidth="1"/>
    <col min="7167" max="7167" width="24" style="2" customWidth="1"/>
    <col min="7168" max="7168" width="10.25" style="2" customWidth="1"/>
    <col min="7169" max="7170" width="0" style="2" hidden="1" customWidth="1"/>
    <col min="7171" max="7419" width="8.75" style="2"/>
    <col min="7420" max="7420" width="5.75" style="2" customWidth="1"/>
    <col min="7421" max="7421" width="82.5" style="2" customWidth="1"/>
    <col min="7422" max="7422" width="13.5" style="2" customWidth="1"/>
    <col min="7423" max="7423" width="24" style="2" customWidth="1"/>
    <col min="7424" max="7424" width="10.25" style="2" customWidth="1"/>
    <col min="7425" max="7426" width="0" style="2" hidden="1" customWidth="1"/>
    <col min="7427" max="7675" width="8.75" style="2"/>
    <col min="7676" max="7676" width="5.75" style="2" customWidth="1"/>
    <col min="7677" max="7677" width="82.5" style="2" customWidth="1"/>
    <col min="7678" max="7678" width="13.5" style="2" customWidth="1"/>
    <col min="7679" max="7679" width="24" style="2" customWidth="1"/>
    <col min="7680" max="7680" width="10.25" style="2" customWidth="1"/>
    <col min="7681" max="7682" width="0" style="2" hidden="1" customWidth="1"/>
    <col min="7683" max="7931" width="8.75" style="2"/>
    <col min="7932" max="7932" width="5.75" style="2" customWidth="1"/>
    <col min="7933" max="7933" width="82.5" style="2" customWidth="1"/>
    <col min="7934" max="7934" width="13.5" style="2" customWidth="1"/>
    <col min="7935" max="7935" width="24" style="2" customWidth="1"/>
    <col min="7936" max="7936" width="10.25" style="2" customWidth="1"/>
    <col min="7937" max="7938" width="0" style="2" hidden="1" customWidth="1"/>
    <col min="7939" max="8187" width="8.75" style="2"/>
    <col min="8188" max="8188" width="5.75" style="2" customWidth="1"/>
    <col min="8189" max="8189" width="82.5" style="2" customWidth="1"/>
    <col min="8190" max="8190" width="13.5" style="2" customWidth="1"/>
    <col min="8191" max="8191" width="24" style="2" customWidth="1"/>
    <col min="8192" max="8192" width="10.25" style="2" customWidth="1"/>
    <col min="8193" max="8194" width="0" style="2" hidden="1" customWidth="1"/>
    <col min="8195" max="8443" width="8.75" style="2"/>
    <col min="8444" max="8444" width="5.75" style="2" customWidth="1"/>
    <col min="8445" max="8445" width="82.5" style="2" customWidth="1"/>
    <col min="8446" max="8446" width="13.5" style="2" customWidth="1"/>
    <col min="8447" max="8447" width="24" style="2" customWidth="1"/>
    <col min="8448" max="8448" width="10.25" style="2" customWidth="1"/>
    <col min="8449" max="8450" width="0" style="2" hidden="1" customWidth="1"/>
    <col min="8451" max="8699" width="8.75" style="2"/>
    <col min="8700" max="8700" width="5.75" style="2" customWidth="1"/>
    <col min="8701" max="8701" width="82.5" style="2" customWidth="1"/>
    <col min="8702" max="8702" width="13.5" style="2" customWidth="1"/>
    <col min="8703" max="8703" width="24" style="2" customWidth="1"/>
    <col min="8704" max="8704" width="10.25" style="2" customWidth="1"/>
    <col min="8705" max="8706" width="0" style="2" hidden="1" customWidth="1"/>
    <col min="8707" max="8955" width="8.75" style="2"/>
    <col min="8956" max="8956" width="5.75" style="2" customWidth="1"/>
    <col min="8957" max="8957" width="82.5" style="2" customWidth="1"/>
    <col min="8958" max="8958" width="13.5" style="2" customWidth="1"/>
    <col min="8959" max="8959" width="24" style="2" customWidth="1"/>
    <col min="8960" max="8960" width="10.25" style="2" customWidth="1"/>
    <col min="8961" max="8962" width="0" style="2" hidden="1" customWidth="1"/>
    <col min="8963" max="9211" width="8.75" style="2"/>
    <col min="9212" max="9212" width="5.75" style="2" customWidth="1"/>
    <col min="9213" max="9213" width="82.5" style="2" customWidth="1"/>
    <col min="9214" max="9214" width="13.5" style="2" customWidth="1"/>
    <col min="9215" max="9215" width="24" style="2" customWidth="1"/>
    <col min="9216" max="9216" width="10.25" style="2" customWidth="1"/>
    <col min="9217" max="9218" width="0" style="2" hidden="1" customWidth="1"/>
    <col min="9219" max="9467" width="8.75" style="2"/>
    <col min="9468" max="9468" width="5.75" style="2" customWidth="1"/>
    <col min="9469" max="9469" width="82.5" style="2" customWidth="1"/>
    <col min="9470" max="9470" width="13.5" style="2" customWidth="1"/>
    <col min="9471" max="9471" width="24" style="2" customWidth="1"/>
    <col min="9472" max="9472" width="10.25" style="2" customWidth="1"/>
    <col min="9473" max="9474" width="0" style="2" hidden="1" customWidth="1"/>
    <col min="9475" max="9723" width="8.75" style="2"/>
    <col min="9724" max="9724" width="5.75" style="2" customWidth="1"/>
    <col min="9725" max="9725" width="82.5" style="2" customWidth="1"/>
    <col min="9726" max="9726" width="13.5" style="2" customWidth="1"/>
    <col min="9727" max="9727" width="24" style="2" customWidth="1"/>
    <col min="9728" max="9728" width="10.25" style="2" customWidth="1"/>
    <col min="9729" max="9730" width="0" style="2" hidden="1" customWidth="1"/>
    <col min="9731" max="9979" width="8.75" style="2"/>
    <col min="9980" max="9980" width="5.75" style="2" customWidth="1"/>
    <col min="9981" max="9981" width="82.5" style="2" customWidth="1"/>
    <col min="9982" max="9982" width="13.5" style="2" customWidth="1"/>
    <col min="9983" max="9983" width="24" style="2" customWidth="1"/>
    <col min="9984" max="9984" width="10.25" style="2" customWidth="1"/>
    <col min="9985" max="9986" width="0" style="2" hidden="1" customWidth="1"/>
    <col min="9987" max="10235" width="8.75" style="2"/>
    <col min="10236" max="10236" width="5.75" style="2" customWidth="1"/>
    <col min="10237" max="10237" width="82.5" style="2" customWidth="1"/>
    <col min="10238" max="10238" width="13.5" style="2" customWidth="1"/>
    <col min="10239" max="10239" width="24" style="2" customWidth="1"/>
    <col min="10240" max="10240" width="10.25" style="2" customWidth="1"/>
    <col min="10241" max="10242" width="0" style="2" hidden="1" customWidth="1"/>
    <col min="10243" max="10491" width="8.75" style="2"/>
    <col min="10492" max="10492" width="5.75" style="2" customWidth="1"/>
    <col min="10493" max="10493" width="82.5" style="2" customWidth="1"/>
    <col min="10494" max="10494" width="13.5" style="2" customWidth="1"/>
    <col min="10495" max="10495" width="24" style="2" customWidth="1"/>
    <col min="10496" max="10496" width="10.25" style="2" customWidth="1"/>
    <col min="10497" max="10498" width="0" style="2" hidden="1" customWidth="1"/>
    <col min="10499" max="10747" width="8.75" style="2"/>
    <col min="10748" max="10748" width="5.75" style="2" customWidth="1"/>
    <col min="10749" max="10749" width="82.5" style="2" customWidth="1"/>
    <col min="10750" max="10750" width="13.5" style="2" customWidth="1"/>
    <col min="10751" max="10751" width="24" style="2" customWidth="1"/>
    <col min="10752" max="10752" width="10.25" style="2" customWidth="1"/>
    <col min="10753" max="10754" width="0" style="2" hidden="1" customWidth="1"/>
    <col min="10755" max="11003" width="8.75" style="2"/>
    <col min="11004" max="11004" width="5.75" style="2" customWidth="1"/>
    <col min="11005" max="11005" width="82.5" style="2" customWidth="1"/>
    <col min="11006" max="11006" width="13.5" style="2" customWidth="1"/>
    <col min="11007" max="11007" width="24" style="2" customWidth="1"/>
    <col min="11008" max="11008" width="10.25" style="2" customWidth="1"/>
    <col min="11009" max="11010" width="0" style="2" hidden="1" customWidth="1"/>
    <col min="11011" max="11259" width="8.75" style="2"/>
    <col min="11260" max="11260" width="5.75" style="2" customWidth="1"/>
    <col min="11261" max="11261" width="82.5" style="2" customWidth="1"/>
    <col min="11262" max="11262" width="13.5" style="2" customWidth="1"/>
    <col min="11263" max="11263" width="24" style="2" customWidth="1"/>
    <col min="11264" max="11264" width="10.25" style="2" customWidth="1"/>
    <col min="11265" max="11266" width="0" style="2" hidden="1" customWidth="1"/>
    <col min="11267" max="11515" width="8.75" style="2"/>
    <col min="11516" max="11516" width="5.75" style="2" customWidth="1"/>
    <col min="11517" max="11517" width="82.5" style="2" customWidth="1"/>
    <col min="11518" max="11518" width="13.5" style="2" customWidth="1"/>
    <col min="11519" max="11519" width="24" style="2" customWidth="1"/>
    <col min="11520" max="11520" width="10.25" style="2" customWidth="1"/>
    <col min="11521" max="11522" width="0" style="2" hidden="1" customWidth="1"/>
    <col min="11523" max="11771" width="8.75" style="2"/>
    <col min="11772" max="11772" width="5.75" style="2" customWidth="1"/>
    <col min="11773" max="11773" width="82.5" style="2" customWidth="1"/>
    <col min="11774" max="11774" width="13.5" style="2" customWidth="1"/>
    <col min="11775" max="11775" width="24" style="2" customWidth="1"/>
    <col min="11776" max="11776" width="10.25" style="2" customWidth="1"/>
    <col min="11777" max="11778" width="0" style="2" hidden="1" customWidth="1"/>
    <col min="11779" max="12027" width="8.75" style="2"/>
    <col min="12028" max="12028" width="5.75" style="2" customWidth="1"/>
    <col min="12029" max="12029" width="82.5" style="2" customWidth="1"/>
    <col min="12030" max="12030" width="13.5" style="2" customWidth="1"/>
    <col min="12031" max="12031" width="24" style="2" customWidth="1"/>
    <col min="12032" max="12032" width="10.25" style="2" customWidth="1"/>
    <col min="12033" max="12034" width="0" style="2" hidden="1" customWidth="1"/>
    <col min="12035" max="12283" width="8.75" style="2"/>
    <col min="12284" max="12284" width="5.75" style="2" customWidth="1"/>
    <col min="12285" max="12285" width="82.5" style="2" customWidth="1"/>
    <col min="12286" max="12286" width="13.5" style="2" customWidth="1"/>
    <col min="12287" max="12287" width="24" style="2" customWidth="1"/>
    <col min="12288" max="12288" width="10.25" style="2" customWidth="1"/>
    <col min="12289" max="12290" width="0" style="2" hidden="1" customWidth="1"/>
    <col min="12291" max="12539" width="8.75" style="2"/>
    <col min="12540" max="12540" width="5.75" style="2" customWidth="1"/>
    <col min="12541" max="12541" width="82.5" style="2" customWidth="1"/>
    <col min="12542" max="12542" width="13.5" style="2" customWidth="1"/>
    <col min="12543" max="12543" width="24" style="2" customWidth="1"/>
    <col min="12544" max="12544" width="10.25" style="2" customWidth="1"/>
    <col min="12545" max="12546" width="0" style="2" hidden="1" customWidth="1"/>
    <col min="12547" max="12795" width="8.75" style="2"/>
    <col min="12796" max="12796" width="5.75" style="2" customWidth="1"/>
    <col min="12797" max="12797" width="82.5" style="2" customWidth="1"/>
    <col min="12798" max="12798" width="13.5" style="2" customWidth="1"/>
    <col min="12799" max="12799" width="24" style="2" customWidth="1"/>
    <col min="12800" max="12800" width="10.25" style="2" customWidth="1"/>
    <col min="12801" max="12802" width="0" style="2" hidden="1" customWidth="1"/>
    <col min="12803" max="13051" width="8.75" style="2"/>
    <col min="13052" max="13052" width="5.75" style="2" customWidth="1"/>
    <col min="13053" max="13053" width="82.5" style="2" customWidth="1"/>
    <col min="13054" max="13054" width="13.5" style="2" customWidth="1"/>
    <col min="13055" max="13055" width="24" style="2" customWidth="1"/>
    <col min="13056" max="13056" width="10.25" style="2" customWidth="1"/>
    <col min="13057" max="13058" width="0" style="2" hidden="1" customWidth="1"/>
    <col min="13059" max="13307" width="8.75" style="2"/>
    <col min="13308" max="13308" width="5.75" style="2" customWidth="1"/>
    <col min="13309" max="13309" width="82.5" style="2" customWidth="1"/>
    <col min="13310" max="13310" width="13.5" style="2" customWidth="1"/>
    <col min="13311" max="13311" width="24" style="2" customWidth="1"/>
    <col min="13312" max="13312" width="10.25" style="2" customWidth="1"/>
    <col min="13313" max="13314" width="0" style="2" hidden="1" customWidth="1"/>
    <col min="13315" max="13563" width="8.75" style="2"/>
    <col min="13564" max="13564" width="5.75" style="2" customWidth="1"/>
    <col min="13565" max="13565" width="82.5" style="2" customWidth="1"/>
    <col min="13566" max="13566" width="13.5" style="2" customWidth="1"/>
    <col min="13567" max="13567" width="24" style="2" customWidth="1"/>
    <col min="13568" max="13568" width="10.25" style="2" customWidth="1"/>
    <col min="13569" max="13570" width="0" style="2" hidden="1" customWidth="1"/>
    <col min="13571" max="13819" width="8.75" style="2"/>
    <col min="13820" max="13820" width="5.75" style="2" customWidth="1"/>
    <col min="13821" max="13821" width="82.5" style="2" customWidth="1"/>
    <col min="13822" max="13822" width="13.5" style="2" customWidth="1"/>
    <col min="13823" max="13823" width="24" style="2" customWidth="1"/>
    <col min="13824" max="13824" width="10.25" style="2" customWidth="1"/>
    <col min="13825" max="13826" width="0" style="2" hidden="1" customWidth="1"/>
    <col min="13827" max="14075" width="8.75" style="2"/>
    <col min="14076" max="14076" width="5.75" style="2" customWidth="1"/>
    <col min="14077" max="14077" width="82.5" style="2" customWidth="1"/>
    <col min="14078" max="14078" width="13.5" style="2" customWidth="1"/>
    <col min="14079" max="14079" width="24" style="2" customWidth="1"/>
    <col min="14080" max="14080" width="10.25" style="2" customWidth="1"/>
    <col min="14081" max="14082" width="0" style="2" hidden="1" customWidth="1"/>
    <col min="14083" max="14331" width="8.75" style="2"/>
    <col min="14332" max="14332" width="5.75" style="2" customWidth="1"/>
    <col min="14333" max="14333" width="82.5" style="2" customWidth="1"/>
    <col min="14334" max="14334" width="13.5" style="2" customWidth="1"/>
    <col min="14335" max="14335" width="24" style="2" customWidth="1"/>
    <col min="14336" max="14336" width="10.25" style="2" customWidth="1"/>
    <col min="14337" max="14338" width="0" style="2" hidden="1" customWidth="1"/>
    <col min="14339" max="14587" width="8.75" style="2"/>
    <col min="14588" max="14588" width="5.75" style="2" customWidth="1"/>
    <col min="14589" max="14589" width="82.5" style="2" customWidth="1"/>
    <col min="14590" max="14590" width="13.5" style="2" customWidth="1"/>
    <col min="14591" max="14591" width="24" style="2" customWidth="1"/>
    <col min="14592" max="14592" width="10.25" style="2" customWidth="1"/>
    <col min="14593" max="14594" width="0" style="2" hidden="1" customWidth="1"/>
    <col min="14595" max="14843" width="8.75" style="2"/>
    <col min="14844" max="14844" width="5.75" style="2" customWidth="1"/>
    <col min="14845" max="14845" width="82.5" style="2" customWidth="1"/>
    <col min="14846" max="14846" width="13.5" style="2" customWidth="1"/>
    <col min="14847" max="14847" width="24" style="2" customWidth="1"/>
    <col min="14848" max="14848" width="10.25" style="2" customWidth="1"/>
    <col min="14849" max="14850" width="0" style="2" hidden="1" customWidth="1"/>
    <col min="14851" max="15099" width="8.75" style="2"/>
    <col min="15100" max="15100" width="5.75" style="2" customWidth="1"/>
    <col min="15101" max="15101" width="82.5" style="2" customWidth="1"/>
    <col min="15102" max="15102" width="13.5" style="2" customWidth="1"/>
    <col min="15103" max="15103" width="24" style="2" customWidth="1"/>
    <col min="15104" max="15104" width="10.25" style="2" customWidth="1"/>
    <col min="15105" max="15106" width="0" style="2" hidden="1" customWidth="1"/>
    <col min="15107" max="15355" width="8.75" style="2"/>
    <col min="15356" max="15356" width="5.75" style="2" customWidth="1"/>
    <col min="15357" max="15357" width="82.5" style="2" customWidth="1"/>
    <col min="15358" max="15358" width="13.5" style="2" customWidth="1"/>
    <col min="15359" max="15359" width="24" style="2" customWidth="1"/>
    <col min="15360" max="15360" width="10.25" style="2" customWidth="1"/>
    <col min="15361" max="15362" width="0" style="2" hidden="1" customWidth="1"/>
    <col min="15363" max="15611" width="8.75" style="2"/>
    <col min="15612" max="15612" width="5.75" style="2" customWidth="1"/>
    <col min="15613" max="15613" width="82.5" style="2" customWidth="1"/>
    <col min="15614" max="15614" width="13.5" style="2" customWidth="1"/>
    <col min="15615" max="15615" width="24" style="2" customWidth="1"/>
    <col min="15616" max="15616" width="10.25" style="2" customWidth="1"/>
    <col min="15617" max="15618" width="0" style="2" hidden="1" customWidth="1"/>
    <col min="15619" max="15867" width="8.75" style="2"/>
    <col min="15868" max="15868" width="5.75" style="2" customWidth="1"/>
    <col min="15869" max="15869" width="82.5" style="2" customWidth="1"/>
    <col min="15870" max="15870" width="13.5" style="2" customWidth="1"/>
    <col min="15871" max="15871" width="24" style="2" customWidth="1"/>
    <col min="15872" max="15872" width="10.25" style="2" customWidth="1"/>
    <col min="15873" max="15874" width="0" style="2" hidden="1" customWidth="1"/>
    <col min="15875" max="16123" width="8.75" style="2"/>
    <col min="16124" max="16124" width="5.75" style="2" customWidth="1"/>
    <col min="16125" max="16125" width="82.5" style="2" customWidth="1"/>
    <col min="16126" max="16126" width="13.5" style="2" customWidth="1"/>
    <col min="16127" max="16127" width="24" style="2" customWidth="1"/>
    <col min="16128" max="16128" width="10.25" style="2" customWidth="1"/>
    <col min="16129" max="16130" width="0" style="2" hidden="1" customWidth="1"/>
    <col min="16131" max="16384" width="9" style="2"/>
  </cols>
  <sheetData>
    <row r="1" spans="1:10" ht="15.75" thickBot="1">
      <c r="A1" s="289" t="s">
        <v>9</v>
      </c>
      <c r="B1" s="289"/>
      <c r="C1" s="289"/>
      <c r="D1" s="289"/>
    </row>
    <row r="2" spans="1:10" s="3" customFormat="1" ht="15.75" thickBot="1">
      <c r="A2" s="290" t="s">
        <v>12</v>
      </c>
      <c r="B2" s="291"/>
      <c r="C2" s="291"/>
      <c r="D2" s="292"/>
      <c r="E2" s="14"/>
      <c r="F2" s="288"/>
      <c r="G2" s="288"/>
      <c r="H2" s="288"/>
      <c r="I2" s="288"/>
    </row>
    <row r="3" spans="1:10" s="3" customFormat="1" ht="15.75" thickBot="1">
      <c r="A3" s="293"/>
      <c r="B3" s="293"/>
      <c r="C3" s="294"/>
      <c r="D3" s="294"/>
      <c r="E3" s="14"/>
      <c r="F3" s="288"/>
      <c r="G3" s="288"/>
      <c r="H3" s="288"/>
      <c r="I3" s="288"/>
    </row>
    <row r="4" spans="1:10" s="3" customFormat="1" ht="15.75" thickBot="1">
      <c r="A4" s="284" t="s">
        <v>13</v>
      </c>
      <c r="B4" s="295"/>
      <c r="C4" s="296" t="s">
        <v>490</v>
      </c>
      <c r="D4" s="297"/>
      <c r="E4" s="14"/>
      <c r="F4" s="288"/>
      <c r="G4" s="288"/>
      <c r="H4" s="288"/>
      <c r="I4" s="288"/>
    </row>
    <row r="5" spans="1:10" s="3" customFormat="1" ht="15.75" thickBot="1">
      <c r="A5" s="284" t="s">
        <v>14</v>
      </c>
      <c r="B5" s="295"/>
      <c r="C5" s="282" t="s">
        <v>15</v>
      </c>
      <c r="D5" s="283"/>
      <c r="E5" s="14"/>
      <c r="F5" s="288"/>
      <c r="G5" s="288"/>
      <c r="H5" s="288"/>
      <c r="I5" s="288"/>
      <c r="J5" s="435"/>
    </row>
    <row r="6" spans="1:10" s="3" customFormat="1" ht="54.75" customHeight="1" thickBot="1">
      <c r="A6" s="284" t="s">
        <v>16</v>
      </c>
      <c r="B6" s="295"/>
      <c r="C6" s="282" t="s">
        <v>488</v>
      </c>
      <c r="D6" s="283"/>
      <c r="E6" s="14"/>
      <c r="F6" s="288"/>
      <c r="G6" s="288"/>
      <c r="H6" s="288"/>
      <c r="I6" s="288"/>
      <c r="J6" s="436"/>
    </row>
    <row r="7" spans="1:10" s="3" customFormat="1" ht="54.75" customHeight="1" thickBot="1">
      <c r="A7" s="284" t="s">
        <v>17</v>
      </c>
      <c r="B7" s="295"/>
      <c r="C7" s="282" t="s">
        <v>481</v>
      </c>
      <c r="D7" s="283"/>
      <c r="E7" s="14"/>
      <c r="F7" s="288"/>
      <c r="G7" s="288"/>
      <c r="H7" s="288"/>
      <c r="I7" s="288"/>
    </row>
    <row r="8" spans="1:10" s="3" customFormat="1" ht="15.75" thickBot="1">
      <c r="A8" s="284" t="s">
        <v>18</v>
      </c>
      <c r="B8" s="285"/>
      <c r="C8" s="286">
        <v>12</v>
      </c>
      <c r="D8" s="283"/>
      <c r="E8" s="14"/>
      <c r="F8" s="15"/>
    </row>
    <row r="9" spans="1:10" s="3" customFormat="1" ht="16.899999999999999" customHeight="1">
      <c r="A9" s="287"/>
      <c r="B9" s="287"/>
      <c r="C9" s="151"/>
      <c r="D9" s="152"/>
      <c r="E9" s="14"/>
      <c r="F9" s="15"/>
    </row>
    <row r="10" spans="1:10" s="3" customFormat="1" ht="15.75" thickBot="1">
      <c r="A10" s="39"/>
      <c r="B10" s="39"/>
      <c r="C10" s="23"/>
      <c r="D10" s="19"/>
      <c r="E10" s="14"/>
      <c r="F10" s="15"/>
      <c r="I10" s="238"/>
      <c r="J10" s="238"/>
    </row>
    <row r="11" spans="1:10" s="3" customFormat="1" ht="15.75" thickBot="1">
      <c r="A11" s="249" t="s">
        <v>68</v>
      </c>
      <c r="B11" s="250"/>
      <c r="C11" s="250"/>
      <c r="D11" s="250"/>
      <c r="E11" s="250"/>
      <c r="F11" s="251"/>
      <c r="I11" s="238"/>
      <c r="J11" s="238"/>
    </row>
    <row r="12" spans="1:10" ht="15.75" thickBot="1"/>
    <row r="13" spans="1:10" s="3" customFormat="1" ht="15" customHeight="1" thickBot="1">
      <c r="A13" s="249" t="s">
        <v>57</v>
      </c>
      <c r="B13" s="250"/>
      <c r="C13" s="250"/>
      <c r="D13" s="250"/>
      <c r="E13" s="250"/>
      <c r="F13" s="251"/>
    </row>
    <row r="14" spans="1:10" ht="15.75" thickBot="1">
      <c r="A14" s="38"/>
      <c r="B14" s="58" t="s">
        <v>10</v>
      </c>
      <c r="C14" s="59" t="s">
        <v>58</v>
      </c>
      <c r="D14" s="37" t="s">
        <v>163</v>
      </c>
      <c r="E14" s="16" t="s">
        <v>59</v>
      </c>
      <c r="F14" s="16" t="s">
        <v>60</v>
      </c>
    </row>
    <row r="15" spans="1:10" ht="15.75" thickBot="1">
      <c r="A15" s="40" t="s">
        <v>295</v>
      </c>
      <c r="B15" s="11" t="s">
        <v>361</v>
      </c>
      <c r="C15" s="12" t="s">
        <v>114</v>
      </c>
      <c r="D15" s="219">
        <v>24</v>
      </c>
      <c r="E15" s="63">
        <f>'(A.1) Coletores'!C99</f>
        <v>5930.4823002580015</v>
      </c>
      <c r="F15" s="17">
        <f t="shared" ref="F15:F22" si="0">D15*E15</f>
        <v>142331.57520619204</v>
      </c>
    </row>
    <row r="16" spans="1:10" ht="15.75" thickBot="1">
      <c r="A16" s="40" t="s">
        <v>296</v>
      </c>
      <c r="B16" s="11" t="s">
        <v>362</v>
      </c>
      <c r="C16" s="12" t="s">
        <v>114</v>
      </c>
      <c r="D16" s="219">
        <v>1</v>
      </c>
      <c r="E16" s="63">
        <f>'(A.2) Op Picador Triturador'!C99</f>
        <v>5437.6605679800014</v>
      </c>
      <c r="F16" s="17">
        <f t="shared" si="0"/>
        <v>5437.6605679800014</v>
      </c>
    </row>
    <row r="17" spans="1:9" ht="15.75" thickBot="1">
      <c r="A17" s="40" t="s">
        <v>297</v>
      </c>
      <c r="B17" s="11" t="s">
        <v>465</v>
      </c>
      <c r="C17" s="12" t="s">
        <v>114</v>
      </c>
      <c r="D17" s="219">
        <v>1</v>
      </c>
      <c r="E17" s="63">
        <f>'(A.3) Operador Pá carregadeira'!C99</f>
        <v>6459.6299863639988</v>
      </c>
      <c r="F17" s="17">
        <f t="shared" si="0"/>
        <v>6459.6299863639988</v>
      </c>
    </row>
    <row r="18" spans="1:9" ht="15.75" thickBot="1">
      <c r="A18" s="40" t="s">
        <v>336</v>
      </c>
      <c r="B18" s="11" t="s">
        <v>363</v>
      </c>
      <c r="C18" s="12" t="s">
        <v>114</v>
      </c>
      <c r="D18" s="219">
        <v>4</v>
      </c>
      <c r="E18" s="63">
        <f>'(A.4) Pedreiro'!C99</f>
        <v>6241.3648415080006</v>
      </c>
      <c r="F18" s="17">
        <f t="shared" si="0"/>
        <v>24965.459366032002</v>
      </c>
    </row>
    <row r="19" spans="1:9" ht="15.75" thickBot="1">
      <c r="A19" s="40" t="s">
        <v>366</v>
      </c>
      <c r="B19" s="11" t="s">
        <v>420</v>
      </c>
      <c r="C19" s="12" t="s">
        <v>114</v>
      </c>
      <c r="D19" s="219">
        <v>2</v>
      </c>
      <c r="E19" s="63">
        <f>'(A.5) Operador de motosserra'!C99</f>
        <v>5437.6605679800014</v>
      </c>
      <c r="F19" s="17">
        <f t="shared" si="0"/>
        <v>10875.321135960003</v>
      </c>
    </row>
    <row r="20" spans="1:9" ht="15.75" thickBot="1">
      <c r="A20" s="40" t="s">
        <v>367</v>
      </c>
      <c r="B20" s="11" t="s">
        <v>364</v>
      </c>
      <c r="C20" s="12" t="s">
        <v>114</v>
      </c>
      <c r="D20" s="219">
        <v>8</v>
      </c>
      <c r="E20" s="63">
        <f>'(A.6) Motorista Cat C'!C99</f>
        <v>4482.8298047576009</v>
      </c>
      <c r="F20" s="17">
        <f t="shared" si="0"/>
        <v>35862.638438060807</v>
      </c>
    </row>
    <row r="21" spans="1:9" ht="15.75" thickBot="1">
      <c r="A21" s="40" t="s">
        <v>368</v>
      </c>
      <c r="B21" s="11" t="s">
        <v>365</v>
      </c>
      <c r="C21" s="12" t="s">
        <v>114</v>
      </c>
      <c r="D21" s="219">
        <v>2</v>
      </c>
      <c r="E21" s="63">
        <f>'(A.7) Motorista Cat D'!C99</f>
        <v>4844.3411318632006</v>
      </c>
      <c r="F21" s="17">
        <f t="shared" si="0"/>
        <v>9688.6822637264013</v>
      </c>
    </row>
    <row r="22" spans="1:9" ht="15.75" thickBot="1">
      <c r="A22" s="40" t="s">
        <v>416</v>
      </c>
      <c r="B22" s="11" t="s">
        <v>417</v>
      </c>
      <c r="C22" s="12" t="s">
        <v>114</v>
      </c>
      <c r="D22" s="219">
        <v>1</v>
      </c>
      <c r="E22" s="229">
        <f>'(A.8) Operador de Bobcat'!D99</f>
        <v>5562.8979839120002</v>
      </c>
      <c r="F22" s="17">
        <f t="shared" si="0"/>
        <v>5562.8979839120002</v>
      </c>
    </row>
    <row r="23" spans="1:9" ht="15.75" thickBot="1">
      <c r="A23" s="40" t="s">
        <v>425</v>
      </c>
      <c r="B23" s="11" t="s">
        <v>426</v>
      </c>
      <c r="C23" s="12" t="s">
        <v>114</v>
      </c>
      <c r="D23" s="219">
        <v>4</v>
      </c>
      <c r="E23" s="229">
        <f>'(A.9) Operador de roçadeira'!D99</f>
        <v>6003.2020934839993</v>
      </c>
      <c r="F23" s="230">
        <f>E23*D23</f>
        <v>24012.808373935997</v>
      </c>
    </row>
    <row r="24" spans="1:9" ht="16.899999999999999" customHeight="1" thickBot="1">
      <c r="A24" s="298" t="s">
        <v>61</v>
      </c>
      <c r="B24" s="299"/>
      <c r="C24" s="299"/>
      <c r="D24" s="299"/>
      <c r="E24" s="300"/>
      <c r="F24" s="175">
        <f>SUM(F15:F23)</f>
        <v>265196.67332216323</v>
      </c>
      <c r="G24" s="161"/>
      <c r="I24" s="162"/>
    </row>
    <row r="25" spans="1:9" ht="15.75" thickBot="1"/>
    <row r="26" spans="1:9" s="3" customFormat="1" ht="15" customHeight="1" thickBot="1">
      <c r="A26" s="249" t="s">
        <v>162</v>
      </c>
      <c r="B26" s="250"/>
      <c r="C26" s="250"/>
      <c r="D26" s="250"/>
      <c r="E26" s="250"/>
      <c r="F26" s="251"/>
    </row>
    <row r="27" spans="1:9" ht="15.75" thickBot="1">
      <c r="A27" s="38"/>
      <c r="B27" s="7" t="s">
        <v>10</v>
      </c>
      <c r="C27" s="37" t="s">
        <v>58</v>
      </c>
      <c r="D27" s="37" t="s">
        <v>163</v>
      </c>
      <c r="E27" s="16" t="s">
        <v>59</v>
      </c>
      <c r="F27" s="16" t="s">
        <v>60</v>
      </c>
    </row>
    <row r="28" spans="1:9" ht="15.75" thickBot="1">
      <c r="A28" s="40" t="s">
        <v>298</v>
      </c>
      <c r="B28" s="11" t="s">
        <v>340</v>
      </c>
      <c r="C28" s="12" t="s">
        <v>114</v>
      </c>
      <c r="D28" s="20">
        <v>2</v>
      </c>
      <c r="E28" s="61">
        <f>'(B.1) Van'!E70</f>
        <v>7341.5740684566663</v>
      </c>
      <c r="F28" s="27">
        <f>E28*D28</f>
        <v>14683.148136913333</v>
      </c>
    </row>
    <row r="29" spans="1:9" ht="15.75" thickBot="1">
      <c r="A29" s="40" t="s">
        <v>299</v>
      </c>
      <c r="B29" s="11" t="s">
        <v>369</v>
      </c>
      <c r="C29" s="12" t="s">
        <v>114</v>
      </c>
      <c r="D29" s="20">
        <v>7</v>
      </c>
      <c r="E29" s="61">
        <f>'(B.2) Caminhão Basculante'!E72</f>
        <v>21920.375376861906</v>
      </c>
      <c r="F29" s="27">
        <f>E29*D29</f>
        <v>153442.62763803336</v>
      </c>
    </row>
    <row r="30" spans="1:9" ht="15.75" thickBot="1">
      <c r="A30" s="40" t="s">
        <v>421</v>
      </c>
      <c r="B30" s="11" t="s">
        <v>422</v>
      </c>
      <c r="C30" s="12" t="s">
        <v>114</v>
      </c>
      <c r="D30" s="20">
        <v>1</v>
      </c>
      <c r="E30" s="61">
        <f>'(B.3) Compactador 15m³'!E79</f>
        <v>26603.583055291907</v>
      </c>
      <c r="F30" s="125">
        <f>E30*D30</f>
        <v>26603.583055291907</v>
      </c>
    </row>
    <row r="31" spans="1:9" ht="16.149999999999999" customHeight="1" thickBot="1">
      <c r="A31" s="271" t="s">
        <v>226</v>
      </c>
      <c r="B31" s="272"/>
      <c r="C31" s="272"/>
      <c r="D31" s="272"/>
      <c r="E31" s="273"/>
      <c r="F31" s="125">
        <f>-9.25%*(SUM(F28:F29))</f>
        <v>-15551.634259182569</v>
      </c>
    </row>
    <row r="32" spans="1:9" ht="16.899999999999999" customHeight="1" thickBot="1">
      <c r="A32" s="274" t="s">
        <v>61</v>
      </c>
      <c r="B32" s="275"/>
      <c r="C32" s="275"/>
      <c r="D32" s="275"/>
      <c r="E32" s="276"/>
      <c r="F32" s="16">
        <f>SUM(F28:F31)</f>
        <v>179177.72457105602</v>
      </c>
      <c r="G32" s="139"/>
      <c r="H32" s="14"/>
    </row>
    <row r="33" spans="1:8" ht="15.75" thickBot="1"/>
    <row r="34" spans="1:8" s="3" customFormat="1" ht="15" customHeight="1" thickBot="1">
      <c r="A34" s="249" t="s">
        <v>391</v>
      </c>
      <c r="B34" s="250"/>
      <c r="C34" s="250"/>
      <c r="D34" s="250"/>
      <c r="E34" s="250"/>
      <c r="F34" s="251"/>
    </row>
    <row r="35" spans="1:8" ht="15.75" thickBot="1">
      <c r="A35" s="38"/>
      <c r="B35" s="7" t="s">
        <v>10</v>
      </c>
      <c r="C35" s="37" t="s">
        <v>58</v>
      </c>
      <c r="D35" s="37" t="s">
        <v>163</v>
      </c>
      <c r="E35" s="37" t="s">
        <v>59</v>
      </c>
      <c r="F35" s="16" t="s">
        <v>60</v>
      </c>
    </row>
    <row r="36" spans="1:8" ht="15.75" thickBot="1">
      <c r="A36" s="40" t="s">
        <v>333</v>
      </c>
      <c r="B36" s="143" t="s">
        <v>390</v>
      </c>
      <c r="C36" s="158" t="s">
        <v>114</v>
      </c>
      <c r="D36" s="20">
        <v>2</v>
      </c>
      <c r="E36" s="144">
        <f>'Equipamentos - Custo'!J4</f>
        <v>896.91250000000002</v>
      </c>
      <c r="F36" s="27">
        <f>'Equipamentos - Custo'!J4</f>
        <v>896.91250000000002</v>
      </c>
    </row>
    <row r="37" spans="1:8" ht="15.75" thickBot="1">
      <c r="A37" s="40" t="s">
        <v>300</v>
      </c>
      <c r="B37" s="176" t="s">
        <v>392</v>
      </c>
      <c r="C37" s="158" t="s">
        <v>114</v>
      </c>
      <c r="D37" s="20">
        <v>4</v>
      </c>
      <c r="E37" s="144">
        <v>415.79</v>
      </c>
      <c r="F37" s="27">
        <f>(E37*D37)/12</f>
        <v>138.59666666666666</v>
      </c>
    </row>
    <row r="38" spans="1:8" ht="15.75" thickBot="1">
      <c r="A38" s="40" t="s">
        <v>334</v>
      </c>
      <c r="B38" s="176" t="s">
        <v>371</v>
      </c>
      <c r="C38" s="158" t="s">
        <v>114</v>
      </c>
      <c r="D38" s="41">
        <v>2</v>
      </c>
      <c r="E38" s="144">
        <f>'Equipamentos - Custo'!J6</f>
        <v>239.67916666666667</v>
      </c>
      <c r="F38" s="27">
        <f>'Equipamentos - Custo'!J6</f>
        <v>239.67916666666667</v>
      </c>
    </row>
    <row r="39" spans="1:8" ht="15.75" thickBot="1">
      <c r="A39" s="40" t="s">
        <v>301</v>
      </c>
      <c r="B39" s="176" t="s">
        <v>372</v>
      </c>
      <c r="C39" s="158" t="s">
        <v>114</v>
      </c>
      <c r="D39" s="41">
        <v>2</v>
      </c>
      <c r="E39" s="144">
        <f>'Equipamentos - Custo'!J5</f>
        <v>475.17744444444452</v>
      </c>
      <c r="F39" s="27">
        <f>E39*D39</f>
        <v>950.35488888888904</v>
      </c>
    </row>
    <row r="40" spans="1:8" ht="15.75" thickBot="1">
      <c r="A40" s="40" t="s">
        <v>335</v>
      </c>
      <c r="B40" s="176" t="s">
        <v>432</v>
      </c>
      <c r="C40" s="12" t="s">
        <v>114</v>
      </c>
      <c r="D40" s="155">
        <v>4</v>
      </c>
      <c r="E40" s="62">
        <f>'Equipamentos - Custo'!J7</f>
        <v>280.56422222222221</v>
      </c>
      <c r="F40" s="27">
        <f>E40*D40</f>
        <v>1122.2568888888889</v>
      </c>
    </row>
    <row r="41" spans="1:8" ht="15.75" thickBot="1">
      <c r="A41" s="40" t="s">
        <v>373</v>
      </c>
      <c r="B41" s="176" t="s">
        <v>332</v>
      </c>
      <c r="C41" s="158" t="s">
        <v>166</v>
      </c>
      <c r="D41" s="20">
        <f>11347.2/12</f>
        <v>945.6</v>
      </c>
      <c r="E41" s="62">
        <v>6.18</v>
      </c>
      <c r="F41" s="27">
        <f>E41*D41</f>
        <v>5843.808</v>
      </c>
    </row>
    <row r="42" spans="1:8" ht="15.75" thickBot="1">
      <c r="A42" s="40" t="s">
        <v>480</v>
      </c>
      <c r="B42" s="176" t="s">
        <v>330</v>
      </c>
      <c r="C42" s="12" t="s">
        <v>166</v>
      </c>
      <c r="D42" s="155">
        <f>321/12*0.5*2</f>
        <v>26.75</v>
      </c>
      <c r="E42" s="62">
        <v>20.47</v>
      </c>
      <c r="F42" s="27">
        <f>E42*D42</f>
        <v>547.57249999999999</v>
      </c>
    </row>
    <row r="43" spans="1:8" ht="16.149999999999999" customHeight="1" thickBot="1">
      <c r="A43" s="271" t="s">
        <v>226</v>
      </c>
      <c r="B43" s="272"/>
      <c r="C43" s="272"/>
      <c r="D43" s="272"/>
      <c r="E43" s="273"/>
      <c r="F43" s="125">
        <f>-9.25%*(SUM(F36:F42))</f>
        <v>-900.87420652777791</v>
      </c>
      <c r="G43" s="142"/>
    </row>
    <row r="44" spans="1:8" ht="16.899999999999999" customHeight="1">
      <c r="A44" s="267" t="s">
        <v>61</v>
      </c>
      <c r="B44" s="268"/>
      <c r="C44" s="268"/>
      <c r="D44" s="268"/>
      <c r="E44" s="269"/>
      <c r="F44" s="166">
        <f>SUM(F36:F43)</f>
        <v>8838.3064045833344</v>
      </c>
      <c r="G44" s="128"/>
    </row>
    <row r="45" spans="1:8" ht="16.899999999999999" customHeight="1" thickBot="1">
      <c r="A45" s="164"/>
      <c r="B45" s="164"/>
      <c r="C45" s="164"/>
      <c r="D45" s="164"/>
      <c r="E45" s="164"/>
      <c r="F45" s="165"/>
      <c r="G45" s="128"/>
    </row>
    <row r="46" spans="1:8" ht="16.899999999999999" customHeight="1" thickBot="1">
      <c r="A46" s="265" t="s">
        <v>409</v>
      </c>
      <c r="B46" s="266"/>
      <c r="C46" s="266"/>
      <c r="D46" s="266"/>
      <c r="E46" s="266"/>
      <c r="F46" s="277"/>
      <c r="G46" s="128"/>
    </row>
    <row r="47" spans="1:8" ht="16.899999999999999" customHeight="1" thickBot="1">
      <c r="A47" s="38"/>
      <c r="B47" s="7" t="s">
        <v>10</v>
      </c>
      <c r="C47" s="37" t="s">
        <v>58</v>
      </c>
      <c r="D47" s="37" t="s">
        <v>163</v>
      </c>
      <c r="E47" s="37" t="s">
        <v>59</v>
      </c>
      <c r="F47" s="16" t="s">
        <v>60</v>
      </c>
      <c r="G47" s="128"/>
    </row>
    <row r="48" spans="1:8" ht="16.899999999999999" customHeight="1" thickBot="1">
      <c r="A48" s="63" t="s">
        <v>302</v>
      </c>
      <c r="B48" s="17" t="s">
        <v>419</v>
      </c>
      <c r="C48" s="63" t="s">
        <v>114</v>
      </c>
      <c r="D48" s="228">
        <v>1</v>
      </c>
      <c r="E48" s="63">
        <v>38115</v>
      </c>
      <c r="F48" s="63">
        <f>E48*D48</f>
        <v>38115</v>
      </c>
      <c r="G48" s="128"/>
      <c r="H48" s="2" t="s">
        <v>408</v>
      </c>
    </row>
    <row r="49" spans="1:8" ht="15.75" thickBot="1">
      <c r="A49" s="63" t="s">
        <v>393</v>
      </c>
      <c r="B49" s="17" t="s">
        <v>370</v>
      </c>
      <c r="C49" s="63" t="s">
        <v>114</v>
      </c>
      <c r="D49" s="228">
        <v>1</v>
      </c>
      <c r="E49" s="63">
        <v>29672.5</v>
      </c>
      <c r="F49" s="63">
        <f t="shared" ref="F49:F51" si="1">E49*D49</f>
        <v>29672.5</v>
      </c>
    </row>
    <row r="50" spans="1:8" ht="15.75" thickBot="1">
      <c r="A50" s="63" t="s">
        <v>413</v>
      </c>
      <c r="B50" s="17" t="s">
        <v>423</v>
      </c>
      <c r="C50" s="63" t="s">
        <v>114</v>
      </c>
      <c r="D50" s="228">
        <v>1</v>
      </c>
      <c r="E50" s="63">
        <v>24366.67</v>
      </c>
      <c r="F50" s="63">
        <f t="shared" si="1"/>
        <v>24366.67</v>
      </c>
    </row>
    <row r="51" spans="1:8" ht="15.75" thickBot="1">
      <c r="A51" s="63" t="s">
        <v>424</v>
      </c>
      <c r="B51" s="17" t="s">
        <v>414</v>
      </c>
      <c r="C51" s="63" t="s">
        <v>166</v>
      </c>
      <c r="D51" s="228">
        <f>67200/12</f>
        <v>5600</v>
      </c>
      <c r="E51" s="63">
        <v>6.01</v>
      </c>
      <c r="F51" s="63">
        <f t="shared" si="1"/>
        <v>33656</v>
      </c>
    </row>
    <row r="52" spans="1:8">
      <c r="A52" s="278" t="s">
        <v>226</v>
      </c>
      <c r="B52" s="279"/>
      <c r="C52" s="279"/>
      <c r="D52" s="279"/>
      <c r="E52" s="279"/>
      <c r="F52" s="227">
        <f>-9.25%*(SUM(F48:F51))</f>
        <v>-11637.440725</v>
      </c>
    </row>
    <row r="53" spans="1:8" ht="15.75" thickBot="1">
      <c r="A53" s="280" t="s">
        <v>61</v>
      </c>
      <c r="B53" s="281"/>
      <c r="C53" s="281"/>
      <c r="D53" s="281"/>
      <c r="E53" s="281"/>
      <c r="F53" s="220">
        <f>SUM(F48:F52)</f>
        <v>114172.72927499999</v>
      </c>
    </row>
    <row r="54" spans="1:8">
      <c r="A54" s="170"/>
      <c r="B54" s="167"/>
      <c r="C54" s="171"/>
      <c r="D54" s="168"/>
      <c r="E54" s="14"/>
      <c r="F54" s="169"/>
    </row>
    <row r="55" spans="1:8" s="3" customFormat="1" ht="15" customHeight="1">
      <c r="A55" s="270" t="s">
        <v>394</v>
      </c>
      <c r="B55" s="270"/>
      <c r="C55" s="270"/>
      <c r="D55" s="270"/>
      <c r="E55" s="270"/>
      <c r="F55" s="270"/>
    </row>
    <row r="56" spans="1:8" ht="15.75" thickBot="1">
      <c r="A56" s="172"/>
      <c r="B56" s="173" t="s">
        <v>10</v>
      </c>
      <c r="C56" s="174" t="s">
        <v>58</v>
      </c>
      <c r="D56" s="174" t="s">
        <v>163</v>
      </c>
      <c r="E56" s="175" t="s">
        <v>59</v>
      </c>
      <c r="F56" s="175" t="s">
        <v>60</v>
      </c>
    </row>
    <row r="57" spans="1:8" ht="15.75" thickBot="1">
      <c r="A57" s="40" t="s">
        <v>303</v>
      </c>
      <c r="B57" s="11" t="s">
        <v>320</v>
      </c>
      <c r="C57" s="12" t="s">
        <v>114</v>
      </c>
      <c r="D57" s="20">
        <v>2</v>
      </c>
      <c r="E57" s="61">
        <v>1007.33</v>
      </c>
      <c r="F57" s="27">
        <f>E57*D57</f>
        <v>2014.66</v>
      </c>
    </row>
    <row r="58" spans="1:8" ht="16.149999999999999" customHeight="1" thickBot="1">
      <c r="A58" s="271" t="s">
        <v>226</v>
      </c>
      <c r="B58" s="272"/>
      <c r="C58" s="272"/>
      <c r="D58" s="272"/>
      <c r="E58" s="273"/>
      <c r="F58" s="125">
        <f>-9.25%*(SUM(F57:F57))</f>
        <v>-186.35605000000001</v>
      </c>
    </row>
    <row r="59" spans="1:8" ht="16.899999999999999" customHeight="1" thickBot="1">
      <c r="A59" s="274" t="s">
        <v>61</v>
      </c>
      <c r="B59" s="275"/>
      <c r="C59" s="275"/>
      <c r="D59" s="275"/>
      <c r="E59" s="276"/>
      <c r="F59" s="16">
        <f>SUM(F57:F58)</f>
        <v>1828.30395</v>
      </c>
      <c r="G59" s="139"/>
      <c r="H59" s="14"/>
    </row>
    <row r="60" spans="1:8" ht="15.75" thickBot="1"/>
    <row r="61" spans="1:8" s="3" customFormat="1" ht="15" customHeight="1" thickBot="1">
      <c r="A61" s="265" t="s">
        <v>395</v>
      </c>
      <c r="B61" s="266"/>
      <c r="C61" s="250"/>
      <c r="D61" s="250"/>
      <c r="E61" s="250"/>
      <c r="F61" s="251"/>
    </row>
    <row r="62" spans="1:8" ht="15.75" thickBot="1">
      <c r="A62" s="159"/>
      <c r="B62" s="160" t="s">
        <v>112</v>
      </c>
      <c r="C62" s="221" t="s">
        <v>58</v>
      </c>
      <c r="D62" s="222" t="s">
        <v>163</v>
      </c>
      <c r="E62" s="223" t="s">
        <v>59</v>
      </c>
      <c r="F62" s="223" t="s">
        <v>113</v>
      </c>
      <c r="G62" s="18"/>
    </row>
    <row r="63" spans="1:8" ht="15.75" thickBot="1">
      <c r="A63" s="40" t="s">
        <v>322</v>
      </c>
      <c r="B63" s="224" t="s">
        <v>467</v>
      </c>
      <c r="C63" s="12" t="s">
        <v>164</v>
      </c>
      <c r="D63" s="225">
        <v>470</v>
      </c>
      <c r="E63" s="226">
        <v>2.2200000000000002</v>
      </c>
      <c r="F63" s="17">
        <f>(E63*D63)/12</f>
        <v>86.95</v>
      </c>
      <c r="G63" s="18"/>
    </row>
    <row r="64" spans="1:8" ht="15.75" thickBot="1">
      <c r="A64" s="40" t="s">
        <v>323</v>
      </c>
      <c r="B64" s="224" t="s">
        <v>359</v>
      </c>
      <c r="C64" s="12" t="s">
        <v>164</v>
      </c>
      <c r="D64" s="225">
        <v>16</v>
      </c>
      <c r="E64" s="226">
        <v>23.71</v>
      </c>
      <c r="F64" s="17">
        <f t="shared" ref="F64:F81" si="2">(E64*D64)/12</f>
        <v>31.613333333333333</v>
      </c>
      <c r="G64" s="18"/>
    </row>
    <row r="65" spans="1:7" ht="15.75" thickBot="1">
      <c r="A65" s="40" t="s">
        <v>324</v>
      </c>
      <c r="B65" s="224" t="s">
        <v>468</v>
      </c>
      <c r="C65" s="12" t="s">
        <v>164</v>
      </c>
      <c r="D65" s="225">
        <v>40</v>
      </c>
      <c r="E65" s="226">
        <v>98.81</v>
      </c>
      <c r="F65" s="17">
        <f t="shared" si="2"/>
        <v>329.36666666666667</v>
      </c>
      <c r="G65" s="18"/>
    </row>
    <row r="66" spans="1:7" ht="15.75" thickBot="1">
      <c r="A66" s="40" t="s">
        <v>325</v>
      </c>
      <c r="B66" s="224" t="s">
        <v>167</v>
      </c>
      <c r="C66" s="12" t="s">
        <v>164</v>
      </c>
      <c r="D66" s="225">
        <v>60</v>
      </c>
      <c r="E66" s="226">
        <v>17.149999999999999</v>
      </c>
      <c r="F66" s="17">
        <f t="shared" si="2"/>
        <v>85.75</v>
      </c>
      <c r="G66" s="18"/>
    </row>
    <row r="67" spans="1:7" ht="15.75" thickBot="1">
      <c r="A67" s="40" t="s">
        <v>326</v>
      </c>
      <c r="B67" s="224" t="s">
        <v>469</v>
      </c>
      <c r="C67" s="12" t="s">
        <v>164</v>
      </c>
      <c r="D67" s="225">
        <v>100</v>
      </c>
      <c r="E67" s="226">
        <v>60.19</v>
      </c>
      <c r="F67" s="17">
        <f t="shared" si="2"/>
        <v>501.58333333333331</v>
      </c>
      <c r="G67" s="18"/>
    </row>
    <row r="68" spans="1:7" ht="15.75" thickBot="1">
      <c r="A68" s="40" t="s">
        <v>327</v>
      </c>
      <c r="B68" s="224" t="s">
        <v>360</v>
      </c>
      <c r="C68" s="12" t="s">
        <v>164</v>
      </c>
      <c r="D68" s="225">
        <v>100</v>
      </c>
      <c r="E68" s="226">
        <v>50.03</v>
      </c>
      <c r="F68" s="17">
        <f t="shared" si="2"/>
        <v>416.91666666666669</v>
      </c>
      <c r="G68" s="18"/>
    </row>
    <row r="69" spans="1:7" ht="15.75" thickBot="1">
      <c r="A69" s="40" t="s">
        <v>396</v>
      </c>
      <c r="B69" s="224" t="s">
        <v>470</v>
      </c>
      <c r="C69" s="12" t="s">
        <v>164</v>
      </c>
      <c r="D69" s="225">
        <v>30</v>
      </c>
      <c r="E69" s="226">
        <v>51.7</v>
      </c>
      <c r="F69" s="17">
        <f t="shared" si="2"/>
        <v>129.25</v>
      </c>
      <c r="G69" s="18"/>
    </row>
    <row r="70" spans="1:7" ht="15.75" thickBot="1">
      <c r="A70" s="40" t="s">
        <v>397</v>
      </c>
      <c r="B70" s="224" t="s">
        <v>471</v>
      </c>
      <c r="C70" s="12" t="s">
        <v>164</v>
      </c>
      <c r="D70" s="225">
        <v>20</v>
      </c>
      <c r="E70" s="226">
        <v>16.350000000000001</v>
      </c>
      <c r="F70" s="17">
        <f t="shared" si="2"/>
        <v>27.25</v>
      </c>
      <c r="G70" s="18"/>
    </row>
    <row r="71" spans="1:7" ht="15.75" thickBot="1">
      <c r="A71" s="40" t="s">
        <v>398</v>
      </c>
      <c r="B71" s="224" t="s">
        <v>168</v>
      </c>
      <c r="C71" s="12" t="s">
        <v>164</v>
      </c>
      <c r="D71" s="225">
        <v>20</v>
      </c>
      <c r="E71" s="226">
        <v>41.3</v>
      </c>
      <c r="F71" s="17">
        <f t="shared" si="2"/>
        <v>68.833333333333329</v>
      </c>
      <c r="G71" s="18"/>
    </row>
    <row r="72" spans="1:7" ht="15.75" thickBot="1">
      <c r="A72" s="40" t="s">
        <v>399</v>
      </c>
      <c r="B72" s="224" t="s">
        <v>169</v>
      </c>
      <c r="C72" s="12" t="s">
        <v>164</v>
      </c>
      <c r="D72" s="225">
        <v>14</v>
      </c>
      <c r="E72" s="226">
        <v>50.05</v>
      </c>
      <c r="F72" s="17">
        <f t="shared" si="2"/>
        <v>58.391666666666659</v>
      </c>
      <c r="G72" s="18"/>
    </row>
    <row r="73" spans="1:7" ht="15.75" customHeight="1" thickBot="1">
      <c r="A73" s="40" t="s">
        <v>400</v>
      </c>
      <c r="B73" s="224" t="s">
        <v>472</v>
      </c>
      <c r="C73" s="12" t="s">
        <v>164</v>
      </c>
      <c r="D73" s="225">
        <v>60</v>
      </c>
      <c r="E73" s="226">
        <v>36.6</v>
      </c>
      <c r="F73" s="17">
        <f t="shared" si="2"/>
        <v>183</v>
      </c>
      <c r="G73" s="18"/>
    </row>
    <row r="74" spans="1:7" ht="15.75" thickBot="1">
      <c r="A74" s="40" t="s">
        <v>401</v>
      </c>
      <c r="B74" s="224" t="s">
        <v>473</v>
      </c>
      <c r="C74" s="12" t="s">
        <v>164</v>
      </c>
      <c r="D74" s="225">
        <v>20</v>
      </c>
      <c r="E74" s="226">
        <v>85.14</v>
      </c>
      <c r="F74" s="17">
        <f t="shared" si="2"/>
        <v>141.9</v>
      </c>
      <c r="G74" s="18"/>
    </row>
    <row r="75" spans="1:7" ht="15.75" thickBot="1">
      <c r="A75" s="40" t="s">
        <v>402</v>
      </c>
      <c r="B75" s="224" t="s">
        <v>474</v>
      </c>
      <c r="C75" s="12" t="s">
        <v>164</v>
      </c>
      <c r="D75" s="225">
        <v>240</v>
      </c>
      <c r="E75" s="226">
        <v>26.62</v>
      </c>
      <c r="F75" s="17">
        <f>(E75*D75)/12</f>
        <v>532.4</v>
      </c>
      <c r="G75" s="18"/>
    </row>
    <row r="76" spans="1:7" ht="15.75" thickBot="1">
      <c r="A76" s="40" t="s">
        <v>403</v>
      </c>
      <c r="B76" s="224" t="s">
        <v>475</v>
      </c>
      <c r="C76" s="12" t="s">
        <v>164</v>
      </c>
      <c r="D76" s="225">
        <v>12</v>
      </c>
      <c r="E76" s="226">
        <v>15.88</v>
      </c>
      <c r="F76" s="17">
        <f t="shared" si="2"/>
        <v>15.88</v>
      </c>
      <c r="G76" s="18"/>
    </row>
    <row r="77" spans="1:7" ht="15.75" thickBot="1">
      <c r="A77" s="40" t="s">
        <v>404</v>
      </c>
      <c r="B77" s="224" t="s">
        <v>476</v>
      </c>
      <c r="C77" s="12" t="s">
        <v>164</v>
      </c>
      <c r="D77" s="225">
        <v>6</v>
      </c>
      <c r="E77" s="226">
        <v>52.08</v>
      </c>
      <c r="F77" s="17">
        <f t="shared" si="2"/>
        <v>26.040000000000003</v>
      </c>
      <c r="G77" s="18"/>
    </row>
    <row r="78" spans="1:7" ht="15.75" thickBot="1">
      <c r="A78" s="40" t="s">
        <v>405</v>
      </c>
      <c r="B78" s="224" t="s">
        <v>477</v>
      </c>
      <c r="C78" s="12" t="s">
        <v>164</v>
      </c>
      <c r="D78" s="225">
        <v>6</v>
      </c>
      <c r="E78" s="226">
        <v>36.68</v>
      </c>
      <c r="F78" s="17">
        <f t="shared" si="2"/>
        <v>18.34</v>
      </c>
      <c r="G78" s="18"/>
    </row>
    <row r="79" spans="1:7" ht="15.75" thickBot="1">
      <c r="A79" s="40" t="s">
        <v>406</v>
      </c>
      <c r="B79" s="224" t="s">
        <v>487</v>
      </c>
      <c r="C79" s="12" t="s">
        <v>164</v>
      </c>
      <c r="D79" s="434">
        <v>60000</v>
      </c>
      <c r="E79" s="226">
        <v>0.75</v>
      </c>
      <c r="F79" s="17">
        <f t="shared" si="2"/>
        <v>3750</v>
      </c>
      <c r="G79" s="18"/>
    </row>
    <row r="80" spans="1:7" ht="15.75" thickBot="1">
      <c r="A80" s="40" t="s">
        <v>407</v>
      </c>
      <c r="B80" s="224" t="s">
        <v>478</v>
      </c>
      <c r="C80" s="12" t="s">
        <v>164</v>
      </c>
      <c r="D80" s="225">
        <v>12</v>
      </c>
      <c r="E80" s="226">
        <v>30.2</v>
      </c>
      <c r="F80" s="17">
        <f t="shared" si="2"/>
        <v>30.2</v>
      </c>
      <c r="G80" s="18"/>
    </row>
    <row r="81" spans="1:9" ht="15.75" thickBot="1">
      <c r="A81" s="40" t="s">
        <v>486</v>
      </c>
      <c r="B81" s="224" t="s">
        <v>479</v>
      </c>
      <c r="C81" s="12" t="s">
        <v>164</v>
      </c>
      <c r="D81" s="225">
        <v>12</v>
      </c>
      <c r="E81" s="226">
        <v>12.36</v>
      </c>
      <c r="F81" s="17">
        <f t="shared" si="2"/>
        <v>12.36</v>
      </c>
      <c r="G81" s="18"/>
    </row>
    <row r="82" spans="1:9" ht="15.75" thickBot="1">
      <c r="A82" s="271" t="s">
        <v>226</v>
      </c>
      <c r="B82" s="272"/>
      <c r="C82" s="272"/>
      <c r="D82" s="272"/>
      <c r="E82" s="273"/>
      <c r="F82" s="125">
        <f>-9.25%*(SUM(F63:F81))</f>
        <v>-596.25731250000001</v>
      </c>
      <c r="G82" s="18"/>
    </row>
    <row r="83" spans="1:9" ht="15.75" thickBot="1">
      <c r="A83" s="274" t="s">
        <v>61</v>
      </c>
      <c r="B83" s="275"/>
      <c r="C83" s="275"/>
      <c r="D83" s="275"/>
      <c r="E83" s="276"/>
      <c r="F83" s="16">
        <f>SUM(F63:F82)</f>
        <v>5849.7676874999997</v>
      </c>
      <c r="G83" s="18"/>
    </row>
    <row r="84" spans="1:9" ht="15.75" thickBot="1">
      <c r="G84" s="140"/>
      <c r="H84" s="14"/>
    </row>
    <row r="85" spans="1:9" ht="15.75" thickBot="1">
      <c r="A85" s="252" t="s">
        <v>79</v>
      </c>
      <c r="B85" s="253"/>
      <c r="C85" s="253"/>
      <c r="D85" s="253"/>
      <c r="E85" s="254"/>
      <c r="F85" s="16">
        <f>F24+F32+F44+F53+F59+F83</f>
        <v>575063.50521030254</v>
      </c>
    </row>
    <row r="86" spans="1:9" s="3" customFormat="1" ht="15" customHeight="1" thickBot="1">
      <c r="A86" s="2"/>
      <c r="B86" s="2"/>
      <c r="C86" s="1"/>
      <c r="D86" s="18"/>
      <c r="E86" s="13"/>
      <c r="F86" s="13"/>
      <c r="H86" s="15"/>
    </row>
    <row r="87" spans="1:9" ht="15.75" customHeight="1" thickBot="1">
      <c r="A87" s="249" t="s">
        <v>321</v>
      </c>
      <c r="B87" s="250"/>
      <c r="C87" s="250"/>
      <c r="D87" s="250"/>
      <c r="E87" s="250"/>
      <c r="F87" s="251"/>
    </row>
    <row r="88" spans="1:9" s="3" customFormat="1" ht="15.75" thickBot="1">
      <c r="A88" s="38"/>
      <c r="B88" s="7" t="s">
        <v>62</v>
      </c>
      <c r="C88" s="255" t="s">
        <v>11</v>
      </c>
      <c r="D88" s="256"/>
      <c r="E88" s="16" t="s">
        <v>59</v>
      </c>
      <c r="F88" s="16" t="s">
        <v>60</v>
      </c>
    </row>
    <row r="89" spans="1:9" s="3" customFormat="1" ht="27" thickBot="1">
      <c r="A89" s="8" t="s">
        <v>322</v>
      </c>
      <c r="B89" s="21" t="s">
        <v>82</v>
      </c>
      <c r="C89" s="257">
        <v>3.0043799999999999E-2</v>
      </c>
      <c r="D89" s="258"/>
      <c r="E89" s="63">
        <f>F85*C89</f>
        <v>17277.092937837286</v>
      </c>
      <c r="F89" s="17">
        <f>E89</f>
        <v>17277.092937837286</v>
      </c>
    </row>
    <row r="90" spans="1:9" ht="15.75" thickBot="1">
      <c r="A90" s="8" t="s">
        <v>323</v>
      </c>
      <c r="B90" s="11" t="s">
        <v>186</v>
      </c>
      <c r="C90" s="257">
        <v>2.8400000000000001E-3</v>
      </c>
      <c r="D90" s="258"/>
      <c r="E90" s="63">
        <f>F85*C90</f>
        <v>1633.1803547972593</v>
      </c>
      <c r="F90" s="17">
        <f>E90</f>
        <v>1633.1803547972593</v>
      </c>
      <c r="G90" s="128"/>
      <c r="I90" s="14"/>
    </row>
    <row r="91" spans="1:9" ht="15.75" thickBot="1">
      <c r="A91" s="259" t="s">
        <v>61</v>
      </c>
      <c r="B91" s="260"/>
      <c r="C91" s="260"/>
      <c r="D91" s="260"/>
      <c r="E91" s="261"/>
      <c r="F91" s="16">
        <f>SUM(F89:F90)</f>
        <v>18910.273292634545</v>
      </c>
      <c r="I91" s="14"/>
    </row>
    <row r="92" spans="1:9" ht="15.75" thickBot="1"/>
    <row r="93" spans="1:9" s="3" customFormat="1" ht="15.75" thickBot="1">
      <c r="A93" s="38"/>
      <c r="B93" s="7" t="s">
        <v>63</v>
      </c>
      <c r="C93" s="255" t="s">
        <v>11</v>
      </c>
      <c r="D93" s="256"/>
      <c r="E93" s="16" t="s">
        <v>59</v>
      </c>
      <c r="F93" s="16" t="s">
        <v>60</v>
      </c>
    </row>
    <row r="94" spans="1:9" ht="15.75" thickBot="1">
      <c r="A94" s="8" t="s">
        <v>324</v>
      </c>
      <c r="B94" s="21" t="s">
        <v>187</v>
      </c>
      <c r="C94" s="257">
        <v>6.164E-2</v>
      </c>
      <c r="D94" s="258"/>
      <c r="E94" s="63">
        <f>((F85+F91)-('Rem. Capital'!D8))*C94</f>
        <v>34648.270682307128</v>
      </c>
      <c r="F94" s="17">
        <f>E94</f>
        <v>34648.270682307128</v>
      </c>
      <c r="G94" s="128"/>
    </row>
    <row r="95" spans="1:9" ht="15.75" thickBot="1">
      <c r="A95" s="259" t="s">
        <v>61</v>
      </c>
      <c r="B95" s="260"/>
      <c r="C95" s="260"/>
      <c r="D95" s="260"/>
      <c r="E95" s="261"/>
      <c r="F95" s="16">
        <f>SUM(F94)</f>
        <v>34648.270682307128</v>
      </c>
    </row>
    <row r="96" spans="1:9" ht="15.75" thickBot="1"/>
    <row r="97" spans="1:9" s="3" customFormat="1" ht="15.75" thickBot="1">
      <c r="A97" s="38"/>
      <c r="B97" s="7" t="s">
        <v>64</v>
      </c>
      <c r="C97" s="255" t="s">
        <v>11</v>
      </c>
      <c r="D97" s="256"/>
      <c r="E97" s="16" t="s">
        <v>59</v>
      </c>
      <c r="F97" s="16" t="s">
        <v>60</v>
      </c>
    </row>
    <row r="98" spans="1:9" s="3" customFormat="1" ht="15.75" thickBot="1">
      <c r="A98" s="8" t="s">
        <v>325</v>
      </c>
      <c r="B98" s="11" t="s">
        <v>188</v>
      </c>
      <c r="C98" s="257">
        <v>1.6500000000000001E-2</v>
      </c>
      <c r="D98" s="258"/>
      <c r="E98" s="63">
        <f>F105*C98</f>
        <v>12095.9344741184</v>
      </c>
      <c r="F98" s="17">
        <f>E98</f>
        <v>12095.9344741184</v>
      </c>
    </row>
    <row r="99" spans="1:9" s="3" customFormat="1" ht="15.75" thickBot="1">
      <c r="A99" s="8" t="s">
        <v>326</v>
      </c>
      <c r="B99" s="11" t="s">
        <v>189</v>
      </c>
      <c r="C99" s="257">
        <v>7.5999999999999998E-2</v>
      </c>
      <c r="D99" s="258"/>
      <c r="E99" s="63">
        <f>F105*C99</f>
        <v>55714.607274727168</v>
      </c>
      <c r="F99" s="17">
        <f>E99</f>
        <v>55714.607274727168</v>
      </c>
    </row>
    <row r="100" spans="1:9" ht="15.75" thickBot="1">
      <c r="A100" s="8" t="s">
        <v>327</v>
      </c>
      <c r="B100" s="11" t="s">
        <v>65</v>
      </c>
      <c r="C100" s="257">
        <v>0.05</v>
      </c>
      <c r="D100" s="258"/>
      <c r="E100" s="63">
        <f>C100*F105</f>
        <v>36654.34689126788</v>
      </c>
      <c r="F100" s="17">
        <f>E100</f>
        <v>36654.34689126788</v>
      </c>
    </row>
    <row r="101" spans="1:9" ht="15.75" thickBot="1">
      <c r="A101" s="259" t="s">
        <v>61</v>
      </c>
      <c r="B101" s="260"/>
      <c r="C101" s="260"/>
      <c r="D101" s="260"/>
      <c r="E101" s="261"/>
      <c r="F101" s="16">
        <f>SUM(F98:F100)</f>
        <v>104464.88864011345</v>
      </c>
    </row>
    <row r="102" spans="1:9" ht="15.75" thickBot="1">
      <c r="G102" s="128"/>
      <c r="H102" s="73"/>
    </row>
    <row r="103" spans="1:9" ht="15.75" thickBot="1">
      <c r="A103" s="252" t="s">
        <v>80</v>
      </c>
      <c r="B103" s="253"/>
      <c r="C103" s="253"/>
      <c r="D103" s="253"/>
      <c r="E103" s="254"/>
      <c r="F103" s="16">
        <f>F101+F95+F91</f>
        <v>158023.43261505512</v>
      </c>
    </row>
    <row r="104" spans="1:9" ht="15.75" thickBot="1">
      <c r="G104" s="128"/>
      <c r="H104" s="73"/>
      <c r="I104" s="73"/>
    </row>
    <row r="105" spans="1:9" ht="15.75" customHeight="1" thickBot="1">
      <c r="A105" s="249" t="s">
        <v>165</v>
      </c>
      <c r="B105" s="250"/>
      <c r="C105" s="250"/>
      <c r="D105" s="250"/>
      <c r="E105" s="251"/>
      <c r="F105" s="16">
        <f>(F85+F91+F95)/(1-C98-C99-C100)</f>
        <v>733086.93782535754</v>
      </c>
    </row>
    <row r="107" spans="1:9" ht="13.5" customHeight="1" thickBot="1"/>
    <row r="108" spans="1:9" ht="50.25" customHeight="1" thickBot="1">
      <c r="A108" s="262" t="s">
        <v>77</v>
      </c>
      <c r="B108" s="263"/>
      <c r="C108" s="263"/>
      <c r="D108" s="263"/>
      <c r="E108" s="263"/>
      <c r="F108" s="264"/>
    </row>
    <row r="109" spans="1:9" ht="13.5" customHeight="1" thickBot="1"/>
    <row r="110" spans="1:9" ht="41.25" customHeight="1" thickBot="1">
      <c r="A110" s="246" t="s">
        <v>292</v>
      </c>
      <c r="B110" s="247"/>
      <c r="C110" s="247"/>
      <c r="D110" s="247"/>
      <c r="E110" s="247"/>
      <c r="F110" s="248"/>
    </row>
    <row r="111" spans="1:9" ht="14.25" customHeight="1" thickBot="1">
      <c r="A111" s="29"/>
      <c r="B111" s="29"/>
      <c r="C111" s="30"/>
      <c r="D111" s="31"/>
      <c r="E111" s="32"/>
      <c r="F111" s="32"/>
    </row>
    <row r="112" spans="1:9" ht="80.25" customHeight="1" thickBot="1">
      <c r="A112" s="246" t="s">
        <v>339</v>
      </c>
      <c r="B112" s="247"/>
      <c r="C112" s="247"/>
      <c r="D112" s="247"/>
      <c r="E112" s="247"/>
      <c r="F112" s="248"/>
    </row>
    <row r="113" spans="1:6" ht="21.75" customHeight="1" thickBot="1">
      <c r="A113" s="33"/>
      <c r="B113" s="33"/>
      <c r="C113" s="34"/>
      <c r="D113" s="35"/>
      <c r="E113" s="36"/>
      <c r="F113" s="36"/>
    </row>
    <row r="114" spans="1:6" ht="90" customHeight="1" thickBot="1">
      <c r="A114" s="246" t="s">
        <v>293</v>
      </c>
      <c r="B114" s="247"/>
      <c r="C114" s="247"/>
      <c r="D114" s="247"/>
      <c r="E114" s="247"/>
      <c r="F114" s="248"/>
    </row>
    <row r="115" spans="1:6" ht="16.5" customHeight="1" thickBot="1">
      <c r="C115" s="2"/>
      <c r="D115" s="2"/>
      <c r="E115" s="14"/>
      <c r="F115" s="2"/>
    </row>
    <row r="116" spans="1:6" ht="43.5" customHeight="1" thickBot="1">
      <c r="A116" s="246" t="s">
        <v>294</v>
      </c>
      <c r="B116" s="247"/>
      <c r="C116" s="247"/>
      <c r="D116" s="247"/>
      <c r="E116" s="247"/>
      <c r="F116" s="248"/>
    </row>
    <row r="117" spans="1:6" ht="12" customHeight="1" thickBot="1">
      <c r="C117" s="2"/>
      <c r="D117" s="2"/>
      <c r="E117" s="14"/>
      <c r="F117" s="2"/>
    </row>
    <row r="118" spans="1:6" ht="67.5" customHeight="1" thickBot="1">
      <c r="A118" s="246" t="s">
        <v>412</v>
      </c>
      <c r="B118" s="247"/>
      <c r="C118" s="247"/>
      <c r="D118" s="247"/>
      <c r="E118" s="247"/>
      <c r="F118" s="248"/>
    </row>
    <row r="119" spans="1:6" ht="21.75" customHeight="1" thickBot="1"/>
    <row r="120" spans="1:6" ht="112.5" customHeight="1" thickBot="1">
      <c r="A120" s="246" t="s">
        <v>304</v>
      </c>
      <c r="B120" s="247"/>
      <c r="C120" s="247"/>
      <c r="D120" s="247"/>
      <c r="E120" s="247"/>
      <c r="F120" s="248"/>
    </row>
    <row r="123" spans="1:6">
      <c r="B123" s="55"/>
      <c r="D123" s="57"/>
      <c r="E123" s="2"/>
      <c r="F123" s="2"/>
    </row>
    <row r="124" spans="1:6">
      <c r="B124" s="56"/>
      <c r="D124" s="57"/>
      <c r="E124" s="2"/>
      <c r="F124" s="2"/>
    </row>
    <row r="125" spans="1:6">
      <c r="B125" s="56"/>
      <c r="D125" s="57"/>
      <c r="E125" s="2"/>
      <c r="F125" s="2"/>
    </row>
  </sheetData>
  <sortState xmlns:xlrd2="http://schemas.microsoft.com/office/spreadsheetml/2017/richdata2" ref="B34:F42">
    <sortCondition ref="B33:B42"/>
  </sortState>
  <mergeCells count="57">
    <mergeCell ref="A85:E85"/>
    <mergeCell ref="A83:E83"/>
    <mergeCell ref="A82:E82"/>
    <mergeCell ref="A120:F120"/>
    <mergeCell ref="A1:D1"/>
    <mergeCell ref="A2:D2"/>
    <mergeCell ref="A3:B3"/>
    <mergeCell ref="C3:D3"/>
    <mergeCell ref="A4:B4"/>
    <mergeCell ref="C4:D4"/>
    <mergeCell ref="A24:E24"/>
    <mergeCell ref="A32:E32"/>
    <mergeCell ref="A31:E31"/>
    <mergeCell ref="A43:E43"/>
    <mergeCell ref="A5:B5"/>
    <mergeCell ref="C5:D5"/>
    <mergeCell ref="A6:B6"/>
    <mergeCell ref="C6:D6"/>
    <mergeCell ref="A7:B7"/>
    <mergeCell ref="C7:D7"/>
    <mergeCell ref="A34:F34"/>
    <mergeCell ref="A8:B8"/>
    <mergeCell ref="C8:D8"/>
    <mergeCell ref="A9:B9"/>
    <mergeCell ref="A11:F11"/>
    <mergeCell ref="A13:F13"/>
    <mergeCell ref="F2:I7"/>
    <mergeCell ref="A61:F61"/>
    <mergeCell ref="A26:F26"/>
    <mergeCell ref="A44:E44"/>
    <mergeCell ref="A55:F55"/>
    <mergeCell ref="A58:E58"/>
    <mergeCell ref="A59:E59"/>
    <mergeCell ref="A46:F46"/>
    <mergeCell ref="A52:E52"/>
    <mergeCell ref="A53:E53"/>
    <mergeCell ref="A108:F108"/>
    <mergeCell ref="A116:F116"/>
    <mergeCell ref="A110:F110"/>
    <mergeCell ref="A112:F112"/>
    <mergeCell ref="A114:F114"/>
    <mergeCell ref="A118:F118"/>
    <mergeCell ref="A87:F87"/>
    <mergeCell ref="A103:E103"/>
    <mergeCell ref="C88:D88"/>
    <mergeCell ref="C90:D90"/>
    <mergeCell ref="A91:E91"/>
    <mergeCell ref="C93:D93"/>
    <mergeCell ref="C94:D94"/>
    <mergeCell ref="A95:E95"/>
    <mergeCell ref="C97:D97"/>
    <mergeCell ref="C98:D98"/>
    <mergeCell ref="C99:D99"/>
    <mergeCell ref="C100:D100"/>
    <mergeCell ref="A101:E101"/>
    <mergeCell ref="C89:D89"/>
    <mergeCell ref="A105:E105"/>
  </mergeCells>
  <phoneticPr fontId="14" type="noConversion"/>
  <pageMargins left="0.7" right="0.7" top="0.75" bottom="0.75" header="0.3" footer="0.3"/>
  <pageSetup paperSize="9" scale="71" orientation="portrait" verticalDpi="0" r:id="rId1"/>
  <rowBreaks count="2" manualBreakCount="2">
    <brk id="59" max="6" man="1"/>
    <brk id="104" max="6" man="1"/>
  </rowBreaks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A1:D114"/>
  <sheetViews>
    <sheetView showGridLines="0" tabSelected="1" zoomScaleNormal="100" workbookViewId="0">
      <selection activeCell="C8" sqref="C8:D8"/>
    </sheetView>
  </sheetViews>
  <sheetFormatPr defaultRowHeight="15"/>
  <cols>
    <col min="1" max="1" width="5.75" style="23" customWidth="1"/>
    <col min="2" max="2" width="46.75" style="23" customWidth="1"/>
    <col min="3" max="3" width="11.125" style="22" bestFit="1" customWidth="1"/>
    <col min="4" max="4" width="15.5" style="23" bestFit="1" customWidth="1"/>
    <col min="5" max="247" width="8.75" style="23"/>
    <col min="248" max="248" width="5.75" style="23" customWidth="1"/>
    <col min="249" max="249" width="82.5" style="23" customWidth="1"/>
    <col min="250" max="250" width="13.5" style="23" customWidth="1"/>
    <col min="251" max="251" width="24" style="23" customWidth="1"/>
    <col min="252" max="252" width="10.25" style="23" customWidth="1"/>
    <col min="253" max="254" width="0" style="23" hidden="1" customWidth="1"/>
    <col min="255" max="503" width="8.75" style="23"/>
    <col min="504" max="504" width="5.75" style="23" customWidth="1"/>
    <col min="505" max="505" width="82.5" style="23" customWidth="1"/>
    <col min="506" max="506" width="13.5" style="23" customWidth="1"/>
    <col min="507" max="507" width="24" style="23" customWidth="1"/>
    <col min="508" max="508" width="10.25" style="23" customWidth="1"/>
    <col min="509" max="510" width="0" style="23" hidden="1" customWidth="1"/>
    <col min="511" max="759" width="8.75" style="23"/>
    <col min="760" max="760" width="5.75" style="23" customWidth="1"/>
    <col min="761" max="761" width="82.5" style="23" customWidth="1"/>
    <col min="762" max="762" width="13.5" style="23" customWidth="1"/>
    <col min="763" max="763" width="24" style="23" customWidth="1"/>
    <col min="764" max="764" width="10.25" style="23" customWidth="1"/>
    <col min="765" max="766" width="0" style="23" hidden="1" customWidth="1"/>
    <col min="767" max="1015" width="8.75" style="23"/>
    <col min="1016" max="1016" width="5.75" style="23" customWidth="1"/>
    <col min="1017" max="1017" width="82.5" style="23" customWidth="1"/>
    <col min="1018" max="1018" width="13.5" style="23" customWidth="1"/>
    <col min="1019" max="1019" width="24" style="23" customWidth="1"/>
    <col min="1020" max="1020" width="10.25" style="23" customWidth="1"/>
    <col min="1021" max="1022" width="0" style="23" hidden="1" customWidth="1"/>
    <col min="1023" max="1271" width="9" style="23"/>
    <col min="1272" max="1272" width="5.75" style="23" customWidth="1"/>
    <col min="1273" max="1273" width="82.5" style="23" customWidth="1"/>
    <col min="1274" max="1274" width="13.5" style="23" customWidth="1"/>
    <col min="1275" max="1275" width="24" style="23" customWidth="1"/>
    <col min="1276" max="1276" width="10.25" style="23" customWidth="1"/>
    <col min="1277" max="1278" width="0" style="23" hidden="1" customWidth="1"/>
    <col min="1279" max="1527" width="8.75" style="23"/>
    <col min="1528" max="1528" width="5.75" style="23" customWidth="1"/>
    <col min="1529" max="1529" width="82.5" style="23" customWidth="1"/>
    <col min="1530" max="1530" width="13.5" style="23" customWidth="1"/>
    <col min="1531" max="1531" width="24" style="23" customWidth="1"/>
    <col min="1532" max="1532" width="10.25" style="23" customWidth="1"/>
    <col min="1533" max="1534" width="0" style="23" hidden="1" customWidth="1"/>
    <col min="1535" max="1783" width="8.75" style="23"/>
    <col min="1784" max="1784" width="5.75" style="23" customWidth="1"/>
    <col min="1785" max="1785" width="82.5" style="23" customWidth="1"/>
    <col min="1786" max="1786" width="13.5" style="23" customWidth="1"/>
    <col min="1787" max="1787" width="24" style="23" customWidth="1"/>
    <col min="1788" max="1788" width="10.25" style="23" customWidth="1"/>
    <col min="1789" max="1790" width="0" style="23" hidden="1" customWidth="1"/>
    <col min="1791" max="2039" width="8.75" style="23"/>
    <col min="2040" max="2040" width="5.75" style="23" customWidth="1"/>
    <col min="2041" max="2041" width="82.5" style="23" customWidth="1"/>
    <col min="2042" max="2042" width="13.5" style="23" customWidth="1"/>
    <col min="2043" max="2043" width="24" style="23" customWidth="1"/>
    <col min="2044" max="2044" width="10.25" style="23" customWidth="1"/>
    <col min="2045" max="2046" width="0" style="23" hidden="1" customWidth="1"/>
    <col min="2047" max="2295" width="9" style="23"/>
    <col min="2296" max="2296" width="5.75" style="23" customWidth="1"/>
    <col min="2297" max="2297" width="82.5" style="23" customWidth="1"/>
    <col min="2298" max="2298" width="13.5" style="23" customWidth="1"/>
    <col min="2299" max="2299" width="24" style="23" customWidth="1"/>
    <col min="2300" max="2300" width="10.25" style="23" customWidth="1"/>
    <col min="2301" max="2302" width="0" style="23" hidden="1" customWidth="1"/>
    <col min="2303" max="2551" width="8.75" style="23"/>
    <col min="2552" max="2552" width="5.75" style="23" customWidth="1"/>
    <col min="2553" max="2553" width="82.5" style="23" customWidth="1"/>
    <col min="2554" max="2554" width="13.5" style="23" customWidth="1"/>
    <col min="2555" max="2555" width="24" style="23" customWidth="1"/>
    <col min="2556" max="2556" width="10.25" style="23" customWidth="1"/>
    <col min="2557" max="2558" width="0" style="23" hidden="1" customWidth="1"/>
    <col min="2559" max="2807" width="8.75" style="23"/>
    <col min="2808" max="2808" width="5.75" style="23" customWidth="1"/>
    <col min="2809" max="2809" width="82.5" style="23" customWidth="1"/>
    <col min="2810" max="2810" width="13.5" style="23" customWidth="1"/>
    <col min="2811" max="2811" width="24" style="23" customWidth="1"/>
    <col min="2812" max="2812" width="10.25" style="23" customWidth="1"/>
    <col min="2813" max="2814" width="0" style="23" hidden="1" customWidth="1"/>
    <col min="2815" max="3063" width="8.75" style="23"/>
    <col min="3064" max="3064" width="5.75" style="23" customWidth="1"/>
    <col min="3065" max="3065" width="82.5" style="23" customWidth="1"/>
    <col min="3066" max="3066" width="13.5" style="23" customWidth="1"/>
    <col min="3067" max="3067" width="24" style="23" customWidth="1"/>
    <col min="3068" max="3068" width="10.25" style="23" customWidth="1"/>
    <col min="3069" max="3070" width="0" style="23" hidden="1" customWidth="1"/>
    <col min="3071" max="3319" width="9" style="23"/>
    <col min="3320" max="3320" width="5.75" style="23" customWidth="1"/>
    <col min="3321" max="3321" width="82.5" style="23" customWidth="1"/>
    <col min="3322" max="3322" width="13.5" style="23" customWidth="1"/>
    <col min="3323" max="3323" width="24" style="23" customWidth="1"/>
    <col min="3324" max="3324" width="10.25" style="23" customWidth="1"/>
    <col min="3325" max="3326" width="0" style="23" hidden="1" customWidth="1"/>
    <col min="3327" max="3575" width="8.75" style="23"/>
    <col min="3576" max="3576" width="5.75" style="23" customWidth="1"/>
    <col min="3577" max="3577" width="82.5" style="23" customWidth="1"/>
    <col min="3578" max="3578" width="13.5" style="23" customWidth="1"/>
    <col min="3579" max="3579" width="24" style="23" customWidth="1"/>
    <col min="3580" max="3580" width="10.25" style="23" customWidth="1"/>
    <col min="3581" max="3582" width="0" style="23" hidden="1" customWidth="1"/>
    <col min="3583" max="3831" width="8.75" style="23"/>
    <col min="3832" max="3832" width="5.75" style="23" customWidth="1"/>
    <col min="3833" max="3833" width="82.5" style="23" customWidth="1"/>
    <col min="3834" max="3834" width="13.5" style="23" customWidth="1"/>
    <col min="3835" max="3835" width="24" style="23" customWidth="1"/>
    <col min="3836" max="3836" width="10.25" style="23" customWidth="1"/>
    <col min="3837" max="3838" width="0" style="23" hidden="1" customWidth="1"/>
    <col min="3839" max="4087" width="8.75" style="23"/>
    <col min="4088" max="4088" width="5.75" style="23" customWidth="1"/>
    <col min="4089" max="4089" width="82.5" style="23" customWidth="1"/>
    <col min="4090" max="4090" width="13.5" style="23" customWidth="1"/>
    <col min="4091" max="4091" width="24" style="23" customWidth="1"/>
    <col min="4092" max="4092" width="10.25" style="23" customWidth="1"/>
    <col min="4093" max="4094" width="0" style="23" hidden="1" customWidth="1"/>
    <col min="4095" max="4343" width="9" style="23"/>
    <col min="4344" max="4344" width="5.75" style="23" customWidth="1"/>
    <col min="4345" max="4345" width="82.5" style="23" customWidth="1"/>
    <col min="4346" max="4346" width="13.5" style="23" customWidth="1"/>
    <col min="4347" max="4347" width="24" style="23" customWidth="1"/>
    <col min="4348" max="4348" width="10.25" style="23" customWidth="1"/>
    <col min="4349" max="4350" width="0" style="23" hidden="1" customWidth="1"/>
    <col min="4351" max="4599" width="8.75" style="23"/>
    <col min="4600" max="4600" width="5.75" style="23" customWidth="1"/>
    <col min="4601" max="4601" width="82.5" style="23" customWidth="1"/>
    <col min="4602" max="4602" width="13.5" style="23" customWidth="1"/>
    <col min="4603" max="4603" width="24" style="23" customWidth="1"/>
    <col min="4604" max="4604" width="10.25" style="23" customWidth="1"/>
    <col min="4605" max="4606" width="0" style="23" hidden="1" customWidth="1"/>
    <col min="4607" max="4855" width="8.75" style="23"/>
    <col min="4856" max="4856" width="5.75" style="23" customWidth="1"/>
    <col min="4857" max="4857" width="82.5" style="23" customWidth="1"/>
    <col min="4858" max="4858" width="13.5" style="23" customWidth="1"/>
    <col min="4859" max="4859" width="24" style="23" customWidth="1"/>
    <col min="4860" max="4860" width="10.25" style="23" customWidth="1"/>
    <col min="4861" max="4862" width="0" style="23" hidden="1" customWidth="1"/>
    <col min="4863" max="5111" width="8.75" style="23"/>
    <col min="5112" max="5112" width="5.75" style="23" customWidth="1"/>
    <col min="5113" max="5113" width="82.5" style="23" customWidth="1"/>
    <col min="5114" max="5114" width="13.5" style="23" customWidth="1"/>
    <col min="5115" max="5115" width="24" style="23" customWidth="1"/>
    <col min="5116" max="5116" width="10.25" style="23" customWidth="1"/>
    <col min="5117" max="5118" width="0" style="23" hidden="1" customWidth="1"/>
    <col min="5119" max="5367" width="9" style="23"/>
    <col min="5368" max="5368" width="5.75" style="23" customWidth="1"/>
    <col min="5369" max="5369" width="82.5" style="23" customWidth="1"/>
    <col min="5370" max="5370" width="13.5" style="23" customWidth="1"/>
    <col min="5371" max="5371" width="24" style="23" customWidth="1"/>
    <col min="5372" max="5372" width="10.25" style="23" customWidth="1"/>
    <col min="5373" max="5374" width="0" style="23" hidden="1" customWidth="1"/>
    <col min="5375" max="5623" width="8.75" style="23"/>
    <col min="5624" max="5624" width="5.75" style="23" customWidth="1"/>
    <col min="5625" max="5625" width="82.5" style="23" customWidth="1"/>
    <col min="5626" max="5626" width="13.5" style="23" customWidth="1"/>
    <col min="5627" max="5627" width="24" style="23" customWidth="1"/>
    <col min="5628" max="5628" width="10.25" style="23" customWidth="1"/>
    <col min="5629" max="5630" width="0" style="23" hidden="1" customWidth="1"/>
    <col min="5631" max="5879" width="8.75" style="23"/>
    <col min="5880" max="5880" width="5.75" style="23" customWidth="1"/>
    <col min="5881" max="5881" width="82.5" style="23" customWidth="1"/>
    <col min="5882" max="5882" width="13.5" style="23" customWidth="1"/>
    <col min="5883" max="5883" width="24" style="23" customWidth="1"/>
    <col min="5884" max="5884" width="10.25" style="23" customWidth="1"/>
    <col min="5885" max="5886" width="0" style="23" hidden="1" customWidth="1"/>
    <col min="5887" max="6135" width="8.75" style="23"/>
    <col min="6136" max="6136" width="5.75" style="23" customWidth="1"/>
    <col min="6137" max="6137" width="82.5" style="23" customWidth="1"/>
    <col min="6138" max="6138" width="13.5" style="23" customWidth="1"/>
    <col min="6139" max="6139" width="24" style="23" customWidth="1"/>
    <col min="6140" max="6140" width="10.25" style="23" customWidth="1"/>
    <col min="6141" max="6142" width="0" style="23" hidden="1" customWidth="1"/>
    <col min="6143" max="6391" width="9" style="23"/>
    <col min="6392" max="6392" width="5.75" style="23" customWidth="1"/>
    <col min="6393" max="6393" width="82.5" style="23" customWidth="1"/>
    <col min="6394" max="6394" width="13.5" style="23" customWidth="1"/>
    <col min="6395" max="6395" width="24" style="23" customWidth="1"/>
    <col min="6396" max="6396" width="10.25" style="23" customWidth="1"/>
    <col min="6397" max="6398" width="0" style="23" hidden="1" customWidth="1"/>
    <col min="6399" max="6647" width="8.75" style="23"/>
    <col min="6648" max="6648" width="5.75" style="23" customWidth="1"/>
    <col min="6649" max="6649" width="82.5" style="23" customWidth="1"/>
    <col min="6650" max="6650" width="13.5" style="23" customWidth="1"/>
    <col min="6651" max="6651" width="24" style="23" customWidth="1"/>
    <col min="6652" max="6652" width="10.25" style="23" customWidth="1"/>
    <col min="6653" max="6654" width="0" style="23" hidden="1" customWidth="1"/>
    <col min="6655" max="6903" width="8.75" style="23"/>
    <col min="6904" max="6904" width="5.75" style="23" customWidth="1"/>
    <col min="6905" max="6905" width="82.5" style="23" customWidth="1"/>
    <col min="6906" max="6906" width="13.5" style="23" customWidth="1"/>
    <col min="6907" max="6907" width="24" style="23" customWidth="1"/>
    <col min="6908" max="6908" width="10.25" style="23" customWidth="1"/>
    <col min="6909" max="6910" width="0" style="23" hidden="1" customWidth="1"/>
    <col min="6911" max="7159" width="8.75" style="23"/>
    <col min="7160" max="7160" width="5.75" style="23" customWidth="1"/>
    <col min="7161" max="7161" width="82.5" style="23" customWidth="1"/>
    <col min="7162" max="7162" width="13.5" style="23" customWidth="1"/>
    <col min="7163" max="7163" width="24" style="23" customWidth="1"/>
    <col min="7164" max="7164" width="10.25" style="23" customWidth="1"/>
    <col min="7165" max="7166" width="0" style="23" hidden="1" customWidth="1"/>
    <col min="7167" max="7415" width="9" style="23"/>
    <col min="7416" max="7416" width="5.75" style="23" customWidth="1"/>
    <col min="7417" max="7417" width="82.5" style="23" customWidth="1"/>
    <col min="7418" max="7418" width="13.5" style="23" customWidth="1"/>
    <col min="7419" max="7419" width="24" style="23" customWidth="1"/>
    <col min="7420" max="7420" width="10.25" style="23" customWidth="1"/>
    <col min="7421" max="7422" width="0" style="23" hidden="1" customWidth="1"/>
    <col min="7423" max="7671" width="8.75" style="23"/>
    <col min="7672" max="7672" width="5.75" style="23" customWidth="1"/>
    <col min="7673" max="7673" width="82.5" style="23" customWidth="1"/>
    <col min="7674" max="7674" width="13.5" style="23" customWidth="1"/>
    <col min="7675" max="7675" width="24" style="23" customWidth="1"/>
    <col min="7676" max="7676" width="10.25" style="23" customWidth="1"/>
    <col min="7677" max="7678" width="0" style="23" hidden="1" customWidth="1"/>
    <col min="7679" max="7927" width="8.75" style="23"/>
    <col min="7928" max="7928" width="5.75" style="23" customWidth="1"/>
    <col min="7929" max="7929" width="82.5" style="23" customWidth="1"/>
    <col min="7930" max="7930" width="13.5" style="23" customWidth="1"/>
    <col min="7931" max="7931" width="24" style="23" customWidth="1"/>
    <col min="7932" max="7932" width="10.25" style="23" customWidth="1"/>
    <col min="7933" max="7934" width="0" style="23" hidden="1" customWidth="1"/>
    <col min="7935" max="8183" width="8.75" style="23"/>
    <col min="8184" max="8184" width="5.75" style="23" customWidth="1"/>
    <col min="8185" max="8185" width="82.5" style="23" customWidth="1"/>
    <col min="8186" max="8186" width="13.5" style="23" customWidth="1"/>
    <col min="8187" max="8187" width="24" style="23" customWidth="1"/>
    <col min="8188" max="8188" width="10.25" style="23" customWidth="1"/>
    <col min="8189" max="8190" width="0" style="23" hidden="1" customWidth="1"/>
    <col min="8191" max="8439" width="9" style="23"/>
    <col min="8440" max="8440" width="5.75" style="23" customWidth="1"/>
    <col min="8441" max="8441" width="82.5" style="23" customWidth="1"/>
    <col min="8442" max="8442" width="13.5" style="23" customWidth="1"/>
    <col min="8443" max="8443" width="24" style="23" customWidth="1"/>
    <col min="8444" max="8444" width="10.25" style="23" customWidth="1"/>
    <col min="8445" max="8446" width="0" style="23" hidden="1" customWidth="1"/>
    <col min="8447" max="8695" width="8.75" style="23"/>
    <col min="8696" max="8696" width="5.75" style="23" customWidth="1"/>
    <col min="8697" max="8697" width="82.5" style="23" customWidth="1"/>
    <col min="8698" max="8698" width="13.5" style="23" customWidth="1"/>
    <col min="8699" max="8699" width="24" style="23" customWidth="1"/>
    <col min="8700" max="8700" width="10.25" style="23" customWidth="1"/>
    <col min="8701" max="8702" width="0" style="23" hidden="1" customWidth="1"/>
    <col min="8703" max="8951" width="8.75" style="23"/>
    <col min="8952" max="8952" width="5.75" style="23" customWidth="1"/>
    <col min="8953" max="8953" width="82.5" style="23" customWidth="1"/>
    <col min="8954" max="8954" width="13.5" style="23" customWidth="1"/>
    <col min="8955" max="8955" width="24" style="23" customWidth="1"/>
    <col min="8956" max="8956" width="10.25" style="23" customWidth="1"/>
    <col min="8957" max="8958" width="0" style="23" hidden="1" customWidth="1"/>
    <col min="8959" max="9207" width="8.75" style="23"/>
    <col min="9208" max="9208" width="5.75" style="23" customWidth="1"/>
    <col min="9209" max="9209" width="82.5" style="23" customWidth="1"/>
    <col min="9210" max="9210" width="13.5" style="23" customWidth="1"/>
    <col min="9211" max="9211" width="24" style="23" customWidth="1"/>
    <col min="9212" max="9212" width="10.25" style="23" customWidth="1"/>
    <col min="9213" max="9214" width="0" style="23" hidden="1" customWidth="1"/>
    <col min="9215" max="9463" width="9" style="23"/>
    <col min="9464" max="9464" width="5.75" style="23" customWidth="1"/>
    <col min="9465" max="9465" width="82.5" style="23" customWidth="1"/>
    <col min="9466" max="9466" width="13.5" style="23" customWidth="1"/>
    <col min="9467" max="9467" width="24" style="23" customWidth="1"/>
    <col min="9468" max="9468" width="10.25" style="23" customWidth="1"/>
    <col min="9469" max="9470" width="0" style="23" hidden="1" customWidth="1"/>
    <col min="9471" max="9719" width="8.75" style="23"/>
    <col min="9720" max="9720" width="5.75" style="23" customWidth="1"/>
    <col min="9721" max="9721" width="82.5" style="23" customWidth="1"/>
    <col min="9722" max="9722" width="13.5" style="23" customWidth="1"/>
    <col min="9723" max="9723" width="24" style="23" customWidth="1"/>
    <col min="9724" max="9724" width="10.25" style="23" customWidth="1"/>
    <col min="9725" max="9726" width="0" style="23" hidden="1" customWidth="1"/>
    <col min="9727" max="9975" width="8.75" style="23"/>
    <col min="9976" max="9976" width="5.75" style="23" customWidth="1"/>
    <col min="9977" max="9977" width="82.5" style="23" customWidth="1"/>
    <col min="9978" max="9978" width="13.5" style="23" customWidth="1"/>
    <col min="9979" max="9979" width="24" style="23" customWidth="1"/>
    <col min="9980" max="9980" width="10.25" style="23" customWidth="1"/>
    <col min="9981" max="9982" width="0" style="23" hidden="1" customWidth="1"/>
    <col min="9983" max="10231" width="8.75" style="23"/>
    <col min="10232" max="10232" width="5.75" style="23" customWidth="1"/>
    <col min="10233" max="10233" width="82.5" style="23" customWidth="1"/>
    <col min="10234" max="10234" width="13.5" style="23" customWidth="1"/>
    <col min="10235" max="10235" width="24" style="23" customWidth="1"/>
    <col min="10236" max="10236" width="10.25" style="23" customWidth="1"/>
    <col min="10237" max="10238" width="0" style="23" hidden="1" customWidth="1"/>
    <col min="10239" max="10487" width="9" style="23"/>
    <col min="10488" max="10488" width="5.75" style="23" customWidth="1"/>
    <col min="10489" max="10489" width="82.5" style="23" customWidth="1"/>
    <col min="10490" max="10490" width="13.5" style="23" customWidth="1"/>
    <col min="10491" max="10491" width="24" style="23" customWidth="1"/>
    <col min="10492" max="10492" width="10.25" style="23" customWidth="1"/>
    <col min="10493" max="10494" width="0" style="23" hidden="1" customWidth="1"/>
    <col min="10495" max="10743" width="8.75" style="23"/>
    <col min="10744" max="10744" width="5.75" style="23" customWidth="1"/>
    <col min="10745" max="10745" width="82.5" style="23" customWidth="1"/>
    <col min="10746" max="10746" width="13.5" style="23" customWidth="1"/>
    <col min="10747" max="10747" width="24" style="23" customWidth="1"/>
    <col min="10748" max="10748" width="10.25" style="23" customWidth="1"/>
    <col min="10749" max="10750" width="0" style="23" hidden="1" customWidth="1"/>
    <col min="10751" max="10999" width="8.75" style="23"/>
    <col min="11000" max="11000" width="5.75" style="23" customWidth="1"/>
    <col min="11001" max="11001" width="82.5" style="23" customWidth="1"/>
    <col min="11002" max="11002" width="13.5" style="23" customWidth="1"/>
    <col min="11003" max="11003" width="24" style="23" customWidth="1"/>
    <col min="11004" max="11004" width="10.25" style="23" customWidth="1"/>
    <col min="11005" max="11006" width="0" style="23" hidden="1" customWidth="1"/>
    <col min="11007" max="11255" width="8.75" style="23"/>
    <col min="11256" max="11256" width="5.75" style="23" customWidth="1"/>
    <col min="11257" max="11257" width="82.5" style="23" customWidth="1"/>
    <col min="11258" max="11258" width="13.5" style="23" customWidth="1"/>
    <col min="11259" max="11259" width="24" style="23" customWidth="1"/>
    <col min="11260" max="11260" width="10.25" style="23" customWidth="1"/>
    <col min="11261" max="11262" width="0" style="23" hidden="1" customWidth="1"/>
    <col min="11263" max="11511" width="9" style="23"/>
    <col min="11512" max="11512" width="5.75" style="23" customWidth="1"/>
    <col min="11513" max="11513" width="82.5" style="23" customWidth="1"/>
    <col min="11514" max="11514" width="13.5" style="23" customWidth="1"/>
    <col min="11515" max="11515" width="24" style="23" customWidth="1"/>
    <col min="11516" max="11516" width="10.25" style="23" customWidth="1"/>
    <col min="11517" max="11518" width="0" style="23" hidden="1" customWidth="1"/>
    <col min="11519" max="11767" width="8.75" style="23"/>
    <col min="11768" max="11768" width="5.75" style="23" customWidth="1"/>
    <col min="11769" max="11769" width="82.5" style="23" customWidth="1"/>
    <col min="11770" max="11770" width="13.5" style="23" customWidth="1"/>
    <col min="11771" max="11771" width="24" style="23" customWidth="1"/>
    <col min="11772" max="11772" width="10.25" style="23" customWidth="1"/>
    <col min="11773" max="11774" width="0" style="23" hidden="1" customWidth="1"/>
    <col min="11775" max="12023" width="8.75" style="23"/>
    <col min="12024" max="12024" width="5.75" style="23" customWidth="1"/>
    <col min="12025" max="12025" width="82.5" style="23" customWidth="1"/>
    <col min="12026" max="12026" width="13.5" style="23" customWidth="1"/>
    <col min="12027" max="12027" width="24" style="23" customWidth="1"/>
    <col min="12028" max="12028" width="10.25" style="23" customWidth="1"/>
    <col min="12029" max="12030" width="0" style="23" hidden="1" customWidth="1"/>
    <col min="12031" max="12279" width="8.75" style="23"/>
    <col min="12280" max="12280" width="5.75" style="23" customWidth="1"/>
    <col min="12281" max="12281" width="82.5" style="23" customWidth="1"/>
    <col min="12282" max="12282" width="13.5" style="23" customWidth="1"/>
    <col min="12283" max="12283" width="24" style="23" customWidth="1"/>
    <col min="12284" max="12284" width="10.25" style="23" customWidth="1"/>
    <col min="12285" max="12286" width="0" style="23" hidden="1" customWidth="1"/>
    <col min="12287" max="12535" width="9" style="23"/>
    <col min="12536" max="12536" width="5.75" style="23" customWidth="1"/>
    <col min="12537" max="12537" width="82.5" style="23" customWidth="1"/>
    <col min="12538" max="12538" width="13.5" style="23" customWidth="1"/>
    <col min="12539" max="12539" width="24" style="23" customWidth="1"/>
    <col min="12540" max="12540" width="10.25" style="23" customWidth="1"/>
    <col min="12541" max="12542" width="0" style="23" hidden="1" customWidth="1"/>
    <col min="12543" max="12791" width="8.75" style="23"/>
    <col min="12792" max="12792" width="5.75" style="23" customWidth="1"/>
    <col min="12793" max="12793" width="82.5" style="23" customWidth="1"/>
    <col min="12794" max="12794" width="13.5" style="23" customWidth="1"/>
    <col min="12795" max="12795" width="24" style="23" customWidth="1"/>
    <col min="12796" max="12796" width="10.25" style="23" customWidth="1"/>
    <col min="12797" max="12798" width="0" style="23" hidden="1" customWidth="1"/>
    <col min="12799" max="13047" width="8.75" style="23"/>
    <col min="13048" max="13048" width="5.75" style="23" customWidth="1"/>
    <col min="13049" max="13049" width="82.5" style="23" customWidth="1"/>
    <col min="13050" max="13050" width="13.5" style="23" customWidth="1"/>
    <col min="13051" max="13051" width="24" style="23" customWidth="1"/>
    <col min="13052" max="13052" width="10.25" style="23" customWidth="1"/>
    <col min="13053" max="13054" width="0" style="23" hidden="1" customWidth="1"/>
    <col min="13055" max="13303" width="8.75" style="23"/>
    <col min="13304" max="13304" width="5.75" style="23" customWidth="1"/>
    <col min="13305" max="13305" width="82.5" style="23" customWidth="1"/>
    <col min="13306" max="13306" width="13.5" style="23" customWidth="1"/>
    <col min="13307" max="13307" width="24" style="23" customWidth="1"/>
    <col min="13308" max="13308" width="10.25" style="23" customWidth="1"/>
    <col min="13309" max="13310" width="0" style="23" hidden="1" customWidth="1"/>
    <col min="13311" max="13559" width="9" style="23"/>
    <col min="13560" max="13560" width="5.75" style="23" customWidth="1"/>
    <col min="13561" max="13561" width="82.5" style="23" customWidth="1"/>
    <col min="13562" max="13562" width="13.5" style="23" customWidth="1"/>
    <col min="13563" max="13563" width="24" style="23" customWidth="1"/>
    <col min="13564" max="13564" width="10.25" style="23" customWidth="1"/>
    <col min="13565" max="13566" width="0" style="23" hidden="1" customWidth="1"/>
    <col min="13567" max="13815" width="8.75" style="23"/>
    <col min="13816" max="13816" width="5.75" style="23" customWidth="1"/>
    <col min="13817" max="13817" width="82.5" style="23" customWidth="1"/>
    <col min="13818" max="13818" width="13.5" style="23" customWidth="1"/>
    <col min="13819" max="13819" width="24" style="23" customWidth="1"/>
    <col min="13820" max="13820" width="10.25" style="23" customWidth="1"/>
    <col min="13821" max="13822" width="0" style="23" hidden="1" customWidth="1"/>
    <col min="13823" max="14071" width="8.75" style="23"/>
    <col min="14072" max="14072" width="5.75" style="23" customWidth="1"/>
    <col min="14073" max="14073" width="82.5" style="23" customWidth="1"/>
    <col min="14074" max="14074" width="13.5" style="23" customWidth="1"/>
    <col min="14075" max="14075" width="24" style="23" customWidth="1"/>
    <col min="14076" max="14076" width="10.25" style="23" customWidth="1"/>
    <col min="14077" max="14078" width="0" style="23" hidden="1" customWidth="1"/>
    <col min="14079" max="14327" width="8.75" style="23"/>
    <col min="14328" max="14328" width="5.75" style="23" customWidth="1"/>
    <col min="14329" max="14329" width="82.5" style="23" customWidth="1"/>
    <col min="14330" max="14330" width="13.5" style="23" customWidth="1"/>
    <col min="14331" max="14331" width="24" style="23" customWidth="1"/>
    <col min="14332" max="14332" width="10.25" style="23" customWidth="1"/>
    <col min="14333" max="14334" width="0" style="23" hidden="1" customWidth="1"/>
    <col min="14335" max="14583" width="9" style="23"/>
    <col min="14584" max="14584" width="5.75" style="23" customWidth="1"/>
    <col min="14585" max="14585" width="82.5" style="23" customWidth="1"/>
    <col min="14586" max="14586" width="13.5" style="23" customWidth="1"/>
    <col min="14587" max="14587" width="24" style="23" customWidth="1"/>
    <col min="14588" max="14588" width="10.25" style="23" customWidth="1"/>
    <col min="14589" max="14590" width="0" style="23" hidden="1" customWidth="1"/>
    <col min="14591" max="14839" width="8.75" style="23"/>
    <col min="14840" max="14840" width="5.75" style="23" customWidth="1"/>
    <col min="14841" max="14841" width="82.5" style="23" customWidth="1"/>
    <col min="14842" max="14842" width="13.5" style="23" customWidth="1"/>
    <col min="14843" max="14843" width="24" style="23" customWidth="1"/>
    <col min="14844" max="14844" width="10.25" style="23" customWidth="1"/>
    <col min="14845" max="14846" width="0" style="23" hidden="1" customWidth="1"/>
    <col min="14847" max="15095" width="8.75" style="23"/>
    <col min="15096" max="15096" width="5.75" style="23" customWidth="1"/>
    <col min="15097" max="15097" width="82.5" style="23" customWidth="1"/>
    <col min="15098" max="15098" width="13.5" style="23" customWidth="1"/>
    <col min="15099" max="15099" width="24" style="23" customWidth="1"/>
    <col min="15100" max="15100" width="10.25" style="23" customWidth="1"/>
    <col min="15101" max="15102" width="0" style="23" hidden="1" customWidth="1"/>
    <col min="15103" max="15351" width="8.75" style="23"/>
    <col min="15352" max="15352" width="5.75" style="23" customWidth="1"/>
    <col min="15353" max="15353" width="82.5" style="23" customWidth="1"/>
    <col min="15354" max="15354" width="13.5" style="23" customWidth="1"/>
    <col min="15355" max="15355" width="24" style="23" customWidth="1"/>
    <col min="15356" max="15356" width="10.25" style="23" customWidth="1"/>
    <col min="15357" max="15358" width="0" style="23" hidden="1" customWidth="1"/>
    <col min="15359" max="15607" width="9" style="23"/>
    <col min="15608" max="15608" width="5.75" style="23" customWidth="1"/>
    <col min="15609" max="15609" width="82.5" style="23" customWidth="1"/>
    <col min="15610" max="15610" width="13.5" style="23" customWidth="1"/>
    <col min="15611" max="15611" width="24" style="23" customWidth="1"/>
    <col min="15612" max="15612" width="10.25" style="23" customWidth="1"/>
    <col min="15613" max="15614" width="0" style="23" hidden="1" customWidth="1"/>
    <col min="15615" max="15863" width="8.75" style="23"/>
    <col min="15864" max="15864" width="5.75" style="23" customWidth="1"/>
    <col min="15865" max="15865" width="82.5" style="23" customWidth="1"/>
    <col min="15866" max="15866" width="13.5" style="23" customWidth="1"/>
    <col min="15867" max="15867" width="24" style="23" customWidth="1"/>
    <col min="15868" max="15868" width="10.25" style="23" customWidth="1"/>
    <col min="15869" max="15870" width="0" style="23" hidden="1" customWidth="1"/>
    <col min="15871" max="16119" width="8.75" style="23"/>
    <col min="16120" max="16120" width="5.75" style="23" customWidth="1"/>
    <col min="16121" max="16121" width="82.5" style="23" customWidth="1"/>
    <col min="16122" max="16122" width="13.5" style="23" customWidth="1"/>
    <col min="16123" max="16123" width="24" style="23" customWidth="1"/>
    <col min="16124" max="16124" width="10.25" style="23" customWidth="1"/>
    <col min="16125" max="16126" width="0" style="23" hidden="1" customWidth="1"/>
    <col min="16127" max="16384" width="9" style="23"/>
  </cols>
  <sheetData>
    <row r="1" spans="1:4" ht="15" customHeight="1" thickBot="1">
      <c r="A1" s="289" t="s">
        <v>9</v>
      </c>
      <c r="B1" s="289"/>
      <c r="C1" s="289"/>
      <c r="D1" s="289"/>
    </row>
    <row r="2" spans="1:4" s="25" customFormat="1" ht="15" customHeight="1" thickBot="1">
      <c r="A2" s="310" t="s">
        <v>12</v>
      </c>
      <c r="B2" s="311"/>
      <c r="C2" s="311"/>
      <c r="D2" s="312"/>
    </row>
    <row r="3" spans="1:4" s="25" customFormat="1" ht="15" customHeight="1">
      <c r="A3" s="287"/>
      <c r="B3" s="287"/>
      <c r="C3" s="313"/>
      <c r="D3" s="313"/>
    </row>
    <row r="4" spans="1:4" s="25" customFormat="1" ht="15" customHeight="1">
      <c r="A4" s="314" t="s">
        <v>13</v>
      </c>
      <c r="B4" s="314"/>
      <c r="C4" s="315" t="s">
        <v>490</v>
      </c>
      <c r="D4" s="315"/>
    </row>
    <row r="5" spans="1:4" s="25" customFormat="1" ht="15" customHeight="1">
      <c r="A5" s="314" t="s">
        <v>14</v>
      </c>
      <c r="B5" s="314"/>
      <c r="C5" s="316" t="s">
        <v>15</v>
      </c>
      <c r="D5" s="316"/>
    </row>
    <row r="6" spans="1:4" s="25" customFormat="1" ht="15" customHeight="1">
      <c r="A6" s="314" t="s">
        <v>16</v>
      </c>
      <c r="B6" s="314"/>
      <c r="C6" s="316" t="s">
        <v>489</v>
      </c>
      <c r="D6" s="316"/>
    </row>
    <row r="7" spans="1:4" s="25" customFormat="1" ht="15" customHeight="1">
      <c r="A7" s="317" t="s">
        <v>17</v>
      </c>
      <c r="B7" s="317"/>
      <c r="C7" s="318" t="s">
        <v>491</v>
      </c>
      <c r="D7" s="319"/>
    </row>
    <row r="8" spans="1:4" s="25" customFormat="1" ht="15" customHeight="1">
      <c r="A8" s="314" t="s">
        <v>18</v>
      </c>
      <c r="B8" s="314"/>
      <c r="C8" s="316">
        <v>12</v>
      </c>
      <c r="D8" s="316"/>
    </row>
    <row r="9" spans="1:4" s="25" customFormat="1" ht="15" customHeight="1">
      <c r="A9" s="39"/>
      <c r="B9" s="39"/>
      <c r="C9" s="6"/>
      <c r="D9" s="6"/>
    </row>
    <row r="10" spans="1:4" s="25" customFormat="1" ht="15" customHeight="1">
      <c r="A10" s="320" t="s">
        <v>19</v>
      </c>
      <c r="B10" s="320"/>
      <c r="C10" s="320" t="s">
        <v>84</v>
      </c>
      <c r="D10" s="320"/>
    </row>
    <row r="11" spans="1:4" s="25" customFormat="1" ht="15" customHeight="1">
      <c r="A11" s="306" t="s">
        <v>355</v>
      </c>
      <c r="B11" s="306"/>
      <c r="C11" s="321" t="s">
        <v>115</v>
      </c>
      <c r="D11" s="306"/>
    </row>
    <row r="12" spans="1:4" s="25" customFormat="1" ht="15" customHeight="1">
      <c r="A12" s="4"/>
      <c r="B12" s="4"/>
      <c r="C12" s="5"/>
      <c r="D12" s="6"/>
    </row>
    <row r="13" spans="1:4" s="25" customFormat="1" ht="15" customHeight="1">
      <c r="A13" s="322" t="s">
        <v>86</v>
      </c>
      <c r="B13" s="322"/>
      <c r="C13" s="322"/>
      <c r="D13" s="322"/>
    </row>
    <row r="14" spans="1:4" ht="15" customHeight="1">
      <c r="A14" s="76">
        <v>1</v>
      </c>
      <c r="B14" s="77" t="s">
        <v>20</v>
      </c>
      <c r="C14" s="76"/>
      <c r="D14" s="78" t="s">
        <v>21</v>
      </c>
    </row>
    <row r="15" spans="1:4" ht="15" customHeight="1">
      <c r="A15" s="79" t="s">
        <v>128</v>
      </c>
      <c r="B15" s="66" t="s">
        <v>22</v>
      </c>
      <c r="C15" s="80"/>
      <c r="D15" s="81">
        <v>2025</v>
      </c>
    </row>
    <row r="16" spans="1:4" ht="15" customHeight="1">
      <c r="A16" s="79" t="s">
        <v>130</v>
      </c>
      <c r="B16" s="66" t="s">
        <v>23</v>
      </c>
      <c r="C16" s="80"/>
      <c r="D16" s="81">
        <v>0</v>
      </c>
    </row>
    <row r="17" spans="1:4" ht="15" customHeight="1">
      <c r="A17" s="79" t="s">
        <v>192</v>
      </c>
      <c r="B17" s="66" t="s">
        <v>24</v>
      </c>
      <c r="C17" s="80"/>
      <c r="D17" s="81">
        <v>0</v>
      </c>
    </row>
    <row r="18" spans="1:4" ht="15" customHeight="1">
      <c r="A18" s="79" t="s">
        <v>193</v>
      </c>
      <c r="B18" s="66" t="s">
        <v>354</v>
      </c>
      <c r="C18" s="80"/>
      <c r="D18" s="81">
        <f>(D15*C18)</f>
        <v>0</v>
      </c>
    </row>
    <row r="19" spans="1:4" ht="15" customHeight="1">
      <c r="A19" s="79" t="s">
        <v>194</v>
      </c>
      <c r="B19" s="66" t="s">
        <v>195</v>
      </c>
      <c r="C19" s="80">
        <v>0.4</v>
      </c>
      <c r="D19" s="81">
        <f>(1621*C19)</f>
        <v>648.40000000000009</v>
      </c>
    </row>
    <row r="20" spans="1:4" ht="15" customHeight="1">
      <c r="A20" s="79" t="s">
        <v>196</v>
      </c>
      <c r="B20" s="66" t="s">
        <v>25</v>
      </c>
      <c r="C20" s="80"/>
      <c r="D20" s="81">
        <v>0</v>
      </c>
    </row>
    <row r="21" spans="1:4" ht="15" customHeight="1">
      <c r="A21" s="79" t="s">
        <v>197</v>
      </c>
      <c r="B21" s="66" t="s">
        <v>85</v>
      </c>
      <c r="C21" s="80"/>
      <c r="D21" s="81">
        <v>0</v>
      </c>
    </row>
    <row r="22" spans="1:4" ht="15" customHeight="1">
      <c r="A22" s="79" t="s">
        <v>198</v>
      </c>
      <c r="B22" s="66" t="s">
        <v>26</v>
      </c>
      <c r="C22" s="80"/>
      <c r="D22" s="81">
        <v>0</v>
      </c>
    </row>
    <row r="23" spans="1:4" ht="15" customHeight="1">
      <c r="A23" s="79" t="s">
        <v>199</v>
      </c>
      <c r="B23" s="66" t="s">
        <v>27</v>
      </c>
      <c r="C23" s="80"/>
      <c r="D23" s="81">
        <v>0</v>
      </c>
    </row>
    <row r="24" spans="1:4" ht="15" customHeight="1">
      <c r="A24" s="79" t="s">
        <v>200</v>
      </c>
      <c r="B24" s="66" t="s">
        <v>28</v>
      </c>
      <c r="C24" s="80"/>
      <c r="D24" s="81">
        <f>SUM(D15:D23)*C24</f>
        <v>0</v>
      </c>
    </row>
    <row r="25" spans="1:4" ht="15" customHeight="1">
      <c r="A25" s="307" t="s">
        <v>29</v>
      </c>
      <c r="B25" s="307"/>
      <c r="C25" s="83"/>
      <c r="D25" s="78">
        <f>SUM(D15:D24)</f>
        <v>2673.4</v>
      </c>
    </row>
    <row r="26" spans="1:4" ht="15" customHeight="1"/>
    <row r="27" spans="1:4" s="25" customFormat="1" ht="15" customHeight="1">
      <c r="A27" s="306" t="s">
        <v>87</v>
      </c>
      <c r="B27" s="306"/>
      <c r="C27" s="306"/>
      <c r="D27" s="306"/>
    </row>
    <row r="28" spans="1:4" ht="30" customHeight="1">
      <c r="A28" s="76" t="s">
        <v>88</v>
      </c>
      <c r="B28" s="77" t="s">
        <v>104</v>
      </c>
      <c r="C28" s="76" t="s">
        <v>11</v>
      </c>
      <c r="D28" s="76" t="s">
        <v>37</v>
      </c>
    </row>
    <row r="29" spans="1:4" s="25" customFormat="1" ht="15" customHeight="1">
      <c r="A29" s="79" t="s">
        <v>201</v>
      </c>
      <c r="B29" s="66" t="s">
        <v>45</v>
      </c>
      <c r="C29" s="84">
        <v>8.3299999999999999E-2</v>
      </c>
      <c r="D29" s="85">
        <f>($D$25*C29)</f>
        <v>222.69422</v>
      </c>
    </row>
    <row r="30" spans="1:4" ht="15" customHeight="1">
      <c r="A30" s="79" t="s">
        <v>202</v>
      </c>
      <c r="B30" s="86" t="s">
        <v>52</v>
      </c>
      <c r="C30" s="87">
        <v>0.1111</v>
      </c>
      <c r="D30" s="85">
        <f>($D$25*C30)</f>
        <v>297.01474000000002</v>
      </c>
    </row>
    <row r="31" spans="1:4" ht="15" customHeight="1">
      <c r="A31" s="79" t="s">
        <v>203</v>
      </c>
      <c r="B31" s="86" t="s">
        <v>101</v>
      </c>
      <c r="C31" s="87">
        <f>C43*(C29+C30)</f>
        <v>7.1539200000000025E-2</v>
      </c>
      <c r="D31" s="85">
        <f>($D$25*C31)</f>
        <v>191.25289728000007</v>
      </c>
    </row>
    <row r="32" spans="1:4" ht="15" customHeight="1">
      <c r="A32" s="307" t="s">
        <v>107</v>
      </c>
      <c r="B32" s="307"/>
      <c r="C32" s="83"/>
      <c r="D32" s="78">
        <f>SUM(D29:D31)</f>
        <v>710.96185728000012</v>
      </c>
    </row>
    <row r="33" spans="1:4" ht="15" customHeight="1"/>
    <row r="34" spans="1:4" ht="15" customHeight="1">
      <c r="A34" s="76" t="s">
        <v>89</v>
      </c>
      <c r="B34" s="77" t="s">
        <v>105</v>
      </c>
      <c r="C34" s="76" t="s">
        <v>11</v>
      </c>
      <c r="D34" s="76" t="s">
        <v>37</v>
      </c>
    </row>
    <row r="35" spans="1:4" s="25" customFormat="1" ht="15" customHeight="1">
      <c r="A35" s="79" t="s">
        <v>204</v>
      </c>
      <c r="B35" s="86" t="s">
        <v>38</v>
      </c>
      <c r="C35" s="89">
        <v>0.2</v>
      </c>
      <c r="D35" s="85">
        <f>(D25*C35)</f>
        <v>534.68000000000006</v>
      </c>
    </row>
    <row r="36" spans="1:4" s="25" customFormat="1" ht="15" customHeight="1">
      <c r="A36" s="79" t="s">
        <v>205</v>
      </c>
      <c r="B36" s="86" t="s">
        <v>39</v>
      </c>
      <c r="C36" s="89">
        <v>0.08</v>
      </c>
      <c r="D36" s="85">
        <f>(D25*C36)</f>
        <v>213.87200000000001</v>
      </c>
    </row>
    <row r="37" spans="1:4" s="25" customFormat="1" ht="15" customHeight="1">
      <c r="A37" s="79" t="s">
        <v>206</v>
      </c>
      <c r="B37" s="86" t="s">
        <v>40</v>
      </c>
      <c r="C37" s="89">
        <v>1.4999999999999999E-2</v>
      </c>
      <c r="D37" s="85">
        <f>(D25*C37)</f>
        <v>40.100999999999999</v>
      </c>
    </row>
    <row r="38" spans="1:4" s="25" customFormat="1" ht="15" customHeight="1">
      <c r="A38" s="79" t="s">
        <v>207</v>
      </c>
      <c r="B38" s="86" t="s">
        <v>41</v>
      </c>
      <c r="C38" s="89">
        <v>0.01</v>
      </c>
      <c r="D38" s="85">
        <f>(D25*C38)</f>
        <v>26.734000000000002</v>
      </c>
    </row>
    <row r="39" spans="1:4" s="25" customFormat="1" ht="15" customHeight="1">
      <c r="A39" s="79" t="s">
        <v>208</v>
      </c>
      <c r="B39" s="86" t="s">
        <v>42</v>
      </c>
      <c r="C39" s="89">
        <v>6.0000000000000001E-3</v>
      </c>
      <c r="D39" s="85">
        <f>(D25*C39)</f>
        <v>16.040400000000002</v>
      </c>
    </row>
    <row r="40" spans="1:4" s="25" customFormat="1" ht="15" customHeight="1">
      <c r="A40" s="79" t="s">
        <v>209</v>
      </c>
      <c r="B40" s="86" t="s">
        <v>43</v>
      </c>
      <c r="C40" s="89">
        <v>2E-3</v>
      </c>
      <c r="D40" s="85">
        <f>(D25*C40)</f>
        <v>5.3468</v>
      </c>
    </row>
    <row r="41" spans="1:4" s="25" customFormat="1" ht="15" customHeight="1">
      <c r="A41" s="79" t="s">
        <v>210</v>
      </c>
      <c r="B41" s="86" t="s">
        <v>44</v>
      </c>
      <c r="C41" s="89">
        <v>2.5000000000000001E-2</v>
      </c>
      <c r="D41" s="85">
        <f>(D25*C41)</f>
        <v>66.835000000000008</v>
      </c>
    </row>
    <row r="42" spans="1:4" s="25" customFormat="1" ht="15" customHeight="1">
      <c r="A42" s="79" t="s">
        <v>211</v>
      </c>
      <c r="B42" s="86" t="s">
        <v>102</v>
      </c>
      <c r="C42" s="89">
        <v>0.03</v>
      </c>
      <c r="D42" s="85">
        <f>(D25*C42)</f>
        <v>80.201999999999998</v>
      </c>
    </row>
    <row r="43" spans="1:4" ht="15" customHeight="1">
      <c r="A43" s="307" t="s">
        <v>107</v>
      </c>
      <c r="B43" s="307"/>
      <c r="C43" s="83">
        <f>SUM(C35:C42)</f>
        <v>0.3680000000000001</v>
      </c>
      <c r="D43" s="78">
        <f>SUM(D35:D42)</f>
        <v>983.81120000000021</v>
      </c>
    </row>
    <row r="44" spans="1:4" ht="15" customHeight="1"/>
    <row r="45" spans="1:4" ht="15" customHeight="1">
      <c r="A45" s="76" t="s">
        <v>90</v>
      </c>
      <c r="B45" s="77" t="s">
        <v>106</v>
      </c>
      <c r="C45" s="76"/>
      <c r="D45" s="78" t="s">
        <v>21</v>
      </c>
    </row>
    <row r="46" spans="1:4" ht="15" customHeight="1">
      <c r="A46" s="79" t="s">
        <v>212</v>
      </c>
      <c r="B46" s="66" t="s">
        <v>30</v>
      </c>
      <c r="C46" s="90">
        <v>6.25</v>
      </c>
      <c r="D46" s="81">
        <f>(C46*50.16)-(6%*D15)</f>
        <v>192</v>
      </c>
    </row>
    <row r="47" spans="1:4" ht="15" customHeight="1">
      <c r="A47" s="79" t="s">
        <v>214</v>
      </c>
      <c r="B47" s="66" t="s">
        <v>31</v>
      </c>
      <c r="C47" s="90">
        <v>900</v>
      </c>
      <c r="D47" s="81">
        <f>C47-(C47*0.2)</f>
        <v>720</v>
      </c>
    </row>
    <row r="48" spans="1:4" ht="15" customHeight="1">
      <c r="A48" s="79" t="s">
        <v>216</v>
      </c>
      <c r="B48" s="66" t="s">
        <v>32</v>
      </c>
      <c r="C48" s="90">
        <v>94.5</v>
      </c>
      <c r="D48" s="81">
        <f>C48</f>
        <v>94.5</v>
      </c>
    </row>
    <row r="49" spans="1:4" ht="15" customHeight="1">
      <c r="A49" s="79" t="s">
        <v>217</v>
      </c>
      <c r="B49" s="66" t="s">
        <v>33</v>
      </c>
      <c r="C49" s="90">
        <v>31</v>
      </c>
      <c r="D49" s="81">
        <f>C49</f>
        <v>31</v>
      </c>
    </row>
    <row r="50" spans="1:4" ht="15" customHeight="1">
      <c r="A50" s="79" t="s">
        <v>218</v>
      </c>
      <c r="B50" s="66" t="s">
        <v>34</v>
      </c>
      <c r="C50" s="90">
        <v>0</v>
      </c>
      <c r="D50" s="81">
        <f>C50</f>
        <v>0</v>
      </c>
    </row>
    <row r="51" spans="1:4" ht="15" customHeight="1">
      <c r="A51" s="79" t="s">
        <v>219</v>
      </c>
      <c r="B51" s="66" t="s">
        <v>35</v>
      </c>
      <c r="C51" s="90">
        <v>0</v>
      </c>
      <c r="D51" s="81">
        <f>C51</f>
        <v>0</v>
      </c>
    </row>
    <row r="52" spans="1:4" ht="15" customHeight="1">
      <c r="A52" s="79" t="s">
        <v>220</v>
      </c>
      <c r="B52" s="66" t="s">
        <v>221</v>
      </c>
      <c r="C52" s="90">
        <v>900</v>
      </c>
      <c r="D52" s="81">
        <f>(C52-(C52*0.2))/12</f>
        <v>60</v>
      </c>
    </row>
    <row r="53" spans="1:4" ht="15" customHeight="1">
      <c r="A53" s="79" t="s">
        <v>223</v>
      </c>
      <c r="B53" s="66" t="s">
        <v>224</v>
      </c>
      <c r="C53" s="90">
        <v>205</v>
      </c>
      <c r="D53" s="81">
        <f>C53</f>
        <v>205</v>
      </c>
    </row>
    <row r="54" spans="1:4" ht="15" customHeight="1">
      <c r="A54" s="79" t="s">
        <v>225</v>
      </c>
      <c r="B54" s="66" t="s">
        <v>226</v>
      </c>
      <c r="C54" s="156">
        <v>9.2499999999999999E-2</v>
      </c>
      <c r="D54" s="81">
        <f>-(D46+D47+D52)*C54</f>
        <v>-89.91</v>
      </c>
    </row>
    <row r="55" spans="1:4" ht="15" customHeight="1">
      <c r="A55" s="307" t="s">
        <v>107</v>
      </c>
      <c r="B55" s="307"/>
      <c r="C55" s="83"/>
      <c r="D55" s="78">
        <f>SUM(D46:D54)</f>
        <v>1212.5899999999999</v>
      </c>
    </row>
    <row r="56" spans="1:4" ht="15" customHeight="1"/>
    <row r="57" spans="1:4" ht="15" customHeight="1">
      <c r="A57" s="304" t="s">
        <v>93</v>
      </c>
      <c r="B57" s="304"/>
      <c r="C57" s="304"/>
      <c r="D57" s="304"/>
    </row>
    <row r="58" spans="1:4" ht="15" customHeight="1">
      <c r="A58" s="79" t="s">
        <v>88</v>
      </c>
      <c r="B58" s="66" t="s">
        <v>92</v>
      </c>
      <c r="C58" s="302">
        <f>D32</f>
        <v>710.96185728000012</v>
      </c>
      <c r="D58" s="302"/>
    </row>
    <row r="59" spans="1:4" ht="15" customHeight="1">
      <c r="A59" s="79" t="s">
        <v>89</v>
      </c>
      <c r="B59" s="66" t="s">
        <v>94</v>
      </c>
      <c r="C59" s="302">
        <f>D43</f>
        <v>983.81120000000021</v>
      </c>
      <c r="D59" s="302"/>
    </row>
    <row r="60" spans="1:4" ht="15" customHeight="1">
      <c r="A60" s="79" t="s">
        <v>90</v>
      </c>
      <c r="B60" s="66" t="s">
        <v>91</v>
      </c>
      <c r="C60" s="308">
        <f>D55</f>
        <v>1212.5899999999999</v>
      </c>
      <c r="D60" s="308"/>
    </row>
    <row r="61" spans="1:4" ht="15" customHeight="1">
      <c r="A61" s="304" t="s">
        <v>95</v>
      </c>
      <c r="B61" s="304"/>
      <c r="C61" s="305">
        <f>SUM(C58:D60)</f>
        <v>2907.3630572800002</v>
      </c>
      <c r="D61" s="305"/>
    </row>
    <row r="62" spans="1:4" ht="15" customHeight="1"/>
    <row r="63" spans="1:4" s="25" customFormat="1" ht="15" customHeight="1">
      <c r="A63" s="306" t="s">
        <v>96</v>
      </c>
      <c r="B63" s="306"/>
      <c r="C63" s="306"/>
      <c r="D63" s="306"/>
    </row>
    <row r="64" spans="1:4" ht="15" customHeight="1">
      <c r="A64" s="76">
        <v>3</v>
      </c>
      <c r="B64" s="77" t="s">
        <v>98</v>
      </c>
      <c r="C64" s="94" t="s">
        <v>11</v>
      </c>
      <c r="D64" s="76" t="s">
        <v>37</v>
      </c>
    </row>
    <row r="65" spans="1:4" s="25" customFormat="1" ht="15" customHeight="1">
      <c r="A65" s="79" t="s">
        <v>131</v>
      </c>
      <c r="B65" s="96" t="s">
        <v>51</v>
      </c>
      <c r="C65" s="97">
        <v>4.1700000000000001E-3</v>
      </c>
      <c r="D65" s="85">
        <f t="shared" ref="D65:D70" si="0">($D$25*C65)</f>
        <v>11.148078</v>
      </c>
    </row>
    <row r="66" spans="1:4" s="25" customFormat="1" ht="15" customHeight="1">
      <c r="A66" s="79" t="s">
        <v>176</v>
      </c>
      <c r="B66" s="96" t="s">
        <v>53</v>
      </c>
      <c r="C66" s="97">
        <v>3.3E-4</v>
      </c>
      <c r="D66" s="85">
        <f t="shared" si="0"/>
        <v>0.88222200000000006</v>
      </c>
    </row>
    <row r="67" spans="1:4" s="25" customFormat="1" ht="32.450000000000003" customHeight="1">
      <c r="A67" s="79" t="s">
        <v>233</v>
      </c>
      <c r="B67" s="96" t="s">
        <v>54</v>
      </c>
      <c r="C67" s="97">
        <v>0</v>
      </c>
      <c r="D67" s="85">
        <f t="shared" si="0"/>
        <v>0</v>
      </c>
    </row>
    <row r="68" spans="1:4" s="25" customFormat="1" ht="15" customHeight="1">
      <c r="A68" s="79" t="s">
        <v>236</v>
      </c>
      <c r="B68" s="96" t="s">
        <v>46</v>
      </c>
      <c r="C68" s="97">
        <v>1.9439999999999999E-2</v>
      </c>
      <c r="D68" s="85">
        <f t="shared" si="0"/>
        <v>51.970895999999996</v>
      </c>
    </row>
    <row r="69" spans="1:4" s="25" customFormat="1" ht="15" customHeight="1">
      <c r="A69" s="79" t="s">
        <v>239</v>
      </c>
      <c r="B69" s="96" t="s">
        <v>97</v>
      </c>
      <c r="C69" s="97">
        <f>C43*C68</f>
        <v>7.153920000000002E-3</v>
      </c>
      <c r="D69" s="85">
        <f t="shared" si="0"/>
        <v>19.125289728000006</v>
      </c>
    </row>
    <row r="70" spans="1:4" s="25" customFormat="1" ht="15" customHeight="1">
      <c r="A70" s="79" t="s">
        <v>242</v>
      </c>
      <c r="B70" s="96" t="s">
        <v>243</v>
      </c>
      <c r="C70" s="97">
        <v>3.4389999999999997E-2</v>
      </c>
      <c r="D70" s="85">
        <f t="shared" si="0"/>
        <v>91.938226</v>
      </c>
    </row>
    <row r="71" spans="1:4" ht="15" customHeight="1">
      <c r="A71" s="309" t="s">
        <v>107</v>
      </c>
      <c r="B71" s="309"/>
      <c r="C71" s="99">
        <f>SUM(C65:C70)</f>
        <v>6.5483920000000001E-2</v>
      </c>
      <c r="D71" s="100">
        <f>SUM(D65:D70)</f>
        <v>175.06471172800002</v>
      </c>
    </row>
    <row r="72" spans="1:4" ht="15" customHeight="1"/>
    <row r="73" spans="1:4" s="25" customFormat="1" ht="15" customHeight="1">
      <c r="A73" s="306" t="s">
        <v>99</v>
      </c>
      <c r="B73" s="306"/>
      <c r="C73" s="306"/>
      <c r="D73" s="306"/>
    </row>
    <row r="74" spans="1:4" ht="15" customHeight="1">
      <c r="A74" s="76" t="s">
        <v>103</v>
      </c>
      <c r="B74" s="77" t="s">
        <v>247</v>
      </c>
      <c r="C74" s="94" t="s">
        <v>11</v>
      </c>
      <c r="D74" s="76" t="s">
        <v>37</v>
      </c>
    </row>
    <row r="75" spans="1:4" s="25" customFormat="1" ht="15" customHeight="1">
      <c r="A75" s="79" t="s">
        <v>248</v>
      </c>
      <c r="B75" s="66" t="s">
        <v>249</v>
      </c>
      <c r="C75" s="84">
        <v>4.15E-3</v>
      </c>
      <c r="D75" s="85">
        <f>($D$25*C75)</f>
        <v>11.094610000000001</v>
      </c>
    </row>
    <row r="76" spans="1:4" s="25" customFormat="1" ht="15" customHeight="1">
      <c r="A76" s="79" t="s">
        <v>251</v>
      </c>
      <c r="B76" s="66" t="s">
        <v>252</v>
      </c>
      <c r="C76" s="84">
        <v>2.0000000000000001E-4</v>
      </c>
      <c r="D76" s="85">
        <f>($D$25*C76)</f>
        <v>0.53468000000000004</v>
      </c>
    </row>
    <row r="77" spans="1:4" s="25" customFormat="1" ht="15" customHeight="1">
      <c r="A77" s="79" t="s">
        <v>253</v>
      </c>
      <c r="B77" s="66" t="s">
        <v>254</v>
      </c>
      <c r="C77" s="84">
        <v>5.1000000000000004E-4</v>
      </c>
      <c r="D77" s="85">
        <f>($D$25*C77)</f>
        <v>1.363434</v>
      </c>
    </row>
    <row r="78" spans="1:4" s="25" customFormat="1" ht="15" customHeight="1">
      <c r="A78" s="79" t="s">
        <v>255</v>
      </c>
      <c r="B78" s="66" t="s">
        <v>256</v>
      </c>
      <c r="C78" s="84">
        <v>3.8999999999999999E-4</v>
      </c>
      <c r="D78" s="85">
        <f>($D$25*C78)</f>
        <v>1.0426260000000001</v>
      </c>
    </row>
    <row r="79" spans="1:4" s="25" customFormat="1" ht="15" customHeight="1">
      <c r="A79" s="79" t="s">
        <v>257</v>
      </c>
      <c r="B79" s="66" t="s">
        <v>100</v>
      </c>
      <c r="C79" s="84"/>
      <c r="D79" s="85"/>
    </row>
    <row r="80" spans="1:4" ht="15" customHeight="1">
      <c r="A80" s="307" t="s">
        <v>107</v>
      </c>
      <c r="B80" s="307"/>
      <c r="C80" s="83">
        <f>SUM(C75:C79)</f>
        <v>5.2499999999999995E-3</v>
      </c>
      <c r="D80" s="78">
        <f>SUM(D75:D79)</f>
        <v>14.035350000000001</v>
      </c>
    </row>
    <row r="81" spans="1:4" ht="15" customHeight="1"/>
    <row r="82" spans="1:4" ht="15" customHeight="1">
      <c r="A82" s="304" t="s">
        <v>258</v>
      </c>
      <c r="B82" s="304"/>
      <c r="C82" s="304"/>
      <c r="D82" s="304"/>
    </row>
    <row r="83" spans="1:4" ht="15" customHeight="1">
      <c r="A83" s="79" t="s">
        <v>103</v>
      </c>
      <c r="B83" s="66" t="s">
        <v>111</v>
      </c>
      <c r="C83" s="302">
        <f>D80</f>
        <v>14.035350000000001</v>
      </c>
      <c r="D83" s="302"/>
    </row>
    <row r="84" spans="1:4" ht="15" customHeight="1">
      <c r="A84" s="76" t="s">
        <v>95</v>
      </c>
      <c r="B84" s="76" t="s">
        <v>95</v>
      </c>
      <c r="C84" s="305">
        <f>SUM(C83:D83)</f>
        <v>14.035350000000001</v>
      </c>
      <c r="D84" s="305"/>
    </row>
    <row r="85" spans="1:4" ht="15" customHeight="1"/>
    <row r="86" spans="1:4" s="25" customFormat="1" ht="15" customHeight="1">
      <c r="A86" s="306" t="s">
        <v>108</v>
      </c>
      <c r="B86" s="306"/>
      <c r="C86" s="306"/>
      <c r="D86" s="306"/>
    </row>
    <row r="87" spans="1:4" ht="15" customHeight="1">
      <c r="A87" s="76">
        <v>5</v>
      </c>
      <c r="B87" s="77" t="s">
        <v>109</v>
      </c>
      <c r="C87" s="76"/>
      <c r="D87" s="78" t="s">
        <v>21</v>
      </c>
    </row>
    <row r="88" spans="1:4" ht="15" customHeight="1">
      <c r="A88" s="79" t="s">
        <v>133</v>
      </c>
      <c r="B88" s="66" t="s">
        <v>120</v>
      </c>
      <c r="C88" s="92"/>
      <c r="D88" s="81">
        <v>61.12</v>
      </c>
    </row>
    <row r="89" spans="1:4" ht="15" customHeight="1">
      <c r="A89" s="79" t="s">
        <v>178</v>
      </c>
      <c r="B89" s="66" t="s">
        <v>121</v>
      </c>
      <c r="C89" s="92"/>
      <c r="D89" s="180">
        <v>115.87083333333332</v>
      </c>
    </row>
    <row r="90" spans="1:4" ht="15" customHeight="1">
      <c r="A90" s="79" t="s">
        <v>259</v>
      </c>
      <c r="B90" s="66" t="s">
        <v>226</v>
      </c>
      <c r="C90" s="91">
        <v>9.2499999999999999E-2</v>
      </c>
      <c r="D90" s="81">
        <f>-(D88+D89)*C90</f>
        <v>-16.371652083333331</v>
      </c>
    </row>
    <row r="91" spans="1:4" ht="15" customHeight="1">
      <c r="A91" s="307"/>
      <c r="B91" s="307" t="s">
        <v>36</v>
      </c>
      <c r="C91" s="83"/>
      <c r="D91" s="78">
        <f>SUM(D88:D90)</f>
        <v>160.61918125</v>
      </c>
    </row>
    <row r="92" spans="1:4" ht="15" customHeight="1"/>
    <row r="93" spans="1:4" ht="15" customHeight="1">
      <c r="A93" s="304" t="s">
        <v>110</v>
      </c>
      <c r="B93" s="304"/>
      <c r="C93" s="304"/>
      <c r="D93" s="304"/>
    </row>
    <row r="94" spans="1:4" ht="15" customHeight="1">
      <c r="A94" s="79">
        <v>1</v>
      </c>
      <c r="B94" s="66" t="s">
        <v>86</v>
      </c>
      <c r="C94" s="302">
        <f>D25</f>
        <v>2673.4</v>
      </c>
      <c r="D94" s="303"/>
    </row>
    <row r="95" spans="1:4" ht="30" customHeight="1">
      <c r="A95" s="79">
        <v>2</v>
      </c>
      <c r="B95" s="66" t="s">
        <v>87</v>
      </c>
      <c r="C95" s="302">
        <f>C61</f>
        <v>2907.3630572800002</v>
      </c>
      <c r="D95" s="303"/>
    </row>
    <row r="96" spans="1:4" ht="15" customHeight="1">
      <c r="A96" s="79">
        <v>3</v>
      </c>
      <c r="B96" s="66" t="s">
        <v>96</v>
      </c>
      <c r="C96" s="302">
        <f>D71</f>
        <v>175.06471172800002</v>
      </c>
      <c r="D96" s="303"/>
    </row>
    <row r="97" spans="1:4" ht="34.15" customHeight="1">
      <c r="A97" s="79">
        <v>4</v>
      </c>
      <c r="B97" s="66" t="s">
        <v>99</v>
      </c>
      <c r="C97" s="302">
        <f>C84</f>
        <v>14.035350000000001</v>
      </c>
      <c r="D97" s="303"/>
    </row>
    <row r="98" spans="1:4" ht="15" customHeight="1">
      <c r="A98" s="79">
        <v>5</v>
      </c>
      <c r="B98" s="66" t="s">
        <v>108</v>
      </c>
      <c r="C98" s="302">
        <f>D91</f>
        <v>160.61918125</v>
      </c>
      <c r="D98" s="303"/>
    </row>
    <row r="99" spans="1:4" ht="15" customHeight="1">
      <c r="A99" s="304" t="s">
        <v>95</v>
      </c>
      <c r="B99" s="304" t="s">
        <v>95</v>
      </c>
      <c r="C99" s="305">
        <f>SUM(C94:D98)</f>
        <v>5930.4823002580015</v>
      </c>
      <c r="D99" s="305">
        <f>SUM(D94:D98)</f>
        <v>0</v>
      </c>
    </row>
    <row r="100" spans="1:4" ht="30" customHeight="1"/>
    <row r="101" spans="1:4" s="6" customFormat="1" ht="100.15" customHeight="1">
      <c r="A101" s="301" t="s">
        <v>260</v>
      </c>
      <c r="B101" s="301"/>
      <c r="C101" s="301"/>
      <c r="D101" s="301"/>
    </row>
    <row r="102" spans="1:4" s="6" customFormat="1" ht="27.95" customHeight="1">
      <c r="A102" s="181"/>
      <c r="B102" s="181"/>
      <c r="C102" s="182"/>
      <c r="D102" s="181"/>
    </row>
    <row r="103" spans="1:4" s="6" customFormat="1" ht="145.9" customHeight="1">
      <c r="A103" s="301" t="s">
        <v>261</v>
      </c>
      <c r="B103" s="301"/>
      <c r="C103" s="301"/>
      <c r="D103" s="301"/>
    </row>
    <row r="104" spans="1:4" s="6" customFormat="1" ht="15.95" customHeight="1">
      <c r="A104" s="181"/>
      <c r="B104" s="181"/>
      <c r="C104" s="182"/>
      <c r="D104" s="181"/>
    </row>
    <row r="105" spans="1:4" s="6" customFormat="1" ht="163.9" customHeight="1">
      <c r="A105" s="301" t="s">
        <v>262</v>
      </c>
      <c r="B105" s="301"/>
      <c r="C105" s="301"/>
      <c r="D105" s="301"/>
    </row>
    <row r="106" spans="1:4" ht="57.75" customHeight="1">
      <c r="C106" s="23"/>
    </row>
    <row r="107" spans="1:4" ht="6.75" customHeight="1">
      <c r="C107" s="23"/>
    </row>
    <row r="108" spans="1:4" ht="45.95" customHeight="1">
      <c r="C108" s="23"/>
    </row>
    <row r="109" spans="1:4" ht="45.95" customHeight="1">
      <c r="C109" s="23"/>
    </row>
    <row r="110" spans="1:4" ht="45.95" customHeight="1">
      <c r="C110" s="23"/>
    </row>
    <row r="111" spans="1:4" ht="45.95" customHeight="1">
      <c r="C111" s="23"/>
    </row>
    <row r="112" spans="1:4" ht="45.95" customHeight="1">
      <c r="C112" s="23"/>
    </row>
    <row r="113" spans="3:3">
      <c r="C113" s="23"/>
    </row>
    <row r="114" spans="3:3">
      <c r="C114" s="23"/>
    </row>
  </sheetData>
  <mergeCells count="50">
    <mergeCell ref="A10:B10"/>
    <mergeCell ref="C10:D10"/>
    <mergeCell ref="A11:B11"/>
    <mergeCell ref="C11:D11"/>
    <mergeCell ref="A13:D13"/>
    <mergeCell ref="A27:D27"/>
    <mergeCell ref="A1:D1"/>
    <mergeCell ref="A2:D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A25:B25"/>
    <mergeCell ref="A32:B32"/>
    <mergeCell ref="A43:B43"/>
    <mergeCell ref="C58:D58"/>
    <mergeCell ref="C59:D59"/>
    <mergeCell ref="A105:D105"/>
    <mergeCell ref="A55:B55"/>
    <mergeCell ref="A57:D57"/>
    <mergeCell ref="C60:D60"/>
    <mergeCell ref="A61:B61"/>
    <mergeCell ref="C61:D61"/>
    <mergeCell ref="A63:D63"/>
    <mergeCell ref="A71:B71"/>
    <mergeCell ref="A73:D73"/>
    <mergeCell ref="A80:B80"/>
    <mergeCell ref="C95:D95"/>
    <mergeCell ref="C94:D94"/>
    <mergeCell ref="A101:D101"/>
    <mergeCell ref="A103:D103"/>
    <mergeCell ref="C96:D96"/>
    <mergeCell ref="C97:D97"/>
    <mergeCell ref="A82:D82"/>
    <mergeCell ref="C83:D83"/>
    <mergeCell ref="C84:D84"/>
    <mergeCell ref="A86:D86"/>
    <mergeCell ref="A91:B91"/>
    <mergeCell ref="A93:D93"/>
    <mergeCell ref="C98:D98"/>
    <mergeCell ref="A99:B99"/>
    <mergeCell ref="C99:D99"/>
  </mergeCells>
  <phoneticPr fontId="14" type="noConversion"/>
  <pageMargins left="0.7" right="0.7" top="0.75" bottom="0.75" header="0.3" footer="0.3"/>
  <pageSetup paperSize="9" orientation="portrait" r:id="rId1"/>
  <rowBreaks count="2" manualBreakCount="2">
    <brk id="43" max="16383" man="1"/>
    <brk id="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D114"/>
  <sheetViews>
    <sheetView showGridLines="0" zoomScaleNormal="100" workbookViewId="0">
      <selection activeCell="C8" sqref="C8:D8"/>
    </sheetView>
  </sheetViews>
  <sheetFormatPr defaultColWidth="8.75" defaultRowHeight="15"/>
  <cols>
    <col min="1" max="1" width="5.75" style="23" customWidth="1"/>
    <col min="2" max="2" width="46.75" style="23" customWidth="1"/>
    <col min="3" max="3" width="11" style="22" bestFit="1" customWidth="1"/>
    <col min="4" max="4" width="15.5" style="23" bestFit="1" customWidth="1"/>
    <col min="5" max="247" width="8.75" style="23"/>
    <col min="248" max="248" width="5.75" style="23" customWidth="1"/>
    <col min="249" max="249" width="82.5" style="23" customWidth="1"/>
    <col min="250" max="250" width="13.5" style="23" customWidth="1"/>
    <col min="251" max="251" width="24" style="23" customWidth="1"/>
    <col min="252" max="252" width="10.25" style="23" customWidth="1"/>
    <col min="253" max="254" width="0" style="23" hidden="1" customWidth="1"/>
    <col min="255" max="503" width="8.75" style="23"/>
    <col min="504" max="504" width="5.75" style="23" customWidth="1"/>
    <col min="505" max="505" width="82.5" style="23" customWidth="1"/>
    <col min="506" max="506" width="13.5" style="23" customWidth="1"/>
    <col min="507" max="507" width="24" style="23" customWidth="1"/>
    <col min="508" max="508" width="10.25" style="23" customWidth="1"/>
    <col min="509" max="510" width="0" style="23" hidden="1" customWidth="1"/>
    <col min="511" max="759" width="8.75" style="23"/>
    <col min="760" max="760" width="5.75" style="23" customWidth="1"/>
    <col min="761" max="761" width="82.5" style="23" customWidth="1"/>
    <col min="762" max="762" width="13.5" style="23" customWidth="1"/>
    <col min="763" max="763" width="24" style="23" customWidth="1"/>
    <col min="764" max="764" width="10.25" style="23" customWidth="1"/>
    <col min="765" max="766" width="0" style="23" hidden="1" customWidth="1"/>
    <col min="767" max="1015" width="8.75" style="23"/>
    <col min="1016" max="1016" width="5.75" style="23" customWidth="1"/>
    <col min="1017" max="1017" width="82.5" style="23" customWidth="1"/>
    <col min="1018" max="1018" width="13.5" style="23" customWidth="1"/>
    <col min="1019" max="1019" width="24" style="23" customWidth="1"/>
    <col min="1020" max="1020" width="10.25" style="23" customWidth="1"/>
    <col min="1021" max="1022" width="0" style="23" hidden="1" customWidth="1"/>
    <col min="1023" max="1271" width="8.75" style="23"/>
    <col min="1272" max="1272" width="5.75" style="23" customWidth="1"/>
    <col min="1273" max="1273" width="82.5" style="23" customWidth="1"/>
    <col min="1274" max="1274" width="13.5" style="23" customWidth="1"/>
    <col min="1275" max="1275" width="24" style="23" customWidth="1"/>
    <col min="1276" max="1276" width="10.25" style="23" customWidth="1"/>
    <col min="1277" max="1278" width="0" style="23" hidden="1" customWidth="1"/>
    <col min="1279" max="1527" width="8.75" style="23"/>
    <col min="1528" max="1528" width="5.75" style="23" customWidth="1"/>
    <col min="1529" max="1529" width="82.5" style="23" customWidth="1"/>
    <col min="1530" max="1530" width="13.5" style="23" customWidth="1"/>
    <col min="1531" max="1531" width="24" style="23" customWidth="1"/>
    <col min="1532" max="1532" width="10.25" style="23" customWidth="1"/>
    <col min="1533" max="1534" width="0" style="23" hidden="1" customWidth="1"/>
    <col min="1535" max="1783" width="8.75" style="23"/>
    <col min="1784" max="1784" width="5.75" style="23" customWidth="1"/>
    <col min="1785" max="1785" width="82.5" style="23" customWidth="1"/>
    <col min="1786" max="1786" width="13.5" style="23" customWidth="1"/>
    <col min="1787" max="1787" width="24" style="23" customWidth="1"/>
    <col min="1788" max="1788" width="10.25" style="23" customWidth="1"/>
    <col min="1789" max="1790" width="0" style="23" hidden="1" customWidth="1"/>
    <col min="1791" max="2039" width="8.75" style="23"/>
    <col min="2040" max="2040" width="5.75" style="23" customWidth="1"/>
    <col min="2041" max="2041" width="82.5" style="23" customWidth="1"/>
    <col min="2042" max="2042" width="13.5" style="23" customWidth="1"/>
    <col min="2043" max="2043" width="24" style="23" customWidth="1"/>
    <col min="2044" max="2044" width="10.25" style="23" customWidth="1"/>
    <col min="2045" max="2046" width="0" style="23" hidden="1" customWidth="1"/>
    <col min="2047" max="2295" width="8.75" style="23"/>
    <col min="2296" max="2296" width="5.75" style="23" customWidth="1"/>
    <col min="2297" max="2297" width="82.5" style="23" customWidth="1"/>
    <col min="2298" max="2298" width="13.5" style="23" customWidth="1"/>
    <col min="2299" max="2299" width="24" style="23" customWidth="1"/>
    <col min="2300" max="2300" width="10.25" style="23" customWidth="1"/>
    <col min="2301" max="2302" width="0" style="23" hidden="1" customWidth="1"/>
    <col min="2303" max="2551" width="8.75" style="23"/>
    <col min="2552" max="2552" width="5.75" style="23" customWidth="1"/>
    <col min="2553" max="2553" width="82.5" style="23" customWidth="1"/>
    <col min="2554" max="2554" width="13.5" style="23" customWidth="1"/>
    <col min="2555" max="2555" width="24" style="23" customWidth="1"/>
    <col min="2556" max="2556" width="10.25" style="23" customWidth="1"/>
    <col min="2557" max="2558" width="0" style="23" hidden="1" customWidth="1"/>
    <col min="2559" max="2807" width="8.75" style="23"/>
    <col min="2808" max="2808" width="5.75" style="23" customWidth="1"/>
    <col min="2809" max="2809" width="82.5" style="23" customWidth="1"/>
    <col min="2810" max="2810" width="13.5" style="23" customWidth="1"/>
    <col min="2811" max="2811" width="24" style="23" customWidth="1"/>
    <col min="2812" max="2812" width="10.25" style="23" customWidth="1"/>
    <col min="2813" max="2814" width="0" style="23" hidden="1" customWidth="1"/>
    <col min="2815" max="3063" width="8.75" style="23"/>
    <col min="3064" max="3064" width="5.75" style="23" customWidth="1"/>
    <col min="3065" max="3065" width="82.5" style="23" customWidth="1"/>
    <col min="3066" max="3066" width="13.5" style="23" customWidth="1"/>
    <col min="3067" max="3067" width="24" style="23" customWidth="1"/>
    <col min="3068" max="3068" width="10.25" style="23" customWidth="1"/>
    <col min="3069" max="3070" width="0" style="23" hidden="1" customWidth="1"/>
    <col min="3071" max="3319" width="8.75" style="23"/>
    <col min="3320" max="3320" width="5.75" style="23" customWidth="1"/>
    <col min="3321" max="3321" width="82.5" style="23" customWidth="1"/>
    <col min="3322" max="3322" width="13.5" style="23" customWidth="1"/>
    <col min="3323" max="3323" width="24" style="23" customWidth="1"/>
    <col min="3324" max="3324" width="10.25" style="23" customWidth="1"/>
    <col min="3325" max="3326" width="0" style="23" hidden="1" customWidth="1"/>
    <col min="3327" max="3575" width="8.75" style="23"/>
    <col min="3576" max="3576" width="5.75" style="23" customWidth="1"/>
    <col min="3577" max="3577" width="82.5" style="23" customWidth="1"/>
    <col min="3578" max="3578" width="13.5" style="23" customWidth="1"/>
    <col min="3579" max="3579" width="24" style="23" customWidth="1"/>
    <col min="3580" max="3580" width="10.25" style="23" customWidth="1"/>
    <col min="3581" max="3582" width="0" style="23" hidden="1" customWidth="1"/>
    <col min="3583" max="3831" width="8.75" style="23"/>
    <col min="3832" max="3832" width="5.75" style="23" customWidth="1"/>
    <col min="3833" max="3833" width="82.5" style="23" customWidth="1"/>
    <col min="3834" max="3834" width="13.5" style="23" customWidth="1"/>
    <col min="3835" max="3835" width="24" style="23" customWidth="1"/>
    <col min="3836" max="3836" width="10.25" style="23" customWidth="1"/>
    <col min="3837" max="3838" width="0" style="23" hidden="1" customWidth="1"/>
    <col min="3839" max="4087" width="8.75" style="23"/>
    <col min="4088" max="4088" width="5.75" style="23" customWidth="1"/>
    <col min="4089" max="4089" width="82.5" style="23" customWidth="1"/>
    <col min="4090" max="4090" width="13.5" style="23" customWidth="1"/>
    <col min="4091" max="4091" width="24" style="23" customWidth="1"/>
    <col min="4092" max="4092" width="10.25" style="23" customWidth="1"/>
    <col min="4093" max="4094" width="0" style="23" hidden="1" customWidth="1"/>
    <col min="4095" max="4343" width="8.75" style="23"/>
    <col min="4344" max="4344" width="5.75" style="23" customWidth="1"/>
    <col min="4345" max="4345" width="82.5" style="23" customWidth="1"/>
    <col min="4346" max="4346" width="13.5" style="23" customWidth="1"/>
    <col min="4347" max="4347" width="24" style="23" customWidth="1"/>
    <col min="4348" max="4348" width="10.25" style="23" customWidth="1"/>
    <col min="4349" max="4350" width="0" style="23" hidden="1" customWidth="1"/>
    <col min="4351" max="4599" width="8.75" style="23"/>
    <col min="4600" max="4600" width="5.75" style="23" customWidth="1"/>
    <col min="4601" max="4601" width="82.5" style="23" customWidth="1"/>
    <col min="4602" max="4602" width="13.5" style="23" customWidth="1"/>
    <col min="4603" max="4603" width="24" style="23" customWidth="1"/>
    <col min="4604" max="4604" width="10.25" style="23" customWidth="1"/>
    <col min="4605" max="4606" width="0" style="23" hidden="1" customWidth="1"/>
    <col min="4607" max="4855" width="8.75" style="23"/>
    <col min="4856" max="4856" width="5.75" style="23" customWidth="1"/>
    <col min="4857" max="4857" width="82.5" style="23" customWidth="1"/>
    <col min="4858" max="4858" width="13.5" style="23" customWidth="1"/>
    <col min="4859" max="4859" width="24" style="23" customWidth="1"/>
    <col min="4860" max="4860" width="10.25" style="23" customWidth="1"/>
    <col min="4861" max="4862" width="0" style="23" hidden="1" customWidth="1"/>
    <col min="4863" max="5111" width="8.75" style="23"/>
    <col min="5112" max="5112" width="5.75" style="23" customWidth="1"/>
    <col min="5113" max="5113" width="82.5" style="23" customWidth="1"/>
    <col min="5114" max="5114" width="13.5" style="23" customWidth="1"/>
    <col min="5115" max="5115" width="24" style="23" customWidth="1"/>
    <col min="5116" max="5116" width="10.25" style="23" customWidth="1"/>
    <col min="5117" max="5118" width="0" style="23" hidden="1" customWidth="1"/>
    <col min="5119" max="5367" width="8.75" style="23"/>
    <col min="5368" max="5368" width="5.75" style="23" customWidth="1"/>
    <col min="5369" max="5369" width="82.5" style="23" customWidth="1"/>
    <col min="5370" max="5370" width="13.5" style="23" customWidth="1"/>
    <col min="5371" max="5371" width="24" style="23" customWidth="1"/>
    <col min="5372" max="5372" width="10.25" style="23" customWidth="1"/>
    <col min="5373" max="5374" width="0" style="23" hidden="1" customWidth="1"/>
    <col min="5375" max="5623" width="8.75" style="23"/>
    <col min="5624" max="5624" width="5.75" style="23" customWidth="1"/>
    <col min="5625" max="5625" width="82.5" style="23" customWidth="1"/>
    <col min="5626" max="5626" width="13.5" style="23" customWidth="1"/>
    <col min="5627" max="5627" width="24" style="23" customWidth="1"/>
    <col min="5628" max="5628" width="10.25" style="23" customWidth="1"/>
    <col min="5629" max="5630" width="0" style="23" hidden="1" customWidth="1"/>
    <col min="5631" max="5879" width="8.75" style="23"/>
    <col min="5880" max="5880" width="5.75" style="23" customWidth="1"/>
    <col min="5881" max="5881" width="82.5" style="23" customWidth="1"/>
    <col min="5882" max="5882" width="13.5" style="23" customWidth="1"/>
    <col min="5883" max="5883" width="24" style="23" customWidth="1"/>
    <col min="5884" max="5884" width="10.25" style="23" customWidth="1"/>
    <col min="5885" max="5886" width="0" style="23" hidden="1" customWidth="1"/>
    <col min="5887" max="6135" width="8.75" style="23"/>
    <col min="6136" max="6136" width="5.75" style="23" customWidth="1"/>
    <col min="6137" max="6137" width="82.5" style="23" customWidth="1"/>
    <col min="6138" max="6138" width="13.5" style="23" customWidth="1"/>
    <col min="6139" max="6139" width="24" style="23" customWidth="1"/>
    <col min="6140" max="6140" width="10.25" style="23" customWidth="1"/>
    <col min="6141" max="6142" width="0" style="23" hidden="1" customWidth="1"/>
    <col min="6143" max="6391" width="8.75" style="23"/>
    <col min="6392" max="6392" width="5.75" style="23" customWidth="1"/>
    <col min="6393" max="6393" width="82.5" style="23" customWidth="1"/>
    <col min="6394" max="6394" width="13.5" style="23" customWidth="1"/>
    <col min="6395" max="6395" width="24" style="23" customWidth="1"/>
    <col min="6396" max="6396" width="10.25" style="23" customWidth="1"/>
    <col min="6397" max="6398" width="0" style="23" hidden="1" customWidth="1"/>
    <col min="6399" max="6647" width="8.75" style="23"/>
    <col min="6648" max="6648" width="5.75" style="23" customWidth="1"/>
    <col min="6649" max="6649" width="82.5" style="23" customWidth="1"/>
    <col min="6650" max="6650" width="13.5" style="23" customWidth="1"/>
    <col min="6651" max="6651" width="24" style="23" customWidth="1"/>
    <col min="6652" max="6652" width="10.25" style="23" customWidth="1"/>
    <col min="6653" max="6654" width="0" style="23" hidden="1" customWidth="1"/>
    <col min="6655" max="6903" width="8.75" style="23"/>
    <col min="6904" max="6904" width="5.75" style="23" customWidth="1"/>
    <col min="6905" max="6905" width="82.5" style="23" customWidth="1"/>
    <col min="6906" max="6906" width="13.5" style="23" customWidth="1"/>
    <col min="6907" max="6907" width="24" style="23" customWidth="1"/>
    <col min="6908" max="6908" width="10.25" style="23" customWidth="1"/>
    <col min="6909" max="6910" width="0" style="23" hidden="1" customWidth="1"/>
    <col min="6911" max="7159" width="8.75" style="23"/>
    <col min="7160" max="7160" width="5.75" style="23" customWidth="1"/>
    <col min="7161" max="7161" width="82.5" style="23" customWidth="1"/>
    <col min="7162" max="7162" width="13.5" style="23" customWidth="1"/>
    <col min="7163" max="7163" width="24" style="23" customWidth="1"/>
    <col min="7164" max="7164" width="10.25" style="23" customWidth="1"/>
    <col min="7165" max="7166" width="0" style="23" hidden="1" customWidth="1"/>
    <col min="7167" max="7415" width="8.75" style="23"/>
    <col min="7416" max="7416" width="5.75" style="23" customWidth="1"/>
    <col min="7417" max="7417" width="82.5" style="23" customWidth="1"/>
    <col min="7418" max="7418" width="13.5" style="23" customWidth="1"/>
    <col min="7419" max="7419" width="24" style="23" customWidth="1"/>
    <col min="7420" max="7420" width="10.25" style="23" customWidth="1"/>
    <col min="7421" max="7422" width="0" style="23" hidden="1" customWidth="1"/>
    <col min="7423" max="7671" width="8.75" style="23"/>
    <col min="7672" max="7672" width="5.75" style="23" customWidth="1"/>
    <col min="7673" max="7673" width="82.5" style="23" customWidth="1"/>
    <col min="7674" max="7674" width="13.5" style="23" customWidth="1"/>
    <col min="7675" max="7675" width="24" style="23" customWidth="1"/>
    <col min="7676" max="7676" width="10.25" style="23" customWidth="1"/>
    <col min="7677" max="7678" width="0" style="23" hidden="1" customWidth="1"/>
    <col min="7679" max="7927" width="8.75" style="23"/>
    <col min="7928" max="7928" width="5.75" style="23" customWidth="1"/>
    <col min="7929" max="7929" width="82.5" style="23" customWidth="1"/>
    <col min="7930" max="7930" width="13.5" style="23" customWidth="1"/>
    <col min="7931" max="7931" width="24" style="23" customWidth="1"/>
    <col min="7932" max="7932" width="10.25" style="23" customWidth="1"/>
    <col min="7933" max="7934" width="0" style="23" hidden="1" customWidth="1"/>
    <col min="7935" max="8183" width="8.75" style="23"/>
    <col min="8184" max="8184" width="5.75" style="23" customWidth="1"/>
    <col min="8185" max="8185" width="82.5" style="23" customWidth="1"/>
    <col min="8186" max="8186" width="13.5" style="23" customWidth="1"/>
    <col min="8187" max="8187" width="24" style="23" customWidth="1"/>
    <col min="8188" max="8188" width="10.25" style="23" customWidth="1"/>
    <col min="8189" max="8190" width="0" style="23" hidden="1" customWidth="1"/>
    <col min="8191" max="8439" width="8.75" style="23"/>
    <col min="8440" max="8440" width="5.75" style="23" customWidth="1"/>
    <col min="8441" max="8441" width="82.5" style="23" customWidth="1"/>
    <col min="8442" max="8442" width="13.5" style="23" customWidth="1"/>
    <col min="8443" max="8443" width="24" style="23" customWidth="1"/>
    <col min="8444" max="8444" width="10.25" style="23" customWidth="1"/>
    <col min="8445" max="8446" width="0" style="23" hidden="1" customWidth="1"/>
    <col min="8447" max="8695" width="8.75" style="23"/>
    <col min="8696" max="8696" width="5.75" style="23" customWidth="1"/>
    <col min="8697" max="8697" width="82.5" style="23" customWidth="1"/>
    <col min="8698" max="8698" width="13.5" style="23" customWidth="1"/>
    <col min="8699" max="8699" width="24" style="23" customWidth="1"/>
    <col min="8700" max="8700" width="10.25" style="23" customWidth="1"/>
    <col min="8701" max="8702" width="0" style="23" hidden="1" customWidth="1"/>
    <col min="8703" max="8951" width="8.75" style="23"/>
    <col min="8952" max="8952" width="5.75" style="23" customWidth="1"/>
    <col min="8953" max="8953" width="82.5" style="23" customWidth="1"/>
    <col min="8954" max="8954" width="13.5" style="23" customWidth="1"/>
    <col min="8955" max="8955" width="24" style="23" customWidth="1"/>
    <col min="8956" max="8956" width="10.25" style="23" customWidth="1"/>
    <col min="8957" max="8958" width="0" style="23" hidden="1" customWidth="1"/>
    <col min="8959" max="9207" width="8.75" style="23"/>
    <col min="9208" max="9208" width="5.75" style="23" customWidth="1"/>
    <col min="9209" max="9209" width="82.5" style="23" customWidth="1"/>
    <col min="9210" max="9210" width="13.5" style="23" customWidth="1"/>
    <col min="9211" max="9211" width="24" style="23" customWidth="1"/>
    <col min="9212" max="9212" width="10.25" style="23" customWidth="1"/>
    <col min="9213" max="9214" width="0" style="23" hidden="1" customWidth="1"/>
    <col min="9215" max="9463" width="8.75" style="23"/>
    <col min="9464" max="9464" width="5.75" style="23" customWidth="1"/>
    <col min="9465" max="9465" width="82.5" style="23" customWidth="1"/>
    <col min="9466" max="9466" width="13.5" style="23" customWidth="1"/>
    <col min="9467" max="9467" width="24" style="23" customWidth="1"/>
    <col min="9468" max="9468" width="10.25" style="23" customWidth="1"/>
    <col min="9469" max="9470" width="0" style="23" hidden="1" customWidth="1"/>
    <col min="9471" max="9719" width="8.75" style="23"/>
    <col min="9720" max="9720" width="5.75" style="23" customWidth="1"/>
    <col min="9721" max="9721" width="82.5" style="23" customWidth="1"/>
    <col min="9722" max="9722" width="13.5" style="23" customWidth="1"/>
    <col min="9723" max="9723" width="24" style="23" customWidth="1"/>
    <col min="9724" max="9724" width="10.25" style="23" customWidth="1"/>
    <col min="9725" max="9726" width="0" style="23" hidden="1" customWidth="1"/>
    <col min="9727" max="9975" width="8.75" style="23"/>
    <col min="9976" max="9976" width="5.75" style="23" customWidth="1"/>
    <col min="9977" max="9977" width="82.5" style="23" customWidth="1"/>
    <col min="9978" max="9978" width="13.5" style="23" customWidth="1"/>
    <col min="9979" max="9979" width="24" style="23" customWidth="1"/>
    <col min="9980" max="9980" width="10.25" style="23" customWidth="1"/>
    <col min="9981" max="9982" width="0" style="23" hidden="1" customWidth="1"/>
    <col min="9983" max="10231" width="8.75" style="23"/>
    <col min="10232" max="10232" width="5.75" style="23" customWidth="1"/>
    <col min="10233" max="10233" width="82.5" style="23" customWidth="1"/>
    <col min="10234" max="10234" width="13.5" style="23" customWidth="1"/>
    <col min="10235" max="10235" width="24" style="23" customWidth="1"/>
    <col min="10236" max="10236" width="10.25" style="23" customWidth="1"/>
    <col min="10237" max="10238" width="0" style="23" hidden="1" customWidth="1"/>
    <col min="10239" max="10487" width="8.75" style="23"/>
    <col min="10488" max="10488" width="5.75" style="23" customWidth="1"/>
    <col min="10489" max="10489" width="82.5" style="23" customWidth="1"/>
    <col min="10490" max="10490" width="13.5" style="23" customWidth="1"/>
    <col min="10491" max="10491" width="24" style="23" customWidth="1"/>
    <col min="10492" max="10492" width="10.25" style="23" customWidth="1"/>
    <col min="10493" max="10494" width="0" style="23" hidden="1" customWidth="1"/>
    <col min="10495" max="10743" width="8.75" style="23"/>
    <col min="10744" max="10744" width="5.75" style="23" customWidth="1"/>
    <col min="10745" max="10745" width="82.5" style="23" customWidth="1"/>
    <col min="10746" max="10746" width="13.5" style="23" customWidth="1"/>
    <col min="10747" max="10747" width="24" style="23" customWidth="1"/>
    <col min="10748" max="10748" width="10.25" style="23" customWidth="1"/>
    <col min="10749" max="10750" width="0" style="23" hidden="1" customWidth="1"/>
    <col min="10751" max="10999" width="8.75" style="23"/>
    <col min="11000" max="11000" width="5.75" style="23" customWidth="1"/>
    <col min="11001" max="11001" width="82.5" style="23" customWidth="1"/>
    <col min="11002" max="11002" width="13.5" style="23" customWidth="1"/>
    <col min="11003" max="11003" width="24" style="23" customWidth="1"/>
    <col min="11004" max="11004" width="10.25" style="23" customWidth="1"/>
    <col min="11005" max="11006" width="0" style="23" hidden="1" customWidth="1"/>
    <col min="11007" max="11255" width="8.75" style="23"/>
    <col min="11256" max="11256" width="5.75" style="23" customWidth="1"/>
    <col min="11257" max="11257" width="82.5" style="23" customWidth="1"/>
    <col min="11258" max="11258" width="13.5" style="23" customWidth="1"/>
    <col min="11259" max="11259" width="24" style="23" customWidth="1"/>
    <col min="11260" max="11260" width="10.25" style="23" customWidth="1"/>
    <col min="11261" max="11262" width="0" style="23" hidden="1" customWidth="1"/>
    <col min="11263" max="11511" width="8.75" style="23"/>
    <col min="11512" max="11512" width="5.75" style="23" customWidth="1"/>
    <col min="11513" max="11513" width="82.5" style="23" customWidth="1"/>
    <col min="11514" max="11514" width="13.5" style="23" customWidth="1"/>
    <col min="11515" max="11515" width="24" style="23" customWidth="1"/>
    <col min="11516" max="11516" width="10.25" style="23" customWidth="1"/>
    <col min="11517" max="11518" width="0" style="23" hidden="1" customWidth="1"/>
    <col min="11519" max="11767" width="8.75" style="23"/>
    <col min="11768" max="11768" width="5.75" style="23" customWidth="1"/>
    <col min="11769" max="11769" width="82.5" style="23" customWidth="1"/>
    <col min="11770" max="11770" width="13.5" style="23" customWidth="1"/>
    <col min="11771" max="11771" width="24" style="23" customWidth="1"/>
    <col min="11772" max="11772" width="10.25" style="23" customWidth="1"/>
    <col min="11773" max="11774" width="0" style="23" hidden="1" customWidth="1"/>
    <col min="11775" max="12023" width="8.75" style="23"/>
    <col min="12024" max="12024" width="5.75" style="23" customWidth="1"/>
    <col min="12025" max="12025" width="82.5" style="23" customWidth="1"/>
    <col min="12026" max="12026" width="13.5" style="23" customWidth="1"/>
    <col min="12027" max="12027" width="24" style="23" customWidth="1"/>
    <col min="12028" max="12028" width="10.25" style="23" customWidth="1"/>
    <col min="12029" max="12030" width="0" style="23" hidden="1" customWidth="1"/>
    <col min="12031" max="12279" width="8.75" style="23"/>
    <col min="12280" max="12280" width="5.75" style="23" customWidth="1"/>
    <col min="12281" max="12281" width="82.5" style="23" customWidth="1"/>
    <col min="12282" max="12282" width="13.5" style="23" customWidth="1"/>
    <col min="12283" max="12283" width="24" style="23" customWidth="1"/>
    <col min="12284" max="12284" width="10.25" style="23" customWidth="1"/>
    <col min="12285" max="12286" width="0" style="23" hidden="1" customWidth="1"/>
    <col min="12287" max="12535" width="8.75" style="23"/>
    <col min="12536" max="12536" width="5.75" style="23" customWidth="1"/>
    <col min="12537" max="12537" width="82.5" style="23" customWidth="1"/>
    <col min="12538" max="12538" width="13.5" style="23" customWidth="1"/>
    <col min="12539" max="12539" width="24" style="23" customWidth="1"/>
    <col min="12540" max="12540" width="10.25" style="23" customWidth="1"/>
    <col min="12541" max="12542" width="0" style="23" hidden="1" customWidth="1"/>
    <col min="12543" max="12791" width="8.75" style="23"/>
    <col min="12792" max="12792" width="5.75" style="23" customWidth="1"/>
    <col min="12793" max="12793" width="82.5" style="23" customWidth="1"/>
    <col min="12794" max="12794" width="13.5" style="23" customWidth="1"/>
    <col min="12795" max="12795" width="24" style="23" customWidth="1"/>
    <col min="12796" max="12796" width="10.25" style="23" customWidth="1"/>
    <col min="12797" max="12798" width="0" style="23" hidden="1" customWidth="1"/>
    <col min="12799" max="13047" width="8.75" style="23"/>
    <col min="13048" max="13048" width="5.75" style="23" customWidth="1"/>
    <col min="13049" max="13049" width="82.5" style="23" customWidth="1"/>
    <col min="13050" max="13050" width="13.5" style="23" customWidth="1"/>
    <col min="13051" max="13051" width="24" style="23" customWidth="1"/>
    <col min="13052" max="13052" width="10.25" style="23" customWidth="1"/>
    <col min="13053" max="13054" width="0" style="23" hidden="1" customWidth="1"/>
    <col min="13055" max="13303" width="8.75" style="23"/>
    <col min="13304" max="13304" width="5.75" style="23" customWidth="1"/>
    <col min="13305" max="13305" width="82.5" style="23" customWidth="1"/>
    <col min="13306" max="13306" width="13.5" style="23" customWidth="1"/>
    <col min="13307" max="13307" width="24" style="23" customWidth="1"/>
    <col min="13308" max="13308" width="10.25" style="23" customWidth="1"/>
    <col min="13309" max="13310" width="0" style="23" hidden="1" customWidth="1"/>
    <col min="13311" max="13559" width="8.75" style="23"/>
    <col min="13560" max="13560" width="5.75" style="23" customWidth="1"/>
    <col min="13561" max="13561" width="82.5" style="23" customWidth="1"/>
    <col min="13562" max="13562" width="13.5" style="23" customWidth="1"/>
    <col min="13563" max="13563" width="24" style="23" customWidth="1"/>
    <col min="13564" max="13564" width="10.25" style="23" customWidth="1"/>
    <col min="13565" max="13566" width="0" style="23" hidden="1" customWidth="1"/>
    <col min="13567" max="13815" width="8.75" style="23"/>
    <col min="13816" max="13816" width="5.75" style="23" customWidth="1"/>
    <col min="13817" max="13817" width="82.5" style="23" customWidth="1"/>
    <col min="13818" max="13818" width="13.5" style="23" customWidth="1"/>
    <col min="13819" max="13819" width="24" style="23" customWidth="1"/>
    <col min="13820" max="13820" width="10.25" style="23" customWidth="1"/>
    <col min="13821" max="13822" width="0" style="23" hidden="1" customWidth="1"/>
    <col min="13823" max="14071" width="8.75" style="23"/>
    <col min="14072" max="14072" width="5.75" style="23" customWidth="1"/>
    <col min="14073" max="14073" width="82.5" style="23" customWidth="1"/>
    <col min="14074" max="14074" width="13.5" style="23" customWidth="1"/>
    <col min="14075" max="14075" width="24" style="23" customWidth="1"/>
    <col min="14076" max="14076" width="10.25" style="23" customWidth="1"/>
    <col min="14077" max="14078" width="0" style="23" hidden="1" customWidth="1"/>
    <col min="14079" max="14327" width="8.75" style="23"/>
    <col min="14328" max="14328" width="5.75" style="23" customWidth="1"/>
    <col min="14329" max="14329" width="82.5" style="23" customWidth="1"/>
    <col min="14330" max="14330" width="13.5" style="23" customWidth="1"/>
    <col min="14331" max="14331" width="24" style="23" customWidth="1"/>
    <col min="14332" max="14332" width="10.25" style="23" customWidth="1"/>
    <col min="14333" max="14334" width="0" style="23" hidden="1" customWidth="1"/>
    <col min="14335" max="14583" width="8.75" style="23"/>
    <col min="14584" max="14584" width="5.75" style="23" customWidth="1"/>
    <col min="14585" max="14585" width="82.5" style="23" customWidth="1"/>
    <col min="14586" max="14586" width="13.5" style="23" customWidth="1"/>
    <col min="14587" max="14587" width="24" style="23" customWidth="1"/>
    <col min="14588" max="14588" width="10.25" style="23" customWidth="1"/>
    <col min="14589" max="14590" width="0" style="23" hidden="1" customWidth="1"/>
    <col min="14591" max="14839" width="8.75" style="23"/>
    <col min="14840" max="14840" width="5.75" style="23" customWidth="1"/>
    <col min="14841" max="14841" width="82.5" style="23" customWidth="1"/>
    <col min="14842" max="14842" width="13.5" style="23" customWidth="1"/>
    <col min="14843" max="14843" width="24" style="23" customWidth="1"/>
    <col min="14844" max="14844" width="10.25" style="23" customWidth="1"/>
    <col min="14845" max="14846" width="0" style="23" hidden="1" customWidth="1"/>
    <col min="14847" max="15095" width="8.75" style="23"/>
    <col min="15096" max="15096" width="5.75" style="23" customWidth="1"/>
    <col min="15097" max="15097" width="82.5" style="23" customWidth="1"/>
    <col min="15098" max="15098" width="13.5" style="23" customWidth="1"/>
    <col min="15099" max="15099" width="24" style="23" customWidth="1"/>
    <col min="15100" max="15100" width="10.25" style="23" customWidth="1"/>
    <col min="15101" max="15102" width="0" style="23" hidden="1" customWidth="1"/>
    <col min="15103" max="15351" width="8.75" style="23"/>
    <col min="15352" max="15352" width="5.75" style="23" customWidth="1"/>
    <col min="15353" max="15353" width="82.5" style="23" customWidth="1"/>
    <col min="15354" max="15354" width="13.5" style="23" customWidth="1"/>
    <col min="15355" max="15355" width="24" style="23" customWidth="1"/>
    <col min="15356" max="15356" width="10.25" style="23" customWidth="1"/>
    <col min="15357" max="15358" width="0" style="23" hidden="1" customWidth="1"/>
    <col min="15359" max="15607" width="8.75" style="23"/>
    <col min="15608" max="15608" width="5.75" style="23" customWidth="1"/>
    <col min="15609" max="15609" width="82.5" style="23" customWidth="1"/>
    <col min="15610" max="15610" width="13.5" style="23" customWidth="1"/>
    <col min="15611" max="15611" width="24" style="23" customWidth="1"/>
    <col min="15612" max="15612" width="10.25" style="23" customWidth="1"/>
    <col min="15613" max="15614" width="0" style="23" hidden="1" customWidth="1"/>
    <col min="15615" max="15863" width="8.75" style="23"/>
    <col min="15864" max="15864" width="5.75" style="23" customWidth="1"/>
    <col min="15865" max="15865" width="82.5" style="23" customWidth="1"/>
    <col min="15866" max="15866" width="13.5" style="23" customWidth="1"/>
    <col min="15867" max="15867" width="24" style="23" customWidth="1"/>
    <col min="15868" max="15868" width="10.25" style="23" customWidth="1"/>
    <col min="15869" max="15870" width="0" style="23" hidden="1" customWidth="1"/>
    <col min="15871" max="16119" width="8.75" style="23"/>
    <col min="16120" max="16120" width="5.75" style="23" customWidth="1"/>
    <col min="16121" max="16121" width="82.5" style="23" customWidth="1"/>
    <col min="16122" max="16122" width="13.5" style="23" customWidth="1"/>
    <col min="16123" max="16123" width="24" style="23" customWidth="1"/>
    <col min="16124" max="16124" width="10.25" style="23" customWidth="1"/>
    <col min="16125" max="16126" width="0" style="23" hidden="1" customWidth="1"/>
    <col min="16127" max="16384" width="8.75" style="23"/>
  </cols>
  <sheetData>
    <row r="1" spans="1:4" ht="15" customHeight="1" thickBot="1">
      <c r="A1" s="289" t="s">
        <v>9</v>
      </c>
      <c r="B1" s="289"/>
      <c r="C1" s="289"/>
      <c r="D1" s="289"/>
    </row>
    <row r="2" spans="1:4" s="25" customFormat="1" ht="15" customHeight="1" thickBot="1">
      <c r="A2" s="310" t="s">
        <v>12</v>
      </c>
      <c r="B2" s="311"/>
      <c r="C2" s="311"/>
      <c r="D2" s="312"/>
    </row>
    <row r="3" spans="1:4" s="25" customFormat="1" ht="15" customHeight="1">
      <c r="A3" s="337"/>
      <c r="B3" s="337"/>
      <c r="C3" s="338"/>
      <c r="D3" s="338"/>
    </row>
    <row r="4" spans="1:4" s="25" customFormat="1" ht="15" customHeight="1">
      <c r="A4" s="339" t="s">
        <v>13</v>
      </c>
      <c r="B4" s="340"/>
      <c r="C4" s="315" t="s">
        <v>490</v>
      </c>
      <c r="D4" s="315"/>
    </row>
    <row r="5" spans="1:4" s="25" customFormat="1" ht="15" customHeight="1">
      <c r="A5" s="339" t="s">
        <v>14</v>
      </c>
      <c r="B5" s="340"/>
      <c r="C5" s="318" t="s">
        <v>15</v>
      </c>
      <c r="D5" s="319"/>
    </row>
    <row r="6" spans="1:4" s="25" customFormat="1" ht="15" customHeight="1">
      <c r="A6" s="339" t="s">
        <v>16</v>
      </c>
      <c r="B6" s="340"/>
      <c r="C6" s="316" t="s">
        <v>489</v>
      </c>
      <c r="D6" s="316"/>
    </row>
    <row r="7" spans="1:4" s="25" customFormat="1" ht="15" customHeight="1">
      <c r="A7" s="341" t="s">
        <v>17</v>
      </c>
      <c r="B7" s="342"/>
      <c r="C7" s="316" t="s">
        <v>491</v>
      </c>
      <c r="D7" s="316"/>
    </row>
    <row r="8" spans="1:4" s="25" customFormat="1" ht="15" customHeight="1">
      <c r="A8" s="339" t="s">
        <v>18</v>
      </c>
      <c r="B8" s="340"/>
      <c r="C8" s="318">
        <v>12</v>
      </c>
      <c r="D8" s="319"/>
    </row>
    <row r="9" spans="1:4" s="25" customFormat="1" ht="15" customHeight="1">
      <c r="A9" s="39"/>
      <c r="B9" s="39"/>
      <c r="C9" s="6"/>
      <c r="D9" s="6"/>
    </row>
    <row r="10" spans="1:4" s="25" customFormat="1" ht="15" customHeight="1">
      <c r="A10" s="343" t="s">
        <v>19</v>
      </c>
      <c r="B10" s="344"/>
      <c r="C10" s="343" t="s">
        <v>84</v>
      </c>
      <c r="D10" s="344"/>
    </row>
    <row r="11" spans="1:4" s="25" customFormat="1" ht="28.15" customHeight="1">
      <c r="A11" s="327" t="s">
        <v>389</v>
      </c>
      <c r="B11" s="329"/>
      <c r="C11" s="345" t="s">
        <v>115</v>
      </c>
      <c r="D11" s="346"/>
    </row>
    <row r="12" spans="1:4" s="25" customFormat="1" ht="15" customHeight="1">
      <c r="A12" s="4"/>
      <c r="B12" s="4"/>
      <c r="C12" s="5"/>
      <c r="D12" s="6"/>
    </row>
    <row r="13" spans="1:4" s="25" customFormat="1" ht="15" customHeight="1">
      <c r="A13" s="327" t="s">
        <v>86</v>
      </c>
      <c r="B13" s="328"/>
      <c r="C13" s="328"/>
      <c r="D13" s="329"/>
    </row>
    <row r="14" spans="1:4" ht="15" customHeight="1">
      <c r="A14" s="76">
        <v>1</v>
      </c>
      <c r="B14" s="77" t="s">
        <v>20</v>
      </c>
      <c r="C14" s="76"/>
      <c r="D14" s="78" t="s">
        <v>21</v>
      </c>
    </row>
    <row r="15" spans="1:4" ht="15" customHeight="1">
      <c r="A15" s="79" t="s">
        <v>128</v>
      </c>
      <c r="B15" s="66" t="s">
        <v>22</v>
      </c>
      <c r="C15" s="80"/>
      <c r="D15" s="81">
        <v>2404</v>
      </c>
    </row>
    <row r="16" spans="1:4" ht="15" customHeight="1">
      <c r="A16" s="79" t="s">
        <v>130</v>
      </c>
      <c r="B16" s="66" t="s">
        <v>23</v>
      </c>
      <c r="C16" s="80"/>
      <c r="D16" s="81">
        <v>0</v>
      </c>
    </row>
    <row r="17" spans="1:4" ht="15" customHeight="1">
      <c r="A17" s="79" t="s">
        <v>192</v>
      </c>
      <c r="B17" s="66" t="s">
        <v>24</v>
      </c>
      <c r="C17" s="80"/>
      <c r="D17" s="81"/>
    </row>
    <row r="18" spans="1:4" ht="15" customHeight="1">
      <c r="A18" s="79" t="s">
        <v>193</v>
      </c>
      <c r="B18" s="66" t="s">
        <v>354</v>
      </c>
      <c r="C18" s="80"/>
      <c r="D18" s="81">
        <f>(D15*C18)</f>
        <v>0</v>
      </c>
    </row>
    <row r="19" spans="1:4" ht="15" customHeight="1">
      <c r="A19" s="79" t="s">
        <v>194</v>
      </c>
      <c r="B19" s="66" t="s">
        <v>195</v>
      </c>
      <c r="C19" s="137"/>
      <c r="D19" s="138">
        <f>1412*C19</f>
        <v>0</v>
      </c>
    </row>
    <row r="20" spans="1:4" ht="15" customHeight="1">
      <c r="A20" s="79" t="s">
        <v>196</v>
      </c>
      <c r="B20" s="66" t="s">
        <v>25</v>
      </c>
      <c r="C20" s="80"/>
      <c r="D20" s="81">
        <v>0</v>
      </c>
    </row>
    <row r="21" spans="1:4" ht="15" customHeight="1">
      <c r="A21" s="79" t="s">
        <v>197</v>
      </c>
      <c r="B21" s="66" t="s">
        <v>85</v>
      </c>
      <c r="C21" s="80"/>
      <c r="D21" s="81">
        <v>0</v>
      </c>
    </row>
    <row r="22" spans="1:4" ht="15" customHeight="1">
      <c r="A22" s="79" t="s">
        <v>198</v>
      </c>
      <c r="B22" s="66" t="s">
        <v>26</v>
      </c>
      <c r="C22" s="80"/>
      <c r="D22" s="81">
        <v>0</v>
      </c>
    </row>
    <row r="23" spans="1:4" ht="15" customHeight="1">
      <c r="A23" s="79" t="s">
        <v>199</v>
      </c>
      <c r="B23" s="66" t="s">
        <v>27</v>
      </c>
      <c r="C23" s="80"/>
      <c r="D23" s="81">
        <v>0</v>
      </c>
    </row>
    <row r="24" spans="1:4" ht="15" customHeight="1">
      <c r="A24" s="79" t="s">
        <v>200</v>
      </c>
      <c r="B24" s="66" t="s">
        <v>28</v>
      </c>
      <c r="C24" s="80"/>
      <c r="D24" s="81">
        <f>SUM(D15:D23)*C24</f>
        <v>0</v>
      </c>
    </row>
    <row r="25" spans="1:4" ht="15" customHeight="1">
      <c r="A25" s="330" t="s">
        <v>29</v>
      </c>
      <c r="B25" s="331"/>
      <c r="C25" s="83"/>
      <c r="D25" s="78">
        <f>SUM(D15:D24)</f>
        <v>2404</v>
      </c>
    </row>
    <row r="26" spans="1:4" ht="15" customHeight="1"/>
    <row r="27" spans="1:4" s="25" customFormat="1" ht="15" customHeight="1">
      <c r="A27" s="327" t="s">
        <v>87</v>
      </c>
      <c r="B27" s="328"/>
      <c r="C27" s="328"/>
      <c r="D27" s="329"/>
    </row>
    <row r="28" spans="1:4" ht="28.9" customHeight="1">
      <c r="A28" s="76" t="s">
        <v>88</v>
      </c>
      <c r="B28" s="77" t="s">
        <v>104</v>
      </c>
      <c r="C28" s="76" t="s">
        <v>11</v>
      </c>
      <c r="D28" s="76" t="s">
        <v>37</v>
      </c>
    </row>
    <row r="29" spans="1:4" s="25" customFormat="1" ht="15" customHeight="1">
      <c r="A29" s="79" t="s">
        <v>201</v>
      </c>
      <c r="B29" s="66" t="s">
        <v>45</v>
      </c>
      <c r="C29" s="84">
        <v>8.3299999999999999E-2</v>
      </c>
      <c r="D29" s="85">
        <f>($D$25*C29)</f>
        <v>200.25319999999999</v>
      </c>
    </row>
    <row r="30" spans="1:4" ht="15" customHeight="1">
      <c r="A30" s="79" t="s">
        <v>202</v>
      </c>
      <c r="B30" s="86" t="s">
        <v>52</v>
      </c>
      <c r="C30" s="87">
        <v>0.1111</v>
      </c>
      <c r="D30" s="85">
        <f>($D$25*C30)</f>
        <v>267.08440000000002</v>
      </c>
    </row>
    <row r="31" spans="1:4" ht="15" customHeight="1">
      <c r="A31" s="79" t="s">
        <v>203</v>
      </c>
      <c r="B31" s="86" t="s">
        <v>101</v>
      </c>
      <c r="C31" s="87">
        <f>C43*(C29+C30)</f>
        <v>7.1539200000000025E-2</v>
      </c>
      <c r="D31" s="85">
        <f>($D$25*C31)</f>
        <v>171.98023680000006</v>
      </c>
    </row>
    <row r="32" spans="1:4" ht="15" customHeight="1">
      <c r="A32" s="330" t="s">
        <v>107</v>
      </c>
      <c r="B32" s="331"/>
      <c r="C32" s="83"/>
      <c r="D32" s="78">
        <f>SUM(D29:D31)</f>
        <v>639.31783680000012</v>
      </c>
    </row>
    <row r="33" spans="1:4" ht="15" customHeight="1"/>
    <row r="34" spans="1:4" ht="15" customHeight="1">
      <c r="A34" s="76" t="s">
        <v>89</v>
      </c>
      <c r="B34" s="77" t="s">
        <v>105</v>
      </c>
      <c r="C34" s="76" t="s">
        <v>11</v>
      </c>
      <c r="D34" s="76" t="s">
        <v>37</v>
      </c>
    </row>
    <row r="35" spans="1:4" s="25" customFormat="1" ht="15" customHeight="1">
      <c r="A35" s="79" t="s">
        <v>204</v>
      </c>
      <c r="B35" s="86" t="s">
        <v>38</v>
      </c>
      <c r="C35" s="89">
        <v>0.2</v>
      </c>
      <c r="D35" s="85">
        <f>(D25*C35)</f>
        <v>480.8</v>
      </c>
    </row>
    <row r="36" spans="1:4" s="25" customFormat="1" ht="15" customHeight="1">
      <c r="A36" s="79" t="s">
        <v>205</v>
      </c>
      <c r="B36" s="86" t="s">
        <v>39</v>
      </c>
      <c r="C36" s="89">
        <v>0.08</v>
      </c>
      <c r="D36" s="85">
        <f>(D25*C36)</f>
        <v>192.32</v>
      </c>
    </row>
    <row r="37" spans="1:4" s="25" customFormat="1" ht="15" customHeight="1">
      <c r="A37" s="79" t="s">
        <v>206</v>
      </c>
      <c r="B37" s="86" t="s">
        <v>40</v>
      </c>
      <c r="C37" s="89">
        <v>1.4999999999999999E-2</v>
      </c>
      <c r="D37" s="85">
        <f>(D25*C37)</f>
        <v>36.059999999999995</v>
      </c>
    </row>
    <row r="38" spans="1:4" s="25" customFormat="1" ht="15" customHeight="1">
      <c r="A38" s="79" t="s">
        <v>207</v>
      </c>
      <c r="B38" s="86" t="s">
        <v>41</v>
      </c>
      <c r="C38" s="89">
        <v>0.01</v>
      </c>
      <c r="D38" s="85">
        <f>(D25*C38)</f>
        <v>24.04</v>
      </c>
    </row>
    <row r="39" spans="1:4" s="25" customFormat="1" ht="15" customHeight="1">
      <c r="A39" s="79" t="s">
        <v>208</v>
      </c>
      <c r="B39" s="86" t="s">
        <v>42</v>
      </c>
      <c r="C39" s="89">
        <v>6.0000000000000001E-3</v>
      </c>
      <c r="D39" s="85">
        <f>(D25*C39)</f>
        <v>14.423999999999999</v>
      </c>
    </row>
    <row r="40" spans="1:4" s="25" customFormat="1" ht="15" customHeight="1">
      <c r="A40" s="79" t="s">
        <v>209</v>
      </c>
      <c r="B40" s="86" t="s">
        <v>43</v>
      </c>
      <c r="C40" s="89">
        <v>2E-3</v>
      </c>
      <c r="D40" s="85">
        <f>(D25*C40)</f>
        <v>4.8079999999999998</v>
      </c>
    </row>
    <row r="41" spans="1:4" s="25" customFormat="1" ht="15" customHeight="1">
      <c r="A41" s="79" t="s">
        <v>210</v>
      </c>
      <c r="B41" s="86" t="s">
        <v>44</v>
      </c>
      <c r="C41" s="89">
        <v>2.5000000000000001E-2</v>
      </c>
      <c r="D41" s="85">
        <f>(D25*C41)</f>
        <v>60.1</v>
      </c>
    </row>
    <row r="42" spans="1:4" s="25" customFormat="1" ht="15" customHeight="1">
      <c r="A42" s="79" t="s">
        <v>211</v>
      </c>
      <c r="B42" s="86" t="s">
        <v>102</v>
      </c>
      <c r="C42" s="89">
        <v>0.03</v>
      </c>
      <c r="D42" s="85">
        <f>(D25*C42)</f>
        <v>72.11999999999999</v>
      </c>
    </row>
    <row r="43" spans="1:4" ht="15" customHeight="1">
      <c r="A43" s="330" t="s">
        <v>107</v>
      </c>
      <c r="B43" s="331"/>
      <c r="C43" s="83">
        <f>SUM(C35:C42)</f>
        <v>0.3680000000000001</v>
      </c>
      <c r="D43" s="78">
        <f>SUM(D35:D42)</f>
        <v>884.67199999999991</v>
      </c>
    </row>
    <row r="44" spans="1:4" ht="15" customHeight="1"/>
    <row r="45" spans="1:4" ht="15" customHeight="1">
      <c r="A45" s="76" t="s">
        <v>90</v>
      </c>
      <c r="B45" s="77" t="s">
        <v>106</v>
      </c>
      <c r="C45" s="76"/>
      <c r="D45" s="78" t="s">
        <v>21</v>
      </c>
    </row>
    <row r="46" spans="1:4" ht="15" customHeight="1">
      <c r="A46" s="79" t="s">
        <v>212</v>
      </c>
      <c r="B46" s="66" t="s">
        <v>30</v>
      </c>
      <c r="C46" s="90">
        <v>6.25</v>
      </c>
      <c r="D46" s="81">
        <f>(C46*50.16)-(6%*D15)</f>
        <v>169.26000000000002</v>
      </c>
    </row>
    <row r="47" spans="1:4" ht="15" customHeight="1">
      <c r="A47" s="79" t="s">
        <v>214</v>
      </c>
      <c r="B47" s="66" t="s">
        <v>31</v>
      </c>
      <c r="C47" s="90">
        <v>900</v>
      </c>
      <c r="D47" s="81">
        <f>C47-(C47*0.2)</f>
        <v>720</v>
      </c>
    </row>
    <row r="48" spans="1:4" ht="15" customHeight="1">
      <c r="A48" s="79" t="s">
        <v>216</v>
      </c>
      <c r="B48" s="66" t="s">
        <v>32</v>
      </c>
      <c r="C48" s="90">
        <v>94.5</v>
      </c>
      <c r="D48" s="81">
        <f>C48</f>
        <v>94.5</v>
      </c>
    </row>
    <row r="49" spans="1:4" ht="15" customHeight="1">
      <c r="A49" s="79" t="s">
        <v>217</v>
      </c>
      <c r="B49" s="66" t="s">
        <v>33</v>
      </c>
      <c r="C49" s="90">
        <v>31</v>
      </c>
      <c r="D49" s="81">
        <f>C49</f>
        <v>31</v>
      </c>
    </row>
    <row r="50" spans="1:4" ht="15" customHeight="1">
      <c r="A50" s="79" t="s">
        <v>218</v>
      </c>
      <c r="B50" s="66" t="s">
        <v>34</v>
      </c>
      <c r="C50" s="90"/>
      <c r="D50" s="81">
        <f>C50</f>
        <v>0</v>
      </c>
    </row>
    <row r="51" spans="1:4" ht="15" customHeight="1">
      <c r="A51" s="79" t="s">
        <v>219</v>
      </c>
      <c r="B51" s="66" t="s">
        <v>35</v>
      </c>
      <c r="C51" s="90"/>
      <c r="D51" s="81">
        <f>C51</f>
        <v>0</v>
      </c>
    </row>
    <row r="52" spans="1:4" ht="15" customHeight="1">
      <c r="A52" s="79" t="s">
        <v>220</v>
      </c>
      <c r="B52" s="66" t="s">
        <v>221</v>
      </c>
      <c r="C52" s="90">
        <v>900</v>
      </c>
      <c r="D52" s="81">
        <f>(C52-(C52*0.2))/12</f>
        <v>60</v>
      </c>
    </row>
    <row r="53" spans="1:4" ht="15" customHeight="1">
      <c r="A53" s="79" t="s">
        <v>223</v>
      </c>
      <c r="B53" s="66" t="s">
        <v>224</v>
      </c>
      <c r="C53" s="90">
        <v>205</v>
      </c>
      <c r="D53" s="81">
        <f>C53</f>
        <v>205</v>
      </c>
    </row>
    <row r="54" spans="1:4" ht="15" customHeight="1">
      <c r="A54" s="79" t="s">
        <v>225</v>
      </c>
      <c r="B54" s="66" t="s">
        <v>226</v>
      </c>
      <c r="C54" s="91">
        <v>9.2499999999999999E-2</v>
      </c>
      <c r="D54" s="92">
        <f>-(D46+D47+D52)*C54</f>
        <v>-87.806550000000001</v>
      </c>
    </row>
    <row r="55" spans="1:4" ht="15" customHeight="1">
      <c r="A55" s="330" t="s">
        <v>107</v>
      </c>
      <c r="B55" s="331"/>
      <c r="C55" s="83"/>
      <c r="D55" s="78">
        <f>SUM(D46:D54)</f>
        <v>1191.95345</v>
      </c>
    </row>
    <row r="56" spans="1:4" ht="15" customHeight="1"/>
    <row r="57" spans="1:4" ht="15" customHeight="1">
      <c r="A57" s="332" t="s">
        <v>93</v>
      </c>
      <c r="B57" s="333"/>
      <c r="C57" s="333"/>
      <c r="D57" s="334"/>
    </row>
    <row r="58" spans="1:4" ht="15" customHeight="1">
      <c r="A58" s="79" t="s">
        <v>88</v>
      </c>
      <c r="B58" s="66" t="s">
        <v>92</v>
      </c>
      <c r="C58" s="323">
        <f>D32</f>
        <v>639.31783680000012</v>
      </c>
      <c r="D58" s="324"/>
    </row>
    <row r="59" spans="1:4" ht="15" customHeight="1">
      <c r="A59" s="79" t="s">
        <v>89</v>
      </c>
      <c r="B59" s="66" t="s">
        <v>94</v>
      </c>
      <c r="C59" s="323">
        <f>D43</f>
        <v>884.67199999999991</v>
      </c>
      <c r="D59" s="324"/>
    </row>
    <row r="60" spans="1:4" ht="15" customHeight="1">
      <c r="A60" s="79" t="s">
        <v>90</v>
      </c>
      <c r="B60" s="66" t="s">
        <v>91</v>
      </c>
      <c r="C60" s="335">
        <f>D55</f>
        <v>1191.95345</v>
      </c>
      <c r="D60" s="336"/>
    </row>
    <row r="61" spans="1:4" ht="15" customHeight="1">
      <c r="A61" s="332" t="s">
        <v>95</v>
      </c>
      <c r="B61" s="334"/>
      <c r="C61" s="325">
        <f>SUM(C58:D60)</f>
        <v>2715.9432867999999</v>
      </c>
      <c r="D61" s="326"/>
    </row>
    <row r="62" spans="1:4" ht="15" customHeight="1"/>
    <row r="63" spans="1:4" s="25" customFormat="1" ht="15" customHeight="1">
      <c r="A63" s="327" t="s">
        <v>96</v>
      </c>
      <c r="B63" s="328"/>
      <c r="C63" s="328"/>
      <c r="D63" s="329"/>
    </row>
    <row r="64" spans="1:4" ht="15" customHeight="1">
      <c r="A64" s="76">
        <v>3</v>
      </c>
      <c r="B64" s="77" t="s">
        <v>98</v>
      </c>
      <c r="C64" s="94" t="s">
        <v>11</v>
      </c>
      <c r="D64" s="76" t="s">
        <v>37</v>
      </c>
    </row>
    <row r="65" spans="1:4" s="25" customFormat="1" ht="15" customHeight="1">
      <c r="A65" s="79" t="s">
        <v>131</v>
      </c>
      <c r="B65" s="96" t="s">
        <v>51</v>
      </c>
      <c r="C65" s="97">
        <v>4.1700000000000001E-3</v>
      </c>
      <c r="D65" s="85">
        <f t="shared" ref="D65:D70" si="0">($D$25*C65)</f>
        <v>10.02468</v>
      </c>
    </row>
    <row r="66" spans="1:4" s="25" customFormat="1" ht="15" customHeight="1">
      <c r="A66" s="79" t="s">
        <v>176</v>
      </c>
      <c r="B66" s="96" t="s">
        <v>53</v>
      </c>
      <c r="C66" s="97">
        <v>3.3E-4</v>
      </c>
      <c r="D66" s="85">
        <f t="shared" si="0"/>
        <v>0.79332000000000003</v>
      </c>
    </row>
    <row r="67" spans="1:4" s="25" customFormat="1" ht="31.9" customHeight="1">
      <c r="A67" s="79" t="s">
        <v>233</v>
      </c>
      <c r="B67" s="96" t="s">
        <v>54</v>
      </c>
      <c r="C67" s="97"/>
      <c r="D67" s="85">
        <f t="shared" si="0"/>
        <v>0</v>
      </c>
    </row>
    <row r="68" spans="1:4" s="25" customFormat="1" ht="15" customHeight="1">
      <c r="A68" s="79" t="s">
        <v>236</v>
      </c>
      <c r="B68" s="96" t="s">
        <v>46</v>
      </c>
      <c r="C68" s="97">
        <v>1.9439999999999999E-2</v>
      </c>
      <c r="D68" s="85">
        <f t="shared" si="0"/>
        <v>46.733759999999997</v>
      </c>
    </row>
    <row r="69" spans="1:4" ht="15" customHeight="1">
      <c r="A69" s="79" t="s">
        <v>239</v>
      </c>
      <c r="B69" s="96" t="s">
        <v>97</v>
      </c>
      <c r="C69" s="97">
        <f>C43*C68</f>
        <v>7.153920000000002E-3</v>
      </c>
      <c r="D69" s="85">
        <f t="shared" si="0"/>
        <v>17.198023680000006</v>
      </c>
    </row>
    <row r="70" spans="1:4" s="25" customFormat="1" ht="15" customHeight="1">
      <c r="A70" s="79" t="s">
        <v>242</v>
      </c>
      <c r="B70" s="86" t="s">
        <v>243</v>
      </c>
      <c r="C70" s="97">
        <v>3.4389999999999997E-2</v>
      </c>
      <c r="D70" s="85">
        <f t="shared" si="0"/>
        <v>82.673559999999995</v>
      </c>
    </row>
    <row r="71" spans="1:4" ht="15" customHeight="1">
      <c r="A71" s="330" t="s">
        <v>107</v>
      </c>
      <c r="B71" s="331"/>
      <c r="C71" s="99">
        <f>SUM(C65:C70)</f>
        <v>6.5483920000000001E-2</v>
      </c>
      <c r="D71" s="100">
        <f>SUM(D65:D70)</f>
        <v>157.42334368000002</v>
      </c>
    </row>
    <row r="72" spans="1:4" ht="15" customHeight="1"/>
    <row r="73" spans="1:4" s="25" customFormat="1" ht="15" customHeight="1">
      <c r="A73" s="327" t="s">
        <v>99</v>
      </c>
      <c r="B73" s="328"/>
      <c r="C73" s="328"/>
      <c r="D73" s="329"/>
    </row>
    <row r="74" spans="1:4" ht="15" customHeight="1">
      <c r="A74" s="76" t="s">
        <v>103</v>
      </c>
      <c r="B74" s="77" t="s">
        <v>247</v>
      </c>
      <c r="C74" s="94" t="s">
        <v>11</v>
      </c>
      <c r="D74" s="76" t="s">
        <v>37</v>
      </c>
    </row>
    <row r="75" spans="1:4" s="25" customFormat="1" ht="15" customHeight="1">
      <c r="A75" s="79" t="s">
        <v>248</v>
      </c>
      <c r="B75" s="66" t="s">
        <v>249</v>
      </c>
      <c r="C75" s="84">
        <v>4.15E-3</v>
      </c>
      <c r="D75" s="85">
        <f>($D$25*C75)</f>
        <v>9.9765999999999995</v>
      </c>
    </row>
    <row r="76" spans="1:4" s="25" customFormat="1" ht="15" customHeight="1">
      <c r="A76" s="79" t="s">
        <v>251</v>
      </c>
      <c r="B76" s="66" t="s">
        <v>252</v>
      </c>
      <c r="C76" s="84">
        <v>2.0000000000000001E-4</v>
      </c>
      <c r="D76" s="85">
        <f>($D$25*C76)</f>
        <v>0.48080000000000001</v>
      </c>
    </row>
    <row r="77" spans="1:4" s="25" customFormat="1" ht="15" customHeight="1">
      <c r="A77" s="79" t="s">
        <v>253</v>
      </c>
      <c r="B77" s="66" t="s">
        <v>254</v>
      </c>
      <c r="C77" s="84">
        <v>5.1000000000000004E-4</v>
      </c>
      <c r="D77" s="85">
        <f>($D$25*C77)</f>
        <v>1.22604</v>
      </c>
    </row>
    <row r="78" spans="1:4" s="25" customFormat="1" ht="15" customHeight="1">
      <c r="A78" s="79" t="s">
        <v>255</v>
      </c>
      <c r="B78" s="66" t="s">
        <v>256</v>
      </c>
      <c r="C78" s="84">
        <v>3.8999999999999999E-4</v>
      </c>
      <c r="D78" s="85">
        <f>($D$25*C78)</f>
        <v>0.93755999999999995</v>
      </c>
    </row>
    <row r="79" spans="1:4" s="25" customFormat="1" ht="15" customHeight="1">
      <c r="A79" s="79" t="s">
        <v>257</v>
      </c>
      <c r="B79" s="66" t="s">
        <v>100</v>
      </c>
      <c r="C79" s="84"/>
      <c r="D79" s="85"/>
    </row>
    <row r="80" spans="1:4" ht="15" customHeight="1">
      <c r="A80" s="330" t="s">
        <v>107</v>
      </c>
      <c r="B80" s="331"/>
      <c r="C80" s="83">
        <f>SUM(C75:C79)</f>
        <v>5.2499999999999995E-3</v>
      </c>
      <c r="D80" s="78">
        <f>SUM(D75:D79)</f>
        <v>12.620999999999999</v>
      </c>
    </row>
    <row r="81" spans="1:4" ht="15" customHeight="1"/>
    <row r="82" spans="1:4" ht="15" customHeight="1">
      <c r="A82" s="332" t="s">
        <v>258</v>
      </c>
      <c r="B82" s="333"/>
      <c r="C82" s="333"/>
      <c r="D82" s="334"/>
    </row>
    <row r="83" spans="1:4" ht="15" customHeight="1">
      <c r="A83" s="79" t="s">
        <v>103</v>
      </c>
      <c r="B83" s="66" t="s">
        <v>111</v>
      </c>
      <c r="C83" s="323">
        <f>D80</f>
        <v>12.620999999999999</v>
      </c>
      <c r="D83" s="324"/>
    </row>
    <row r="84" spans="1:4" ht="15" customHeight="1">
      <c r="A84" s="76" t="s">
        <v>95</v>
      </c>
      <c r="B84" s="76" t="s">
        <v>95</v>
      </c>
      <c r="C84" s="325">
        <f>SUM(C83:D83)</f>
        <v>12.620999999999999</v>
      </c>
      <c r="D84" s="326"/>
    </row>
    <row r="85" spans="1:4" ht="15" customHeight="1"/>
    <row r="86" spans="1:4" s="25" customFormat="1" ht="15" customHeight="1">
      <c r="A86" s="327" t="s">
        <v>108</v>
      </c>
      <c r="B86" s="328"/>
      <c r="C86" s="328"/>
      <c r="D86" s="329"/>
    </row>
    <row r="87" spans="1:4" ht="15" customHeight="1">
      <c r="A87" s="76">
        <v>5</v>
      </c>
      <c r="B87" s="77" t="s">
        <v>109</v>
      </c>
      <c r="C87" s="76"/>
      <c r="D87" s="78" t="s">
        <v>21</v>
      </c>
    </row>
    <row r="88" spans="1:4" ht="15" customHeight="1">
      <c r="A88" s="79" t="s">
        <v>133</v>
      </c>
      <c r="B88" s="66" t="s">
        <v>120</v>
      </c>
      <c r="C88" s="92"/>
      <c r="D88" s="81">
        <v>61.115000000000002</v>
      </c>
    </row>
    <row r="89" spans="1:4" ht="15" customHeight="1">
      <c r="A89" s="79" t="s">
        <v>178</v>
      </c>
      <c r="B89" s="66" t="s">
        <v>121</v>
      </c>
      <c r="C89" s="92"/>
      <c r="D89" s="81">
        <v>101.61</v>
      </c>
    </row>
    <row r="90" spans="1:4" ht="15" customHeight="1">
      <c r="A90" s="79" t="s">
        <v>259</v>
      </c>
      <c r="B90" s="66" t="s">
        <v>226</v>
      </c>
      <c r="C90" s="91">
        <v>9.2499999999999999E-2</v>
      </c>
      <c r="D90" s="81">
        <f>-(D88+D89)*C90</f>
        <v>-15.0520625</v>
      </c>
    </row>
    <row r="91" spans="1:4" ht="15" customHeight="1">
      <c r="A91" s="77"/>
      <c r="B91" s="77" t="s">
        <v>36</v>
      </c>
      <c r="C91" s="83"/>
      <c r="D91" s="78">
        <f>SUM(D88:D90)</f>
        <v>147.67293749999999</v>
      </c>
    </row>
    <row r="92" spans="1:4" ht="15" customHeight="1"/>
    <row r="93" spans="1:4" ht="15" customHeight="1">
      <c r="A93" s="332" t="s">
        <v>110</v>
      </c>
      <c r="B93" s="333"/>
      <c r="C93" s="333"/>
      <c r="D93" s="334"/>
    </row>
    <row r="94" spans="1:4" ht="15" customHeight="1">
      <c r="A94" s="79">
        <v>1</v>
      </c>
      <c r="B94" s="66" t="s">
        <v>86</v>
      </c>
      <c r="C94" s="323">
        <f>D25</f>
        <v>2404</v>
      </c>
      <c r="D94" s="324"/>
    </row>
    <row r="95" spans="1:4" ht="30.6" customHeight="1">
      <c r="A95" s="79">
        <v>2</v>
      </c>
      <c r="B95" s="66" t="s">
        <v>87</v>
      </c>
      <c r="C95" s="323">
        <f>C61</f>
        <v>2715.9432867999999</v>
      </c>
      <c r="D95" s="324"/>
    </row>
    <row r="96" spans="1:4" ht="15" customHeight="1">
      <c r="A96" s="79">
        <v>3</v>
      </c>
      <c r="B96" s="66" t="s">
        <v>96</v>
      </c>
      <c r="C96" s="323">
        <f>D71</f>
        <v>157.42334368000002</v>
      </c>
      <c r="D96" s="324"/>
    </row>
    <row r="97" spans="1:4" ht="27.6" customHeight="1">
      <c r="A97" s="79">
        <v>4</v>
      </c>
      <c r="B97" s="66" t="s">
        <v>99</v>
      </c>
      <c r="C97" s="323">
        <f>C84</f>
        <v>12.620999999999999</v>
      </c>
      <c r="D97" s="324"/>
    </row>
    <row r="98" spans="1:4" ht="15" customHeight="1">
      <c r="A98" s="79">
        <v>5</v>
      </c>
      <c r="B98" s="66" t="s">
        <v>108</v>
      </c>
      <c r="C98" s="323">
        <f>D91</f>
        <v>147.67293749999999</v>
      </c>
      <c r="D98" s="324"/>
    </row>
    <row r="99" spans="1:4" ht="15" customHeight="1">
      <c r="A99" s="76" t="s">
        <v>95</v>
      </c>
      <c r="B99" s="76" t="s">
        <v>95</v>
      </c>
      <c r="C99" s="325">
        <f>SUM(C94:D98)</f>
        <v>5437.6605679800014</v>
      </c>
      <c r="D99" s="326"/>
    </row>
    <row r="100" spans="1:4" ht="30" customHeight="1"/>
    <row r="101" spans="1:4" s="6" customFormat="1" ht="100.15" customHeight="1">
      <c r="A101" s="301" t="s">
        <v>260</v>
      </c>
      <c r="B101" s="301"/>
      <c r="C101" s="301"/>
      <c r="D101" s="301"/>
    </row>
    <row r="102" spans="1:4" s="6" customFormat="1" ht="27.95" customHeight="1">
      <c r="A102" s="181"/>
      <c r="B102" s="181"/>
      <c r="C102" s="182"/>
      <c r="D102" s="181"/>
    </row>
    <row r="103" spans="1:4" s="6" customFormat="1" ht="145.9" customHeight="1">
      <c r="A103" s="301" t="s">
        <v>261</v>
      </c>
      <c r="B103" s="301"/>
      <c r="C103" s="301"/>
      <c r="D103" s="301"/>
    </row>
    <row r="104" spans="1:4" s="6" customFormat="1" ht="15.95" customHeight="1">
      <c r="A104" s="181"/>
      <c r="B104" s="181"/>
      <c r="C104" s="182"/>
      <c r="D104" s="181"/>
    </row>
    <row r="105" spans="1:4" s="6" customFormat="1" ht="163.9" customHeight="1">
      <c r="A105" s="301" t="s">
        <v>262</v>
      </c>
      <c r="B105" s="301"/>
      <c r="C105" s="301"/>
      <c r="D105" s="301"/>
    </row>
    <row r="106" spans="1:4" ht="33.75" customHeight="1">
      <c r="C106" s="23"/>
    </row>
    <row r="107" spans="1:4">
      <c r="C107" s="23"/>
    </row>
    <row r="108" spans="1:4" ht="15.6" customHeight="1">
      <c r="C108" s="23"/>
    </row>
    <row r="109" spans="1:4" ht="45.95" customHeight="1">
      <c r="C109" s="23"/>
    </row>
    <row r="110" spans="1:4" ht="45.95" customHeight="1">
      <c r="C110" s="23"/>
    </row>
    <row r="111" spans="1:4" ht="45.95" customHeight="1">
      <c r="C111" s="23"/>
    </row>
    <row r="112" spans="1:4" ht="45.95" customHeight="1">
      <c r="C112" s="23"/>
    </row>
    <row r="113" spans="3:3">
      <c r="C113" s="23"/>
    </row>
    <row r="114" spans="3:3">
      <c r="C114" s="23"/>
    </row>
  </sheetData>
  <mergeCells count="48">
    <mergeCell ref="A8:B8"/>
    <mergeCell ref="C8:D8"/>
    <mergeCell ref="A10:B10"/>
    <mergeCell ref="C10:D10"/>
    <mergeCell ref="A11:B11"/>
    <mergeCell ref="C11:D11"/>
    <mergeCell ref="A5:B5"/>
    <mergeCell ref="C5:D5"/>
    <mergeCell ref="A6:B6"/>
    <mergeCell ref="C6:D6"/>
    <mergeCell ref="A7:B7"/>
    <mergeCell ref="C7:D7"/>
    <mergeCell ref="A1:D1"/>
    <mergeCell ref="A2:D2"/>
    <mergeCell ref="A3:B3"/>
    <mergeCell ref="C3:D3"/>
    <mergeCell ref="A4:B4"/>
    <mergeCell ref="C4:D4"/>
    <mergeCell ref="A71:B71"/>
    <mergeCell ref="C94:D94"/>
    <mergeCell ref="A73:D73"/>
    <mergeCell ref="A80:B80"/>
    <mergeCell ref="A82:D82"/>
    <mergeCell ref="C83:D83"/>
    <mergeCell ref="C84:D84"/>
    <mergeCell ref="A86:D86"/>
    <mergeCell ref="A93:D93"/>
    <mergeCell ref="A101:D101"/>
    <mergeCell ref="A103:D103"/>
    <mergeCell ref="A105:D105"/>
    <mergeCell ref="A13:D13"/>
    <mergeCell ref="A27:D27"/>
    <mergeCell ref="A25:B25"/>
    <mergeCell ref="A55:B55"/>
    <mergeCell ref="A32:B32"/>
    <mergeCell ref="A43:B43"/>
    <mergeCell ref="A57:D57"/>
    <mergeCell ref="C60:D60"/>
    <mergeCell ref="A61:B61"/>
    <mergeCell ref="C61:D61"/>
    <mergeCell ref="A63:D63"/>
    <mergeCell ref="C58:D58"/>
    <mergeCell ref="C59:D59"/>
    <mergeCell ref="C96:D96"/>
    <mergeCell ref="C95:D95"/>
    <mergeCell ref="C97:D97"/>
    <mergeCell ref="C98:D98"/>
    <mergeCell ref="C99:D99"/>
  </mergeCells>
  <phoneticPr fontId="14" type="noConversion"/>
  <pageMargins left="0.7" right="0.7" top="0.5" bottom="0.5" header="0.3" footer="0.3"/>
  <pageSetup paperSize="9" orientation="portrait" r:id="rId1"/>
  <rowBreaks count="3" manualBreakCount="3">
    <brk id="44" max="16383" man="1"/>
    <brk id="85" max="16383" man="1"/>
    <brk id="11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D114"/>
  <sheetViews>
    <sheetView showGridLines="0" zoomScaleNormal="100" workbookViewId="0">
      <selection activeCell="C5" sqref="C5:D5"/>
    </sheetView>
  </sheetViews>
  <sheetFormatPr defaultColWidth="8.75" defaultRowHeight="15"/>
  <cols>
    <col min="1" max="1" width="5.75" style="23" customWidth="1"/>
    <col min="2" max="2" width="46.75" style="23" customWidth="1"/>
    <col min="3" max="3" width="11" style="22" bestFit="1" customWidth="1"/>
    <col min="4" max="4" width="15.5" style="23" bestFit="1" customWidth="1"/>
    <col min="5" max="10" width="8.75" style="23"/>
    <col min="11" max="11" width="10.25" style="23" bestFit="1" customWidth="1"/>
    <col min="12" max="247" width="8.75" style="23"/>
    <col min="248" max="248" width="5.75" style="23" customWidth="1"/>
    <col min="249" max="249" width="82.5" style="23" customWidth="1"/>
    <col min="250" max="250" width="13.5" style="23" customWidth="1"/>
    <col min="251" max="251" width="24" style="23" customWidth="1"/>
    <col min="252" max="252" width="10.25" style="23" customWidth="1"/>
    <col min="253" max="254" width="0" style="23" hidden="1" customWidth="1"/>
    <col min="255" max="503" width="8.75" style="23"/>
    <col min="504" max="504" width="5.75" style="23" customWidth="1"/>
    <col min="505" max="505" width="82.5" style="23" customWidth="1"/>
    <col min="506" max="506" width="13.5" style="23" customWidth="1"/>
    <col min="507" max="507" width="24" style="23" customWidth="1"/>
    <col min="508" max="508" width="10.25" style="23" customWidth="1"/>
    <col min="509" max="510" width="0" style="23" hidden="1" customWidth="1"/>
    <col min="511" max="759" width="8.75" style="23"/>
    <col min="760" max="760" width="5.75" style="23" customWidth="1"/>
    <col min="761" max="761" width="82.5" style="23" customWidth="1"/>
    <col min="762" max="762" width="13.5" style="23" customWidth="1"/>
    <col min="763" max="763" width="24" style="23" customWidth="1"/>
    <col min="764" max="764" width="10.25" style="23" customWidth="1"/>
    <col min="765" max="766" width="0" style="23" hidden="1" customWidth="1"/>
    <col min="767" max="1015" width="8.75" style="23"/>
    <col min="1016" max="1016" width="5.75" style="23" customWidth="1"/>
    <col min="1017" max="1017" width="82.5" style="23" customWidth="1"/>
    <col min="1018" max="1018" width="13.5" style="23" customWidth="1"/>
    <col min="1019" max="1019" width="24" style="23" customWidth="1"/>
    <col min="1020" max="1020" width="10.25" style="23" customWidth="1"/>
    <col min="1021" max="1022" width="0" style="23" hidden="1" customWidth="1"/>
    <col min="1023" max="1271" width="8.75" style="23"/>
    <col min="1272" max="1272" width="5.75" style="23" customWidth="1"/>
    <col min="1273" max="1273" width="82.5" style="23" customWidth="1"/>
    <col min="1274" max="1274" width="13.5" style="23" customWidth="1"/>
    <col min="1275" max="1275" width="24" style="23" customWidth="1"/>
    <col min="1276" max="1276" width="10.25" style="23" customWidth="1"/>
    <col min="1277" max="1278" width="0" style="23" hidden="1" customWidth="1"/>
    <col min="1279" max="1527" width="8.75" style="23"/>
    <col min="1528" max="1528" width="5.75" style="23" customWidth="1"/>
    <col min="1529" max="1529" width="82.5" style="23" customWidth="1"/>
    <col min="1530" max="1530" width="13.5" style="23" customWidth="1"/>
    <col min="1531" max="1531" width="24" style="23" customWidth="1"/>
    <col min="1532" max="1532" width="10.25" style="23" customWidth="1"/>
    <col min="1533" max="1534" width="0" style="23" hidden="1" customWidth="1"/>
    <col min="1535" max="1783" width="8.75" style="23"/>
    <col min="1784" max="1784" width="5.75" style="23" customWidth="1"/>
    <col min="1785" max="1785" width="82.5" style="23" customWidth="1"/>
    <col min="1786" max="1786" width="13.5" style="23" customWidth="1"/>
    <col min="1787" max="1787" width="24" style="23" customWidth="1"/>
    <col min="1788" max="1788" width="10.25" style="23" customWidth="1"/>
    <col min="1789" max="1790" width="0" style="23" hidden="1" customWidth="1"/>
    <col min="1791" max="2039" width="8.75" style="23"/>
    <col min="2040" max="2040" width="5.75" style="23" customWidth="1"/>
    <col min="2041" max="2041" width="82.5" style="23" customWidth="1"/>
    <col min="2042" max="2042" width="13.5" style="23" customWidth="1"/>
    <col min="2043" max="2043" width="24" style="23" customWidth="1"/>
    <col min="2044" max="2044" width="10.25" style="23" customWidth="1"/>
    <col min="2045" max="2046" width="0" style="23" hidden="1" customWidth="1"/>
    <col min="2047" max="2295" width="8.75" style="23"/>
    <col min="2296" max="2296" width="5.75" style="23" customWidth="1"/>
    <col min="2297" max="2297" width="82.5" style="23" customWidth="1"/>
    <col min="2298" max="2298" width="13.5" style="23" customWidth="1"/>
    <col min="2299" max="2299" width="24" style="23" customWidth="1"/>
    <col min="2300" max="2300" width="10.25" style="23" customWidth="1"/>
    <col min="2301" max="2302" width="0" style="23" hidden="1" customWidth="1"/>
    <col min="2303" max="2551" width="8.75" style="23"/>
    <col min="2552" max="2552" width="5.75" style="23" customWidth="1"/>
    <col min="2553" max="2553" width="82.5" style="23" customWidth="1"/>
    <col min="2554" max="2554" width="13.5" style="23" customWidth="1"/>
    <col min="2555" max="2555" width="24" style="23" customWidth="1"/>
    <col min="2556" max="2556" width="10.25" style="23" customWidth="1"/>
    <col min="2557" max="2558" width="0" style="23" hidden="1" customWidth="1"/>
    <col min="2559" max="2807" width="8.75" style="23"/>
    <col min="2808" max="2808" width="5.75" style="23" customWidth="1"/>
    <col min="2809" max="2809" width="82.5" style="23" customWidth="1"/>
    <col min="2810" max="2810" width="13.5" style="23" customWidth="1"/>
    <col min="2811" max="2811" width="24" style="23" customWidth="1"/>
    <col min="2812" max="2812" width="10.25" style="23" customWidth="1"/>
    <col min="2813" max="2814" width="0" style="23" hidden="1" customWidth="1"/>
    <col min="2815" max="3063" width="8.75" style="23"/>
    <col min="3064" max="3064" width="5.75" style="23" customWidth="1"/>
    <col min="3065" max="3065" width="82.5" style="23" customWidth="1"/>
    <col min="3066" max="3066" width="13.5" style="23" customWidth="1"/>
    <col min="3067" max="3067" width="24" style="23" customWidth="1"/>
    <col min="3068" max="3068" width="10.25" style="23" customWidth="1"/>
    <col min="3069" max="3070" width="0" style="23" hidden="1" customWidth="1"/>
    <col min="3071" max="3319" width="8.75" style="23"/>
    <col min="3320" max="3320" width="5.75" style="23" customWidth="1"/>
    <col min="3321" max="3321" width="82.5" style="23" customWidth="1"/>
    <col min="3322" max="3322" width="13.5" style="23" customWidth="1"/>
    <col min="3323" max="3323" width="24" style="23" customWidth="1"/>
    <col min="3324" max="3324" width="10.25" style="23" customWidth="1"/>
    <col min="3325" max="3326" width="0" style="23" hidden="1" customWidth="1"/>
    <col min="3327" max="3575" width="8.75" style="23"/>
    <col min="3576" max="3576" width="5.75" style="23" customWidth="1"/>
    <col min="3577" max="3577" width="82.5" style="23" customWidth="1"/>
    <col min="3578" max="3578" width="13.5" style="23" customWidth="1"/>
    <col min="3579" max="3579" width="24" style="23" customWidth="1"/>
    <col min="3580" max="3580" width="10.25" style="23" customWidth="1"/>
    <col min="3581" max="3582" width="0" style="23" hidden="1" customWidth="1"/>
    <col min="3583" max="3831" width="8.75" style="23"/>
    <col min="3832" max="3832" width="5.75" style="23" customWidth="1"/>
    <col min="3833" max="3833" width="82.5" style="23" customWidth="1"/>
    <col min="3834" max="3834" width="13.5" style="23" customWidth="1"/>
    <col min="3835" max="3835" width="24" style="23" customWidth="1"/>
    <col min="3836" max="3836" width="10.25" style="23" customWidth="1"/>
    <col min="3837" max="3838" width="0" style="23" hidden="1" customWidth="1"/>
    <col min="3839" max="4087" width="8.75" style="23"/>
    <col min="4088" max="4088" width="5.75" style="23" customWidth="1"/>
    <col min="4089" max="4089" width="82.5" style="23" customWidth="1"/>
    <col min="4090" max="4090" width="13.5" style="23" customWidth="1"/>
    <col min="4091" max="4091" width="24" style="23" customWidth="1"/>
    <col min="4092" max="4092" width="10.25" style="23" customWidth="1"/>
    <col min="4093" max="4094" width="0" style="23" hidden="1" customWidth="1"/>
    <col min="4095" max="4343" width="8.75" style="23"/>
    <col min="4344" max="4344" width="5.75" style="23" customWidth="1"/>
    <col min="4345" max="4345" width="82.5" style="23" customWidth="1"/>
    <col min="4346" max="4346" width="13.5" style="23" customWidth="1"/>
    <col min="4347" max="4347" width="24" style="23" customWidth="1"/>
    <col min="4348" max="4348" width="10.25" style="23" customWidth="1"/>
    <col min="4349" max="4350" width="0" style="23" hidden="1" customWidth="1"/>
    <col min="4351" max="4599" width="8.75" style="23"/>
    <col min="4600" max="4600" width="5.75" style="23" customWidth="1"/>
    <col min="4601" max="4601" width="82.5" style="23" customWidth="1"/>
    <col min="4602" max="4602" width="13.5" style="23" customWidth="1"/>
    <col min="4603" max="4603" width="24" style="23" customWidth="1"/>
    <col min="4604" max="4604" width="10.25" style="23" customWidth="1"/>
    <col min="4605" max="4606" width="0" style="23" hidden="1" customWidth="1"/>
    <col min="4607" max="4855" width="8.75" style="23"/>
    <col min="4856" max="4856" width="5.75" style="23" customWidth="1"/>
    <col min="4857" max="4857" width="82.5" style="23" customWidth="1"/>
    <col min="4858" max="4858" width="13.5" style="23" customWidth="1"/>
    <col min="4859" max="4859" width="24" style="23" customWidth="1"/>
    <col min="4860" max="4860" width="10.25" style="23" customWidth="1"/>
    <col min="4861" max="4862" width="0" style="23" hidden="1" customWidth="1"/>
    <col min="4863" max="5111" width="8.75" style="23"/>
    <col min="5112" max="5112" width="5.75" style="23" customWidth="1"/>
    <col min="5113" max="5113" width="82.5" style="23" customWidth="1"/>
    <col min="5114" max="5114" width="13.5" style="23" customWidth="1"/>
    <col min="5115" max="5115" width="24" style="23" customWidth="1"/>
    <col min="5116" max="5116" width="10.25" style="23" customWidth="1"/>
    <col min="5117" max="5118" width="0" style="23" hidden="1" customWidth="1"/>
    <col min="5119" max="5367" width="8.75" style="23"/>
    <col min="5368" max="5368" width="5.75" style="23" customWidth="1"/>
    <col min="5369" max="5369" width="82.5" style="23" customWidth="1"/>
    <col min="5370" max="5370" width="13.5" style="23" customWidth="1"/>
    <col min="5371" max="5371" width="24" style="23" customWidth="1"/>
    <col min="5372" max="5372" width="10.25" style="23" customWidth="1"/>
    <col min="5373" max="5374" width="0" style="23" hidden="1" customWidth="1"/>
    <col min="5375" max="5623" width="8.75" style="23"/>
    <col min="5624" max="5624" width="5.75" style="23" customWidth="1"/>
    <col min="5625" max="5625" width="82.5" style="23" customWidth="1"/>
    <col min="5626" max="5626" width="13.5" style="23" customWidth="1"/>
    <col min="5627" max="5627" width="24" style="23" customWidth="1"/>
    <col min="5628" max="5628" width="10.25" style="23" customWidth="1"/>
    <col min="5629" max="5630" width="0" style="23" hidden="1" customWidth="1"/>
    <col min="5631" max="5879" width="8.75" style="23"/>
    <col min="5880" max="5880" width="5.75" style="23" customWidth="1"/>
    <col min="5881" max="5881" width="82.5" style="23" customWidth="1"/>
    <col min="5882" max="5882" width="13.5" style="23" customWidth="1"/>
    <col min="5883" max="5883" width="24" style="23" customWidth="1"/>
    <col min="5884" max="5884" width="10.25" style="23" customWidth="1"/>
    <col min="5885" max="5886" width="0" style="23" hidden="1" customWidth="1"/>
    <col min="5887" max="6135" width="8.75" style="23"/>
    <col min="6136" max="6136" width="5.75" style="23" customWidth="1"/>
    <col min="6137" max="6137" width="82.5" style="23" customWidth="1"/>
    <col min="6138" max="6138" width="13.5" style="23" customWidth="1"/>
    <col min="6139" max="6139" width="24" style="23" customWidth="1"/>
    <col min="6140" max="6140" width="10.25" style="23" customWidth="1"/>
    <col min="6141" max="6142" width="0" style="23" hidden="1" customWidth="1"/>
    <col min="6143" max="6391" width="8.75" style="23"/>
    <col min="6392" max="6392" width="5.75" style="23" customWidth="1"/>
    <col min="6393" max="6393" width="82.5" style="23" customWidth="1"/>
    <col min="6394" max="6394" width="13.5" style="23" customWidth="1"/>
    <col min="6395" max="6395" width="24" style="23" customWidth="1"/>
    <col min="6396" max="6396" width="10.25" style="23" customWidth="1"/>
    <col min="6397" max="6398" width="0" style="23" hidden="1" customWidth="1"/>
    <col min="6399" max="6647" width="8.75" style="23"/>
    <col min="6648" max="6648" width="5.75" style="23" customWidth="1"/>
    <col min="6649" max="6649" width="82.5" style="23" customWidth="1"/>
    <col min="6650" max="6650" width="13.5" style="23" customWidth="1"/>
    <col min="6651" max="6651" width="24" style="23" customWidth="1"/>
    <col min="6652" max="6652" width="10.25" style="23" customWidth="1"/>
    <col min="6653" max="6654" width="0" style="23" hidden="1" customWidth="1"/>
    <col min="6655" max="6903" width="8.75" style="23"/>
    <col min="6904" max="6904" width="5.75" style="23" customWidth="1"/>
    <col min="6905" max="6905" width="82.5" style="23" customWidth="1"/>
    <col min="6906" max="6906" width="13.5" style="23" customWidth="1"/>
    <col min="6907" max="6907" width="24" style="23" customWidth="1"/>
    <col min="6908" max="6908" width="10.25" style="23" customWidth="1"/>
    <col min="6909" max="6910" width="0" style="23" hidden="1" customWidth="1"/>
    <col min="6911" max="7159" width="8.75" style="23"/>
    <col min="7160" max="7160" width="5.75" style="23" customWidth="1"/>
    <col min="7161" max="7161" width="82.5" style="23" customWidth="1"/>
    <col min="7162" max="7162" width="13.5" style="23" customWidth="1"/>
    <col min="7163" max="7163" width="24" style="23" customWidth="1"/>
    <col min="7164" max="7164" width="10.25" style="23" customWidth="1"/>
    <col min="7165" max="7166" width="0" style="23" hidden="1" customWidth="1"/>
    <col min="7167" max="7415" width="8.75" style="23"/>
    <col min="7416" max="7416" width="5.75" style="23" customWidth="1"/>
    <col min="7417" max="7417" width="82.5" style="23" customWidth="1"/>
    <col min="7418" max="7418" width="13.5" style="23" customWidth="1"/>
    <col min="7419" max="7419" width="24" style="23" customWidth="1"/>
    <col min="7420" max="7420" width="10.25" style="23" customWidth="1"/>
    <col min="7421" max="7422" width="0" style="23" hidden="1" customWidth="1"/>
    <col min="7423" max="7671" width="8.75" style="23"/>
    <col min="7672" max="7672" width="5.75" style="23" customWidth="1"/>
    <col min="7673" max="7673" width="82.5" style="23" customWidth="1"/>
    <col min="7674" max="7674" width="13.5" style="23" customWidth="1"/>
    <col min="7675" max="7675" width="24" style="23" customWidth="1"/>
    <col min="7676" max="7676" width="10.25" style="23" customWidth="1"/>
    <col min="7677" max="7678" width="0" style="23" hidden="1" customWidth="1"/>
    <col min="7679" max="7927" width="8.75" style="23"/>
    <col min="7928" max="7928" width="5.75" style="23" customWidth="1"/>
    <col min="7929" max="7929" width="82.5" style="23" customWidth="1"/>
    <col min="7930" max="7930" width="13.5" style="23" customWidth="1"/>
    <col min="7931" max="7931" width="24" style="23" customWidth="1"/>
    <col min="7932" max="7932" width="10.25" style="23" customWidth="1"/>
    <col min="7933" max="7934" width="0" style="23" hidden="1" customWidth="1"/>
    <col min="7935" max="8183" width="8.75" style="23"/>
    <col min="8184" max="8184" width="5.75" style="23" customWidth="1"/>
    <col min="8185" max="8185" width="82.5" style="23" customWidth="1"/>
    <col min="8186" max="8186" width="13.5" style="23" customWidth="1"/>
    <col min="8187" max="8187" width="24" style="23" customWidth="1"/>
    <col min="8188" max="8188" width="10.25" style="23" customWidth="1"/>
    <col min="8189" max="8190" width="0" style="23" hidden="1" customWidth="1"/>
    <col min="8191" max="8439" width="8.75" style="23"/>
    <col min="8440" max="8440" width="5.75" style="23" customWidth="1"/>
    <col min="8441" max="8441" width="82.5" style="23" customWidth="1"/>
    <col min="8442" max="8442" width="13.5" style="23" customWidth="1"/>
    <col min="8443" max="8443" width="24" style="23" customWidth="1"/>
    <col min="8444" max="8444" width="10.25" style="23" customWidth="1"/>
    <col min="8445" max="8446" width="0" style="23" hidden="1" customWidth="1"/>
    <col min="8447" max="8695" width="8.75" style="23"/>
    <col min="8696" max="8696" width="5.75" style="23" customWidth="1"/>
    <col min="8697" max="8697" width="82.5" style="23" customWidth="1"/>
    <col min="8698" max="8698" width="13.5" style="23" customWidth="1"/>
    <col min="8699" max="8699" width="24" style="23" customWidth="1"/>
    <col min="8700" max="8700" width="10.25" style="23" customWidth="1"/>
    <col min="8701" max="8702" width="0" style="23" hidden="1" customWidth="1"/>
    <col min="8703" max="8951" width="8.75" style="23"/>
    <col min="8952" max="8952" width="5.75" style="23" customWidth="1"/>
    <col min="8953" max="8953" width="82.5" style="23" customWidth="1"/>
    <col min="8954" max="8954" width="13.5" style="23" customWidth="1"/>
    <col min="8955" max="8955" width="24" style="23" customWidth="1"/>
    <col min="8956" max="8956" width="10.25" style="23" customWidth="1"/>
    <col min="8957" max="8958" width="0" style="23" hidden="1" customWidth="1"/>
    <col min="8959" max="9207" width="8.75" style="23"/>
    <col min="9208" max="9208" width="5.75" style="23" customWidth="1"/>
    <col min="9209" max="9209" width="82.5" style="23" customWidth="1"/>
    <col min="9210" max="9210" width="13.5" style="23" customWidth="1"/>
    <col min="9211" max="9211" width="24" style="23" customWidth="1"/>
    <col min="9212" max="9212" width="10.25" style="23" customWidth="1"/>
    <col min="9213" max="9214" width="0" style="23" hidden="1" customWidth="1"/>
    <col min="9215" max="9463" width="8.75" style="23"/>
    <col min="9464" max="9464" width="5.75" style="23" customWidth="1"/>
    <col min="9465" max="9465" width="82.5" style="23" customWidth="1"/>
    <col min="9466" max="9466" width="13.5" style="23" customWidth="1"/>
    <col min="9467" max="9467" width="24" style="23" customWidth="1"/>
    <col min="9468" max="9468" width="10.25" style="23" customWidth="1"/>
    <col min="9469" max="9470" width="0" style="23" hidden="1" customWidth="1"/>
    <col min="9471" max="9719" width="8.75" style="23"/>
    <col min="9720" max="9720" width="5.75" style="23" customWidth="1"/>
    <col min="9721" max="9721" width="82.5" style="23" customWidth="1"/>
    <col min="9722" max="9722" width="13.5" style="23" customWidth="1"/>
    <col min="9723" max="9723" width="24" style="23" customWidth="1"/>
    <col min="9724" max="9724" width="10.25" style="23" customWidth="1"/>
    <col min="9725" max="9726" width="0" style="23" hidden="1" customWidth="1"/>
    <col min="9727" max="9975" width="8.75" style="23"/>
    <col min="9976" max="9976" width="5.75" style="23" customWidth="1"/>
    <col min="9977" max="9977" width="82.5" style="23" customWidth="1"/>
    <col min="9978" max="9978" width="13.5" style="23" customWidth="1"/>
    <col min="9979" max="9979" width="24" style="23" customWidth="1"/>
    <col min="9980" max="9980" width="10.25" style="23" customWidth="1"/>
    <col min="9981" max="9982" width="0" style="23" hidden="1" customWidth="1"/>
    <col min="9983" max="10231" width="8.75" style="23"/>
    <col min="10232" max="10232" width="5.75" style="23" customWidth="1"/>
    <col min="10233" max="10233" width="82.5" style="23" customWidth="1"/>
    <col min="10234" max="10234" width="13.5" style="23" customWidth="1"/>
    <col min="10235" max="10235" width="24" style="23" customWidth="1"/>
    <col min="10236" max="10236" width="10.25" style="23" customWidth="1"/>
    <col min="10237" max="10238" width="0" style="23" hidden="1" customWidth="1"/>
    <col min="10239" max="10487" width="8.75" style="23"/>
    <col min="10488" max="10488" width="5.75" style="23" customWidth="1"/>
    <col min="10489" max="10489" width="82.5" style="23" customWidth="1"/>
    <col min="10490" max="10490" width="13.5" style="23" customWidth="1"/>
    <col min="10491" max="10491" width="24" style="23" customWidth="1"/>
    <col min="10492" max="10492" width="10.25" style="23" customWidth="1"/>
    <col min="10493" max="10494" width="0" style="23" hidden="1" customWidth="1"/>
    <col min="10495" max="10743" width="8.75" style="23"/>
    <col min="10744" max="10744" width="5.75" style="23" customWidth="1"/>
    <col min="10745" max="10745" width="82.5" style="23" customWidth="1"/>
    <col min="10746" max="10746" width="13.5" style="23" customWidth="1"/>
    <col min="10747" max="10747" width="24" style="23" customWidth="1"/>
    <col min="10748" max="10748" width="10.25" style="23" customWidth="1"/>
    <col min="10749" max="10750" width="0" style="23" hidden="1" customWidth="1"/>
    <col min="10751" max="10999" width="8.75" style="23"/>
    <col min="11000" max="11000" width="5.75" style="23" customWidth="1"/>
    <col min="11001" max="11001" width="82.5" style="23" customWidth="1"/>
    <col min="11002" max="11002" width="13.5" style="23" customWidth="1"/>
    <col min="11003" max="11003" width="24" style="23" customWidth="1"/>
    <col min="11004" max="11004" width="10.25" style="23" customWidth="1"/>
    <col min="11005" max="11006" width="0" style="23" hidden="1" customWidth="1"/>
    <col min="11007" max="11255" width="8.75" style="23"/>
    <col min="11256" max="11256" width="5.75" style="23" customWidth="1"/>
    <col min="11257" max="11257" width="82.5" style="23" customWidth="1"/>
    <col min="11258" max="11258" width="13.5" style="23" customWidth="1"/>
    <col min="11259" max="11259" width="24" style="23" customWidth="1"/>
    <col min="11260" max="11260" width="10.25" style="23" customWidth="1"/>
    <col min="11261" max="11262" width="0" style="23" hidden="1" customWidth="1"/>
    <col min="11263" max="11511" width="8.75" style="23"/>
    <col min="11512" max="11512" width="5.75" style="23" customWidth="1"/>
    <col min="11513" max="11513" width="82.5" style="23" customWidth="1"/>
    <col min="11514" max="11514" width="13.5" style="23" customWidth="1"/>
    <col min="11515" max="11515" width="24" style="23" customWidth="1"/>
    <col min="11516" max="11516" width="10.25" style="23" customWidth="1"/>
    <col min="11517" max="11518" width="0" style="23" hidden="1" customWidth="1"/>
    <col min="11519" max="11767" width="8.75" style="23"/>
    <col min="11768" max="11768" width="5.75" style="23" customWidth="1"/>
    <col min="11769" max="11769" width="82.5" style="23" customWidth="1"/>
    <col min="11770" max="11770" width="13.5" style="23" customWidth="1"/>
    <col min="11771" max="11771" width="24" style="23" customWidth="1"/>
    <col min="11772" max="11772" width="10.25" style="23" customWidth="1"/>
    <col min="11773" max="11774" width="0" style="23" hidden="1" customWidth="1"/>
    <col min="11775" max="12023" width="8.75" style="23"/>
    <col min="12024" max="12024" width="5.75" style="23" customWidth="1"/>
    <col min="12025" max="12025" width="82.5" style="23" customWidth="1"/>
    <col min="12026" max="12026" width="13.5" style="23" customWidth="1"/>
    <col min="12027" max="12027" width="24" style="23" customWidth="1"/>
    <col min="12028" max="12028" width="10.25" style="23" customWidth="1"/>
    <col min="12029" max="12030" width="0" style="23" hidden="1" customWidth="1"/>
    <col min="12031" max="12279" width="8.75" style="23"/>
    <col min="12280" max="12280" width="5.75" style="23" customWidth="1"/>
    <col min="12281" max="12281" width="82.5" style="23" customWidth="1"/>
    <col min="12282" max="12282" width="13.5" style="23" customWidth="1"/>
    <col min="12283" max="12283" width="24" style="23" customWidth="1"/>
    <col min="12284" max="12284" width="10.25" style="23" customWidth="1"/>
    <col min="12285" max="12286" width="0" style="23" hidden="1" customWidth="1"/>
    <col min="12287" max="12535" width="8.75" style="23"/>
    <col min="12536" max="12536" width="5.75" style="23" customWidth="1"/>
    <col min="12537" max="12537" width="82.5" style="23" customWidth="1"/>
    <col min="12538" max="12538" width="13.5" style="23" customWidth="1"/>
    <col min="12539" max="12539" width="24" style="23" customWidth="1"/>
    <col min="12540" max="12540" width="10.25" style="23" customWidth="1"/>
    <col min="12541" max="12542" width="0" style="23" hidden="1" customWidth="1"/>
    <col min="12543" max="12791" width="8.75" style="23"/>
    <col min="12792" max="12792" width="5.75" style="23" customWidth="1"/>
    <col min="12793" max="12793" width="82.5" style="23" customWidth="1"/>
    <col min="12794" max="12794" width="13.5" style="23" customWidth="1"/>
    <col min="12795" max="12795" width="24" style="23" customWidth="1"/>
    <col min="12796" max="12796" width="10.25" style="23" customWidth="1"/>
    <col min="12797" max="12798" width="0" style="23" hidden="1" customWidth="1"/>
    <col min="12799" max="13047" width="8.75" style="23"/>
    <col min="13048" max="13048" width="5.75" style="23" customWidth="1"/>
    <col min="13049" max="13049" width="82.5" style="23" customWidth="1"/>
    <col min="13050" max="13050" width="13.5" style="23" customWidth="1"/>
    <col min="13051" max="13051" width="24" style="23" customWidth="1"/>
    <col min="13052" max="13052" width="10.25" style="23" customWidth="1"/>
    <col min="13053" max="13054" width="0" style="23" hidden="1" customWidth="1"/>
    <col min="13055" max="13303" width="8.75" style="23"/>
    <col min="13304" max="13304" width="5.75" style="23" customWidth="1"/>
    <col min="13305" max="13305" width="82.5" style="23" customWidth="1"/>
    <col min="13306" max="13306" width="13.5" style="23" customWidth="1"/>
    <col min="13307" max="13307" width="24" style="23" customWidth="1"/>
    <col min="13308" max="13308" width="10.25" style="23" customWidth="1"/>
    <col min="13309" max="13310" width="0" style="23" hidden="1" customWidth="1"/>
    <col min="13311" max="13559" width="8.75" style="23"/>
    <col min="13560" max="13560" width="5.75" style="23" customWidth="1"/>
    <col min="13561" max="13561" width="82.5" style="23" customWidth="1"/>
    <col min="13562" max="13562" width="13.5" style="23" customWidth="1"/>
    <col min="13563" max="13563" width="24" style="23" customWidth="1"/>
    <col min="13564" max="13564" width="10.25" style="23" customWidth="1"/>
    <col min="13565" max="13566" width="0" style="23" hidden="1" customWidth="1"/>
    <col min="13567" max="13815" width="8.75" style="23"/>
    <col min="13816" max="13816" width="5.75" style="23" customWidth="1"/>
    <col min="13817" max="13817" width="82.5" style="23" customWidth="1"/>
    <col min="13818" max="13818" width="13.5" style="23" customWidth="1"/>
    <col min="13819" max="13819" width="24" style="23" customWidth="1"/>
    <col min="13820" max="13820" width="10.25" style="23" customWidth="1"/>
    <col min="13821" max="13822" width="0" style="23" hidden="1" customWidth="1"/>
    <col min="13823" max="14071" width="8.75" style="23"/>
    <col min="14072" max="14072" width="5.75" style="23" customWidth="1"/>
    <col min="14073" max="14073" width="82.5" style="23" customWidth="1"/>
    <col min="14074" max="14074" width="13.5" style="23" customWidth="1"/>
    <col min="14075" max="14075" width="24" style="23" customWidth="1"/>
    <col min="14076" max="14076" width="10.25" style="23" customWidth="1"/>
    <col min="14077" max="14078" width="0" style="23" hidden="1" customWidth="1"/>
    <col min="14079" max="14327" width="8.75" style="23"/>
    <col min="14328" max="14328" width="5.75" style="23" customWidth="1"/>
    <col min="14329" max="14329" width="82.5" style="23" customWidth="1"/>
    <col min="14330" max="14330" width="13.5" style="23" customWidth="1"/>
    <col min="14331" max="14331" width="24" style="23" customWidth="1"/>
    <col min="14332" max="14332" width="10.25" style="23" customWidth="1"/>
    <col min="14333" max="14334" width="0" style="23" hidden="1" customWidth="1"/>
    <col min="14335" max="14583" width="8.75" style="23"/>
    <col min="14584" max="14584" width="5.75" style="23" customWidth="1"/>
    <col min="14585" max="14585" width="82.5" style="23" customWidth="1"/>
    <col min="14586" max="14586" width="13.5" style="23" customWidth="1"/>
    <col min="14587" max="14587" width="24" style="23" customWidth="1"/>
    <col min="14588" max="14588" width="10.25" style="23" customWidth="1"/>
    <col min="14589" max="14590" width="0" style="23" hidden="1" customWidth="1"/>
    <col min="14591" max="14839" width="8.75" style="23"/>
    <col min="14840" max="14840" width="5.75" style="23" customWidth="1"/>
    <col min="14841" max="14841" width="82.5" style="23" customWidth="1"/>
    <col min="14842" max="14842" width="13.5" style="23" customWidth="1"/>
    <col min="14843" max="14843" width="24" style="23" customWidth="1"/>
    <col min="14844" max="14844" width="10.25" style="23" customWidth="1"/>
    <col min="14845" max="14846" width="0" style="23" hidden="1" customWidth="1"/>
    <col min="14847" max="15095" width="8.75" style="23"/>
    <col min="15096" max="15096" width="5.75" style="23" customWidth="1"/>
    <col min="15097" max="15097" width="82.5" style="23" customWidth="1"/>
    <col min="15098" max="15098" width="13.5" style="23" customWidth="1"/>
    <col min="15099" max="15099" width="24" style="23" customWidth="1"/>
    <col min="15100" max="15100" width="10.25" style="23" customWidth="1"/>
    <col min="15101" max="15102" width="0" style="23" hidden="1" customWidth="1"/>
    <col min="15103" max="15351" width="8.75" style="23"/>
    <col min="15352" max="15352" width="5.75" style="23" customWidth="1"/>
    <col min="15353" max="15353" width="82.5" style="23" customWidth="1"/>
    <col min="15354" max="15354" width="13.5" style="23" customWidth="1"/>
    <col min="15355" max="15355" width="24" style="23" customWidth="1"/>
    <col min="15356" max="15356" width="10.25" style="23" customWidth="1"/>
    <col min="15357" max="15358" width="0" style="23" hidden="1" customWidth="1"/>
    <col min="15359" max="15607" width="8.75" style="23"/>
    <col min="15608" max="15608" width="5.75" style="23" customWidth="1"/>
    <col min="15609" max="15609" width="82.5" style="23" customWidth="1"/>
    <col min="15610" max="15610" width="13.5" style="23" customWidth="1"/>
    <col min="15611" max="15611" width="24" style="23" customWidth="1"/>
    <col min="15612" max="15612" width="10.25" style="23" customWidth="1"/>
    <col min="15613" max="15614" width="0" style="23" hidden="1" customWidth="1"/>
    <col min="15615" max="15863" width="8.75" style="23"/>
    <col min="15864" max="15864" width="5.75" style="23" customWidth="1"/>
    <col min="15865" max="15865" width="82.5" style="23" customWidth="1"/>
    <col min="15866" max="15866" width="13.5" style="23" customWidth="1"/>
    <col min="15867" max="15867" width="24" style="23" customWidth="1"/>
    <col min="15868" max="15868" width="10.25" style="23" customWidth="1"/>
    <col min="15869" max="15870" width="0" style="23" hidden="1" customWidth="1"/>
    <col min="15871" max="16119" width="8.75" style="23"/>
    <col min="16120" max="16120" width="5.75" style="23" customWidth="1"/>
    <col min="16121" max="16121" width="82.5" style="23" customWidth="1"/>
    <col min="16122" max="16122" width="13.5" style="23" customWidth="1"/>
    <col min="16123" max="16123" width="24" style="23" customWidth="1"/>
    <col min="16124" max="16124" width="10.25" style="23" customWidth="1"/>
    <col min="16125" max="16126" width="0" style="23" hidden="1" customWidth="1"/>
    <col min="16127" max="16384" width="8.75" style="23"/>
  </cols>
  <sheetData>
    <row r="1" spans="1:4" ht="15.75" thickBot="1">
      <c r="A1" s="289" t="s">
        <v>9</v>
      </c>
      <c r="B1" s="289"/>
      <c r="C1" s="289"/>
      <c r="D1" s="289"/>
    </row>
    <row r="2" spans="1:4" s="25" customFormat="1" ht="15.75" thickBot="1">
      <c r="A2" s="310" t="s">
        <v>12</v>
      </c>
      <c r="B2" s="311"/>
      <c r="C2" s="311"/>
      <c r="D2" s="312"/>
    </row>
    <row r="3" spans="1:4" s="25" customFormat="1">
      <c r="A3" s="287"/>
      <c r="B3" s="287"/>
      <c r="C3" s="313"/>
      <c r="D3" s="313"/>
    </row>
    <row r="4" spans="1:4" s="25" customFormat="1">
      <c r="A4" s="314" t="s">
        <v>13</v>
      </c>
      <c r="B4" s="314"/>
      <c r="C4" s="315" t="s">
        <v>490</v>
      </c>
      <c r="D4" s="315"/>
    </row>
    <row r="5" spans="1:4" s="25" customFormat="1">
      <c r="A5" s="314" t="s">
        <v>14</v>
      </c>
      <c r="B5" s="314"/>
      <c r="C5" s="316" t="s">
        <v>15</v>
      </c>
      <c r="D5" s="316"/>
    </row>
    <row r="6" spans="1:4" s="25" customFormat="1">
      <c r="A6" s="314" t="s">
        <v>16</v>
      </c>
      <c r="B6" s="314"/>
      <c r="C6" s="347" t="s">
        <v>410</v>
      </c>
      <c r="D6" s="347"/>
    </row>
    <row r="7" spans="1:4" s="25" customFormat="1">
      <c r="A7" s="317" t="s">
        <v>17</v>
      </c>
      <c r="B7" s="317"/>
      <c r="C7" s="347" t="s">
        <v>411</v>
      </c>
      <c r="D7" s="347"/>
    </row>
    <row r="8" spans="1:4" s="25" customFormat="1">
      <c r="A8" s="314" t="s">
        <v>18</v>
      </c>
      <c r="B8" s="314"/>
      <c r="C8" s="316">
        <v>12</v>
      </c>
      <c r="D8" s="316"/>
    </row>
    <row r="9" spans="1:4" s="25" customFormat="1">
      <c r="A9" s="39"/>
      <c r="B9" s="39"/>
      <c r="C9" s="6"/>
      <c r="D9" s="6"/>
    </row>
    <row r="10" spans="1:4" s="25" customFormat="1">
      <c r="A10" s="320" t="s">
        <v>19</v>
      </c>
      <c r="B10" s="320"/>
      <c r="C10" s="320" t="s">
        <v>84</v>
      </c>
      <c r="D10" s="320"/>
    </row>
    <row r="11" spans="1:4" s="25" customFormat="1">
      <c r="A11" s="306" t="s">
        <v>463</v>
      </c>
      <c r="B11" s="306"/>
      <c r="C11" s="321" t="s">
        <v>464</v>
      </c>
      <c r="D11" s="306"/>
    </row>
    <row r="12" spans="1:4" s="25" customFormat="1">
      <c r="A12" s="4"/>
      <c r="B12" s="4"/>
      <c r="C12" s="5"/>
      <c r="D12" s="6"/>
    </row>
    <row r="13" spans="1:4" s="25" customFormat="1">
      <c r="A13" s="322" t="s">
        <v>86</v>
      </c>
      <c r="B13" s="322"/>
      <c r="C13" s="322"/>
      <c r="D13" s="322"/>
    </row>
    <row r="14" spans="1:4">
      <c r="A14" s="76">
        <v>1</v>
      </c>
      <c r="B14" s="77" t="s">
        <v>20</v>
      </c>
      <c r="C14" s="76"/>
      <c r="D14" s="78" t="s">
        <v>21</v>
      </c>
    </row>
    <row r="15" spans="1:4">
      <c r="A15" s="79" t="s">
        <v>128</v>
      </c>
      <c r="B15" s="66" t="s">
        <v>22</v>
      </c>
      <c r="C15" s="80"/>
      <c r="D15" s="138">
        <f>13.76*220</f>
        <v>3027.2</v>
      </c>
    </row>
    <row r="16" spans="1:4">
      <c r="A16" s="79" t="s">
        <v>130</v>
      </c>
      <c r="B16" s="66" t="s">
        <v>23</v>
      </c>
      <c r="C16" s="80"/>
      <c r="D16" s="81">
        <v>0</v>
      </c>
    </row>
    <row r="17" spans="1:4">
      <c r="A17" s="79" t="s">
        <v>192</v>
      </c>
      <c r="B17" s="66" t="s">
        <v>24</v>
      </c>
      <c r="C17" s="80"/>
      <c r="D17" s="81">
        <v>0</v>
      </c>
    </row>
    <row r="18" spans="1:4">
      <c r="A18" s="79" t="s">
        <v>193</v>
      </c>
      <c r="B18" s="66" t="s">
        <v>354</v>
      </c>
      <c r="C18" s="80"/>
      <c r="D18" s="81">
        <f>(D15*C18)</f>
        <v>0</v>
      </c>
    </row>
    <row r="19" spans="1:4">
      <c r="A19" s="79" t="s">
        <v>194</v>
      </c>
      <c r="B19" s="66" t="s">
        <v>195</v>
      </c>
      <c r="C19" s="80"/>
      <c r="D19" s="81">
        <f>(D16*C19)</f>
        <v>0</v>
      </c>
    </row>
    <row r="20" spans="1:4">
      <c r="A20" s="79" t="s">
        <v>196</v>
      </c>
      <c r="B20" s="66" t="s">
        <v>25</v>
      </c>
      <c r="C20" s="80"/>
      <c r="D20" s="81">
        <v>0</v>
      </c>
    </row>
    <row r="21" spans="1:4">
      <c r="A21" s="79" t="s">
        <v>197</v>
      </c>
      <c r="B21" s="66" t="s">
        <v>85</v>
      </c>
      <c r="C21" s="80"/>
      <c r="D21" s="81">
        <v>0</v>
      </c>
    </row>
    <row r="22" spans="1:4">
      <c r="A22" s="79" t="s">
        <v>198</v>
      </c>
      <c r="B22" s="66" t="s">
        <v>26</v>
      </c>
      <c r="C22" s="80"/>
      <c r="D22" s="81">
        <v>0</v>
      </c>
    </row>
    <row r="23" spans="1:4">
      <c r="A23" s="79" t="s">
        <v>199</v>
      </c>
      <c r="B23" s="66" t="s">
        <v>27</v>
      </c>
      <c r="C23" s="80"/>
      <c r="D23" s="81">
        <v>0</v>
      </c>
    </row>
    <row r="24" spans="1:4">
      <c r="A24" s="79" t="s">
        <v>200</v>
      </c>
      <c r="B24" s="66" t="s">
        <v>28</v>
      </c>
      <c r="C24" s="80"/>
      <c r="D24" s="81">
        <f>SUM(D15:D23)*C24</f>
        <v>0</v>
      </c>
    </row>
    <row r="25" spans="1:4">
      <c r="A25" s="307" t="s">
        <v>29</v>
      </c>
      <c r="B25" s="307"/>
      <c r="C25" s="83"/>
      <c r="D25" s="78">
        <f>SUM(D15:D24)</f>
        <v>3027.2</v>
      </c>
    </row>
    <row r="27" spans="1:4" s="25" customFormat="1">
      <c r="A27" s="306" t="s">
        <v>87</v>
      </c>
      <c r="B27" s="306"/>
      <c r="C27" s="306"/>
      <c r="D27" s="306"/>
    </row>
    <row r="28" spans="1:4" ht="30">
      <c r="A28" s="76" t="s">
        <v>88</v>
      </c>
      <c r="B28" s="77" t="s">
        <v>104</v>
      </c>
      <c r="C28" s="76" t="s">
        <v>11</v>
      </c>
      <c r="D28" s="76" t="s">
        <v>37</v>
      </c>
    </row>
    <row r="29" spans="1:4" s="25" customFormat="1">
      <c r="A29" s="79" t="s">
        <v>201</v>
      </c>
      <c r="B29" s="66" t="s">
        <v>45</v>
      </c>
      <c r="C29" s="84">
        <v>8.3299999999999999E-2</v>
      </c>
      <c r="D29" s="85">
        <f>($D$25*C29)</f>
        <v>252.16575999999998</v>
      </c>
    </row>
    <row r="30" spans="1:4">
      <c r="A30" s="79" t="s">
        <v>202</v>
      </c>
      <c r="B30" s="86" t="s">
        <v>52</v>
      </c>
      <c r="C30" s="87">
        <v>0.1111</v>
      </c>
      <c r="D30" s="85">
        <f>($D$25*C30)</f>
        <v>336.32191999999998</v>
      </c>
    </row>
    <row r="31" spans="1:4">
      <c r="A31" s="79" t="s">
        <v>203</v>
      </c>
      <c r="B31" s="86" t="s">
        <v>101</v>
      </c>
      <c r="C31" s="87">
        <f>C43*(C29+C30)</f>
        <v>7.1539200000000025E-2</v>
      </c>
      <c r="D31" s="85">
        <f>($D$25*C31)</f>
        <v>216.56346624000005</v>
      </c>
    </row>
    <row r="32" spans="1:4">
      <c r="A32" s="307" t="s">
        <v>107</v>
      </c>
      <c r="B32" s="307"/>
      <c r="C32" s="83"/>
      <c r="D32" s="78">
        <f>SUM(D29:D31)</f>
        <v>805.05114623999998</v>
      </c>
    </row>
    <row r="34" spans="1:4">
      <c r="A34" s="76" t="s">
        <v>89</v>
      </c>
      <c r="B34" s="77" t="s">
        <v>105</v>
      </c>
      <c r="C34" s="76" t="s">
        <v>11</v>
      </c>
      <c r="D34" s="76" t="s">
        <v>37</v>
      </c>
    </row>
    <row r="35" spans="1:4" s="25" customFormat="1">
      <c r="A35" s="79" t="s">
        <v>204</v>
      </c>
      <c r="B35" s="86" t="s">
        <v>38</v>
      </c>
      <c r="C35" s="89">
        <v>0.2</v>
      </c>
      <c r="D35" s="85">
        <f>(D25*C35)</f>
        <v>605.43999999999994</v>
      </c>
    </row>
    <row r="36" spans="1:4" s="25" customFormat="1">
      <c r="A36" s="79" t="s">
        <v>205</v>
      </c>
      <c r="B36" s="86" t="s">
        <v>39</v>
      </c>
      <c r="C36" s="89">
        <v>0.08</v>
      </c>
      <c r="D36" s="85">
        <f>(D25*C36)</f>
        <v>242.17599999999999</v>
      </c>
    </row>
    <row r="37" spans="1:4" s="25" customFormat="1">
      <c r="A37" s="79" t="s">
        <v>206</v>
      </c>
      <c r="B37" s="86" t="s">
        <v>40</v>
      </c>
      <c r="C37" s="89">
        <v>1.4999999999999999E-2</v>
      </c>
      <c r="D37" s="85">
        <f>(D25*C37)</f>
        <v>45.407999999999994</v>
      </c>
    </row>
    <row r="38" spans="1:4" s="25" customFormat="1">
      <c r="A38" s="79" t="s">
        <v>207</v>
      </c>
      <c r="B38" s="86" t="s">
        <v>41</v>
      </c>
      <c r="C38" s="89">
        <v>0.01</v>
      </c>
      <c r="D38" s="85">
        <f>(D25*C38)</f>
        <v>30.271999999999998</v>
      </c>
    </row>
    <row r="39" spans="1:4" s="25" customFormat="1">
      <c r="A39" s="79" t="s">
        <v>208</v>
      </c>
      <c r="B39" s="86" t="s">
        <v>42</v>
      </c>
      <c r="C39" s="89">
        <v>6.0000000000000001E-3</v>
      </c>
      <c r="D39" s="85">
        <f>(D25*C39)</f>
        <v>18.1632</v>
      </c>
    </row>
    <row r="40" spans="1:4" s="25" customFormat="1">
      <c r="A40" s="79" t="s">
        <v>209</v>
      </c>
      <c r="B40" s="86" t="s">
        <v>43</v>
      </c>
      <c r="C40" s="89">
        <v>2E-3</v>
      </c>
      <c r="D40" s="85">
        <f>(D25*C40)</f>
        <v>6.0543999999999993</v>
      </c>
    </row>
    <row r="41" spans="1:4" s="25" customFormat="1">
      <c r="A41" s="79" t="s">
        <v>210</v>
      </c>
      <c r="B41" s="86" t="s">
        <v>44</v>
      </c>
      <c r="C41" s="89">
        <v>2.5000000000000001E-2</v>
      </c>
      <c r="D41" s="85">
        <f>(D25*C41)</f>
        <v>75.679999999999993</v>
      </c>
    </row>
    <row r="42" spans="1:4" s="25" customFormat="1">
      <c r="A42" s="79" t="s">
        <v>211</v>
      </c>
      <c r="B42" s="86" t="s">
        <v>102</v>
      </c>
      <c r="C42" s="89">
        <v>0.03</v>
      </c>
      <c r="D42" s="85">
        <f>(D25*C42)</f>
        <v>90.815999999999988</v>
      </c>
    </row>
    <row r="43" spans="1:4">
      <c r="A43" s="307" t="s">
        <v>107</v>
      </c>
      <c r="B43" s="307"/>
      <c r="C43" s="83">
        <f>SUM(C35:C42)</f>
        <v>0.3680000000000001</v>
      </c>
      <c r="D43" s="78">
        <f>SUM(D35:D42)</f>
        <v>1114.0095999999999</v>
      </c>
    </row>
    <row r="45" spans="1:4">
      <c r="A45" s="76" t="s">
        <v>90</v>
      </c>
      <c r="B45" s="77" t="s">
        <v>106</v>
      </c>
      <c r="C45" s="76"/>
      <c r="D45" s="78" t="s">
        <v>21</v>
      </c>
    </row>
    <row r="46" spans="1:4">
      <c r="A46" s="79" t="s">
        <v>212</v>
      </c>
      <c r="B46" s="66" t="s">
        <v>30</v>
      </c>
      <c r="C46" s="90">
        <v>6.25</v>
      </c>
      <c r="D46" s="81">
        <f>(C46*50.16)-(3%*D15)</f>
        <v>222.68400000000003</v>
      </c>
    </row>
    <row r="47" spans="1:4">
      <c r="A47" s="79" t="s">
        <v>214</v>
      </c>
      <c r="B47" s="66" t="s">
        <v>31</v>
      </c>
      <c r="C47" s="90">
        <v>400</v>
      </c>
      <c r="D47" s="81">
        <f>C47</f>
        <v>400</v>
      </c>
    </row>
    <row r="48" spans="1:4">
      <c r="A48" s="79" t="s">
        <v>216</v>
      </c>
      <c r="B48" s="66" t="s">
        <v>32</v>
      </c>
      <c r="C48" s="90"/>
      <c r="D48" s="81">
        <f>C48</f>
        <v>0</v>
      </c>
    </row>
    <row r="49" spans="1:4">
      <c r="A49" s="79" t="s">
        <v>217</v>
      </c>
      <c r="B49" s="66" t="s">
        <v>33</v>
      </c>
      <c r="C49" s="90"/>
      <c r="D49" s="81">
        <f>C49</f>
        <v>0</v>
      </c>
    </row>
    <row r="50" spans="1:4">
      <c r="A50" s="79" t="s">
        <v>218</v>
      </c>
      <c r="B50" s="66" t="s">
        <v>34</v>
      </c>
      <c r="C50" s="90"/>
      <c r="D50" s="81">
        <v>17.329999999999998</v>
      </c>
    </row>
    <row r="51" spans="1:4">
      <c r="A51" s="79" t="s">
        <v>219</v>
      </c>
      <c r="B51" s="66" t="s">
        <v>35</v>
      </c>
      <c r="C51" s="90"/>
      <c r="D51" s="81">
        <f>C51</f>
        <v>0</v>
      </c>
    </row>
    <row r="52" spans="1:4">
      <c r="A52" s="79" t="s">
        <v>220</v>
      </c>
      <c r="B52" s="66" t="s">
        <v>221</v>
      </c>
      <c r="C52" s="90">
        <v>400</v>
      </c>
      <c r="D52" s="81">
        <f>C52/12</f>
        <v>33.333333333333336</v>
      </c>
    </row>
    <row r="53" spans="1:4">
      <c r="A53" s="79" t="s">
        <v>223</v>
      </c>
      <c r="B53" s="66" t="s">
        <v>378</v>
      </c>
      <c r="C53" s="90">
        <v>28</v>
      </c>
      <c r="D53" s="81">
        <f>(C53*25.08)*0.8</f>
        <v>561.79200000000003</v>
      </c>
    </row>
    <row r="54" spans="1:4">
      <c r="A54" s="79" t="s">
        <v>225</v>
      </c>
      <c r="B54" s="66" t="s">
        <v>226</v>
      </c>
      <c r="C54" s="156">
        <v>9.2499999999999999E-2</v>
      </c>
      <c r="D54" s="81">
        <f>-(D46+D47+D52)*C54</f>
        <v>-60.681603333333335</v>
      </c>
    </row>
    <row r="55" spans="1:4">
      <c r="A55" s="307" t="s">
        <v>107</v>
      </c>
      <c r="B55" s="307"/>
      <c r="C55" s="83"/>
      <c r="D55" s="78">
        <f>SUM(D46:D54)</f>
        <v>1174.4577300000001</v>
      </c>
    </row>
    <row r="57" spans="1:4">
      <c r="A57" s="304" t="s">
        <v>93</v>
      </c>
      <c r="B57" s="304"/>
      <c r="C57" s="304"/>
      <c r="D57" s="304"/>
    </row>
    <row r="58" spans="1:4">
      <c r="A58" s="79" t="s">
        <v>88</v>
      </c>
      <c r="B58" s="66" t="s">
        <v>92</v>
      </c>
      <c r="C58" s="302">
        <f>D32</f>
        <v>805.05114623999998</v>
      </c>
      <c r="D58" s="302"/>
    </row>
    <row r="59" spans="1:4">
      <c r="A59" s="79" t="s">
        <v>89</v>
      </c>
      <c r="B59" s="66" t="s">
        <v>94</v>
      </c>
      <c r="C59" s="302">
        <f>D43</f>
        <v>1114.0095999999999</v>
      </c>
      <c r="D59" s="302"/>
    </row>
    <row r="60" spans="1:4">
      <c r="A60" s="79" t="s">
        <v>90</v>
      </c>
      <c r="B60" s="66" t="s">
        <v>91</v>
      </c>
      <c r="C60" s="308">
        <f>D55</f>
        <v>1174.4577300000001</v>
      </c>
      <c r="D60" s="308"/>
    </row>
    <row r="61" spans="1:4">
      <c r="A61" s="304" t="s">
        <v>95</v>
      </c>
      <c r="B61" s="304"/>
      <c r="C61" s="305">
        <f>SUM(C58:D60)</f>
        <v>3093.5184762399999</v>
      </c>
      <c r="D61" s="305"/>
    </row>
    <row r="63" spans="1:4" s="25" customFormat="1">
      <c r="A63" s="306" t="s">
        <v>96</v>
      </c>
      <c r="B63" s="306"/>
      <c r="C63" s="306"/>
      <c r="D63" s="306"/>
    </row>
    <row r="64" spans="1:4">
      <c r="A64" s="76">
        <v>3</v>
      </c>
      <c r="B64" s="77" t="s">
        <v>98</v>
      </c>
      <c r="C64" s="94" t="s">
        <v>11</v>
      </c>
      <c r="D64" s="76" t="s">
        <v>37</v>
      </c>
    </row>
    <row r="65" spans="1:4" s="25" customFormat="1">
      <c r="A65" s="79" t="s">
        <v>131</v>
      </c>
      <c r="B65" s="96" t="s">
        <v>51</v>
      </c>
      <c r="C65" s="97">
        <v>4.1700000000000001E-3</v>
      </c>
      <c r="D65" s="85">
        <f t="shared" ref="D65:D70" si="0">($D$25*C65)</f>
        <v>12.623424</v>
      </c>
    </row>
    <row r="66" spans="1:4" s="25" customFormat="1">
      <c r="A66" s="79" t="s">
        <v>176</v>
      </c>
      <c r="B66" s="96" t="s">
        <v>53</v>
      </c>
      <c r="C66" s="97">
        <v>3.3E-4</v>
      </c>
      <c r="D66" s="85">
        <f t="shared" si="0"/>
        <v>0.99897599999999998</v>
      </c>
    </row>
    <row r="67" spans="1:4" s="25" customFormat="1" ht="30">
      <c r="A67" s="79" t="s">
        <v>233</v>
      </c>
      <c r="B67" s="96" t="s">
        <v>54</v>
      </c>
      <c r="C67" s="97"/>
      <c r="D67" s="85">
        <f t="shared" si="0"/>
        <v>0</v>
      </c>
    </row>
    <row r="68" spans="1:4" s="25" customFormat="1">
      <c r="A68" s="79" t="s">
        <v>236</v>
      </c>
      <c r="B68" s="96" t="s">
        <v>46</v>
      </c>
      <c r="C68" s="97">
        <v>1.9439999999999999E-2</v>
      </c>
      <c r="D68" s="85">
        <f t="shared" si="0"/>
        <v>58.848767999999993</v>
      </c>
    </row>
    <row r="69" spans="1:4" s="25" customFormat="1" ht="30">
      <c r="A69" s="79" t="s">
        <v>239</v>
      </c>
      <c r="B69" s="96" t="s">
        <v>97</v>
      </c>
      <c r="C69" s="97">
        <f>C43*C68</f>
        <v>7.153920000000002E-3</v>
      </c>
      <c r="D69" s="85">
        <f t="shared" si="0"/>
        <v>21.656346624000005</v>
      </c>
    </row>
    <row r="70" spans="1:4" s="25" customFormat="1">
      <c r="A70" s="79" t="s">
        <v>242</v>
      </c>
      <c r="B70" s="96" t="s">
        <v>243</v>
      </c>
      <c r="C70" s="97">
        <v>3.4389999999999997E-2</v>
      </c>
      <c r="D70" s="85">
        <f t="shared" si="0"/>
        <v>104.10540799999998</v>
      </c>
    </row>
    <row r="71" spans="1:4">
      <c r="A71" s="309" t="s">
        <v>107</v>
      </c>
      <c r="B71" s="309"/>
      <c r="C71" s="99">
        <f>SUM(C65:C70)</f>
        <v>6.5483920000000001E-2</v>
      </c>
      <c r="D71" s="100">
        <f>SUM(D65:D70)</f>
        <v>198.23292262399997</v>
      </c>
    </row>
    <row r="73" spans="1:4" s="25" customFormat="1">
      <c r="A73" s="306" t="s">
        <v>99</v>
      </c>
      <c r="B73" s="306"/>
      <c r="C73" s="306"/>
      <c r="D73" s="306"/>
    </row>
    <row r="74" spans="1:4">
      <c r="A74" s="76" t="s">
        <v>103</v>
      </c>
      <c r="B74" s="77" t="s">
        <v>247</v>
      </c>
      <c r="C74" s="94" t="s">
        <v>11</v>
      </c>
      <c r="D74" s="76" t="s">
        <v>37</v>
      </c>
    </row>
    <row r="75" spans="1:4" s="25" customFormat="1">
      <c r="A75" s="79" t="s">
        <v>248</v>
      </c>
      <c r="B75" s="66" t="s">
        <v>249</v>
      </c>
      <c r="C75" s="84">
        <v>4.15E-3</v>
      </c>
      <c r="D75" s="85">
        <f>($D$25*C75)</f>
        <v>12.56288</v>
      </c>
    </row>
    <row r="76" spans="1:4" s="25" customFormat="1">
      <c r="A76" s="79" t="s">
        <v>251</v>
      </c>
      <c r="B76" s="66" t="s">
        <v>252</v>
      </c>
      <c r="C76" s="84">
        <v>2.0000000000000001E-4</v>
      </c>
      <c r="D76" s="85">
        <f>($D$25*C76)</f>
        <v>0.60543999999999998</v>
      </c>
    </row>
    <row r="77" spans="1:4" s="25" customFormat="1">
      <c r="A77" s="79" t="s">
        <v>253</v>
      </c>
      <c r="B77" s="66" t="s">
        <v>254</v>
      </c>
      <c r="C77" s="84">
        <v>5.1000000000000004E-4</v>
      </c>
      <c r="D77" s="85">
        <f>($D$25*C77)</f>
        <v>1.5438719999999999</v>
      </c>
    </row>
    <row r="78" spans="1:4" s="25" customFormat="1" ht="30">
      <c r="A78" s="79" t="s">
        <v>255</v>
      </c>
      <c r="B78" s="66" t="s">
        <v>256</v>
      </c>
      <c r="C78" s="84">
        <v>3.8999999999999999E-4</v>
      </c>
      <c r="D78" s="85">
        <f>($D$25*C78)</f>
        <v>1.1806079999999999</v>
      </c>
    </row>
    <row r="79" spans="1:4" s="25" customFormat="1">
      <c r="A79" s="79" t="s">
        <v>257</v>
      </c>
      <c r="B79" s="66" t="s">
        <v>100</v>
      </c>
      <c r="C79" s="84"/>
      <c r="D79" s="85"/>
    </row>
    <row r="80" spans="1:4">
      <c r="A80" s="307" t="s">
        <v>107</v>
      </c>
      <c r="B80" s="307"/>
      <c r="C80" s="83">
        <f>SUM(C75:C79)</f>
        <v>5.2499999999999995E-3</v>
      </c>
      <c r="D80" s="78">
        <f>SUM(D75:D79)</f>
        <v>15.892799999999999</v>
      </c>
    </row>
    <row r="82" spans="1:4">
      <c r="A82" s="304" t="s">
        <v>258</v>
      </c>
      <c r="B82" s="304"/>
      <c r="C82" s="304"/>
      <c r="D82" s="304"/>
    </row>
    <row r="83" spans="1:4">
      <c r="A83" s="79" t="s">
        <v>103</v>
      </c>
      <c r="B83" s="66" t="s">
        <v>111</v>
      </c>
      <c r="C83" s="302">
        <f>D80</f>
        <v>15.892799999999999</v>
      </c>
      <c r="D83" s="302"/>
    </row>
    <row r="84" spans="1:4">
      <c r="A84" s="76" t="s">
        <v>95</v>
      </c>
      <c r="B84" s="76" t="s">
        <v>95</v>
      </c>
      <c r="C84" s="305">
        <f>SUM(C83:D83)</f>
        <v>15.892799999999999</v>
      </c>
      <c r="D84" s="305"/>
    </row>
    <row r="86" spans="1:4" s="25" customFormat="1">
      <c r="A86" s="306" t="s">
        <v>108</v>
      </c>
      <c r="B86" s="306"/>
      <c r="C86" s="306"/>
      <c r="D86" s="306"/>
    </row>
    <row r="87" spans="1:4">
      <c r="A87" s="76">
        <v>5</v>
      </c>
      <c r="B87" s="77" t="s">
        <v>109</v>
      </c>
      <c r="C87" s="76"/>
      <c r="D87" s="78" t="s">
        <v>21</v>
      </c>
    </row>
    <row r="88" spans="1:4">
      <c r="A88" s="79" t="s">
        <v>133</v>
      </c>
      <c r="B88" s="66" t="s">
        <v>120</v>
      </c>
      <c r="C88" s="92"/>
      <c r="D88" s="81">
        <v>61.115000000000002</v>
      </c>
    </row>
    <row r="89" spans="1:4">
      <c r="A89" s="79" t="s">
        <v>178</v>
      </c>
      <c r="B89" s="66" t="s">
        <v>121</v>
      </c>
      <c r="C89" s="92"/>
      <c r="D89" s="81">
        <v>76.39</v>
      </c>
    </row>
    <row r="90" spans="1:4">
      <c r="A90" s="79" t="s">
        <v>259</v>
      </c>
      <c r="B90" s="66" t="s">
        <v>226</v>
      </c>
      <c r="C90" s="91">
        <v>9.2499999999999999E-2</v>
      </c>
      <c r="D90" s="81">
        <f>-(D88+D89)*C90</f>
        <v>-12.719212499999999</v>
      </c>
    </row>
    <row r="91" spans="1:4">
      <c r="A91" s="307"/>
      <c r="B91" s="307" t="s">
        <v>36</v>
      </c>
      <c r="C91" s="83"/>
      <c r="D91" s="78">
        <f>SUM(D88:D90)</f>
        <v>124.7857875</v>
      </c>
    </row>
    <row r="93" spans="1:4">
      <c r="A93" s="304" t="s">
        <v>110</v>
      </c>
      <c r="B93" s="304"/>
      <c r="C93" s="304"/>
      <c r="D93" s="304"/>
    </row>
    <row r="94" spans="1:4">
      <c r="A94" s="79">
        <v>1</v>
      </c>
      <c r="B94" s="66" t="s">
        <v>86</v>
      </c>
      <c r="C94" s="302">
        <f>D25</f>
        <v>3027.2</v>
      </c>
      <c r="D94" s="303"/>
    </row>
    <row r="95" spans="1:4" ht="30">
      <c r="A95" s="79">
        <v>2</v>
      </c>
      <c r="B95" s="66" t="s">
        <v>87</v>
      </c>
      <c r="C95" s="302">
        <f>C61</f>
        <v>3093.5184762399999</v>
      </c>
      <c r="D95" s="303"/>
    </row>
    <row r="96" spans="1:4">
      <c r="A96" s="79">
        <v>3</v>
      </c>
      <c r="B96" s="66" t="s">
        <v>96</v>
      </c>
      <c r="C96" s="302">
        <f>D71</f>
        <v>198.23292262399997</v>
      </c>
      <c r="D96" s="303"/>
    </row>
    <row r="97" spans="1:4" ht="30">
      <c r="A97" s="79">
        <v>4</v>
      </c>
      <c r="B97" s="66" t="s">
        <v>99</v>
      </c>
      <c r="C97" s="302">
        <f>C84</f>
        <v>15.892799999999999</v>
      </c>
      <c r="D97" s="303"/>
    </row>
    <row r="98" spans="1:4">
      <c r="A98" s="79">
        <v>5</v>
      </c>
      <c r="B98" s="66" t="s">
        <v>108</v>
      </c>
      <c r="C98" s="302">
        <f>D91</f>
        <v>124.7857875</v>
      </c>
      <c r="D98" s="303"/>
    </row>
    <row r="99" spans="1:4">
      <c r="A99" s="304" t="s">
        <v>95</v>
      </c>
      <c r="B99" s="304" t="s">
        <v>95</v>
      </c>
      <c r="C99" s="305">
        <f>SUM(C94:D98)</f>
        <v>6459.6299863639988</v>
      </c>
      <c r="D99" s="305">
        <f>SUM(D94:D98)</f>
        <v>0</v>
      </c>
    </row>
    <row r="101" spans="1:4" s="6" customFormat="1" ht="126.75" customHeight="1">
      <c r="A101" s="301" t="s">
        <v>260</v>
      </c>
      <c r="B101" s="301"/>
      <c r="C101" s="301"/>
      <c r="D101" s="301"/>
    </row>
    <row r="102" spans="1:4" s="6" customFormat="1">
      <c r="A102" s="181"/>
      <c r="B102" s="181"/>
      <c r="C102" s="182"/>
      <c r="D102" s="181"/>
    </row>
    <row r="103" spans="1:4" s="6" customFormat="1" ht="166.5" customHeight="1">
      <c r="A103" s="301" t="s">
        <v>261</v>
      </c>
      <c r="B103" s="301"/>
      <c r="C103" s="301"/>
      <c r="D103" s="301"/>
    </row>
    <row r="104" spans="1:4" s="6" customFormat="1">
      <c r="A104" s="181"/>
      <c r="B104" s="181"/>
      <c r="C104" s="182"/>
      <c r="D104" s="181"/>
    </row>
    <row r="105" spans="1:4" s="6" customFormat="1" ht="192" customHeight="1">
      <c r="A105" s="301" t="s">
        <v>262</v>
      </c>
      <c r="B105" s="301"/>
      <c r="C105" s="301"/>
      <c r="D105" s="301"/>
    </row>
    <row r="106" spans="1:4">
      <c r="C106" s="23"/>
    </row>
    <row r="107" spans="1:4">
      <c r="C107" s="23"/>
    </row>
    <row r="108" spans="1:4">
      <c r="C108" s="23"/>
    </row>
    <row r="109" spans="1:4">
      <c r="C109" s="23"/>
    </row>
    <row r="110" spans="1:4">
      <c r="C110" s="23"/>
    </row>
    <row r="111" spans="1:4">
      <c r="C111" s="23"/>
    </row>
    <row r="112" spans="1:4">
      <c r="C112" s="23"/>
    </row>
    <row r="113" spans="3:3">
      <c r="C113" s="23"/>
    </row>
    <row r="114" spans="3:3">
      <c r="C114" s="23"/>
    </row>
  </sheetData>
  <mergeCells count="50">
    <mergeCell ref="A1:D1"/>
    <mergeCell ref="A2:D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55:B55"/>
    <mergeCell ref="A8:B8"/>
    <mergeCell ref="C8:D8"/>
    <mergeCell ref="A10:B10"/>
    <mergeCell ref="C10:D10"/>
    <mergeCell ref="A11:B11"/>
    <mergeCell ref="C11:D11"/>
    <mergeCell ref="A13:D13"/>
    <mergeCell ref="A25:B25"/>
    <mergeCell ref="A27:D27"/>
    <mergeCell ref="A32:B32"/>
    <mergeCell ref="A43:B43"/>
    <mergeCell ref="A57:D57"/>
    <mergeCell ref="C58:D58"/>
    <mergeCell ref="C59:D59"/>
    <mergeCell ref="C60:D60"/>
    <mergeCell ref="A61:B61"/>
    <mergeCell ref="C61:D61"/>
    <mergeCell ref="C95:D95"/>
    <mergeCell ref="A63:D63"/>
    <mergeCell ref="A71:B71"/>
    <mergeCell ref="A73:D73"/>
    <mergeCell ref="A80:B80"/>
    <mergeCell ref="A82:D82"/>
    <mergeCell ref="C83:D83"/>
    <mergeCell ref="C84:D84"/>
    <mergeCell ref="A86:D86"/>
    <mergeCell ref="A91:B91"/>
    <mergeCell ref="A93:D93"/>
    <mergeCell ref="C94:D94"/>
    <mergeCell ref="A103:D103"/>
    <mergeCell ref="A105:D105"/>
    <mergeCell ref="C96:D96"/>
    <mergeCell ref="C97:D97"/>
    <mergeCell ref="C98:D98"/>
    <mergeCell ref="A99:B99"/>
    <mergeCell ref="C99:D99"/>
    <mergeCell ref="A101:D10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E113"/>
  <sheetViews>
    <sheetView showGridLines="0" zoomScaleNormal="100" workbookViewId="0">
      <selection activeCell="H24" sqref="H24"/>
    </sheetView>
  </sheetViews>
  <sheetFormatPr defaultColWidth="8.75" defaultRowHeight="15"/>
  <cols>
    <col min="1" max="1" width="5.75" style="23" customWidth="1"/>
    <col min="2" max="2" width="46.75" style="23" customWidth="1"/>
    <col min="3" max="3" width="11.125" style="22" bestFit="1" customWidth="1"/>
    <col min="4" max="4" width="15.5" style="23" bestFit="1" customWidth="1"/>
    <col min="5" max="5" width="16.75" style="23" customWidth="1"/>
    <col min="6" max="247" width="8.75" style="23"/>
    <col min="248" max="248" width="5.75" style="23" customWidth="1"/>
    <col min="249" max="249" width="82.5" style="23" customWidth="1"/>
    <col min="250" max="250" width="13.5" style="23" customWidth="1"/>
    <col min="251" max="251" width="24" style="23" customWidth="1"/>
    <col min="252" max="252" width="10.25" style="23" customWidth="1"/>
    <col min="253" max="254" width="0" style="23" hidden="1" customWidth="1"/>
    <col min="255" max="503" width="8.75" style="23"/>
    <col min="504" max="504" width="5.75" style="23" customWidth="1"/>
    <col min="505" max="505" width="82.5" style="23" customWidth="1"/>
    <col min="506" max="506" width="13.5" style="23" customWidth="1"/>
    <col min="507" max="507" width="24" style="23" customWidth="1"/>
    <col min="508" max="508" width="10.25" style="23" customWidth="1"/>
    <col min="509" max="510" width="0" style="23" hidden="1" customWidth="1"/>
    <col min="511" max="759" width="8.75" style="23"/>
    <col min="760" max="760" width="5.75" style="23" customWidth="1"/>
    <col min="761" max="761" width="82.5" style="23" customWidth="1"/>
    <col min="762" max="762" width="13.5" style="23" customWidth="1"/>
    <col min="763" max="763" width="24" style="23" customWidth="1"/>
    <col min="764" max="764" width="10.25" style="23" customWidth="1"/>
    <col min="765" max="766" width="0" style="23" hidden="1" customWidth="1"/>
    <col min="767" max="1015" width="8.75" style="23"/>
    <col min="1016" max="1016" width="5.75" style="23" customWidth="1"/>
    <col min="1017" max="1017" width="82.5" style="23" customWidth="1"/>
    <col min="1018" max="1018" width="13.5" style="23" customWidth="1"/>
    <col min="1019" max="1019" width="24" style="23" customWidth="1"/>
    <col min="1020" max="1020" width="10.25" style="23" customWidth="1"/>
    <col min="1021" max="1022" width="0" style="23" hidden="1" customWidth="1"/>
    <col min="1023" max="1271" width="8.75" style="23"/>
    <col min="1272" max="1272" width="5.75" style="23" customWidth="1"/>
    <col min="1273" max="1273" width="82.5" style="23" customWidth="1"/>
    <col min="1274" max="1274" width="13.5" style="23" customWidth="1"/>
    <col min="1275" max="1275" width="24" style="23" customWidth="1"/>
    <col min="1276" max="1276" width="10.25" style="23" customWidth="1"/>
    <col min="1277" max="1278" width="0" style="23" hidden="1" customWidth="1"/>
    <col min="1279" max="1527" width="8.75" style="23"/>
    <col min="1528" max="1528" width="5.75" style="23" customWidth="1"/>
    <col min="1529" max="1529" width="82.5" style="23" customWidth="1"/>
    <col min="1530" max="1530" width="13.5" style="23" customWidth="1"/>
    <col min="1531" max="1531" width="24" style="23" customWidth="1"/>
    <col min="1532" max="1532" width="10.25" style="23" customWidth="1"/>
    <col min="1533" max="1534" width="0" style="23" hidden="1" customWidth="1"/>
    <col min="1535" max="1783" width="8.75" style="23"/>
    <col min="1784" max="1784" width="5.75" style="23" customWidth="1"/>
    <col min="1785" max="1785" width="82.5" style="23" customWidth="1"/>
    <col min="1786" max="1786" width="13.5" style="23" customWidth="1"/>
    <col min="1787" max="1787" width="24" style="23" customWidth="1"/>
    <col min="1788" max="1788" width="10.25" style="23" customWidth="1"/>
    <col min="1789" max="1790" width="0" style="23" hidden="1" customWidth="1"/>
    <col min="1791" max="2039" width="8.75" style="23"/>
    <col min="2040" max="2040" width="5.75" style="23" customWidth="1"/>
    <col min="2041" max="2041" width="82.5" style="23" customWidth="1"/>
    <col min="2042" max="2042" width="13.5" style="23" customWidth="1"/>
    <col min="2043" max="2043" width="24" style="23" customWidth="1"/>
    <col min="2044" max="2044" width="10.25" style="23" customWidth="1"/>
    <col min="2045" max="2046" width="0" style="23" hidden="1" customWidth="1"/>
    <col min="2047" max="2295" width="8.75" style="23"/>
    <col min="2296" max="2296" width="5.75" style="23" customWidth="1"/>
    <col min="2297" max="2297" width="82.5" style="23" customWidth="1"/>
    <col min="2298" max="2298" width="13.5" style="23" customWidth="1"/>
    <col min="2299" max="2299" width="24" style="23" customWidth="1"/>
    <col min="2300" max="2300" width="10.25" style="23" customWidth="1"/>
    <col min="2301" max="2302" width="0" style="23" hidden="1" customWidth="1"/>
    <col min="2303" max="2551" width="8.75" style="23"/>
    <col min="2552" max="2552" width="5.75" style="23" customWidth="1"/>
    <col min="2553" max="2553" width="82.5" style="23" customWidth="1"/>
    <col min="2554" max="2554" width="13.5" style="23" customWidth="1"/>
    <col min="2555" max="2555" width="24" style="23" customWidth="1"/>
    <col min="2556" max="2556" width="10.25" style="23" customWidth="1"/>
    <col min="2557" max="2558" width="0" style="23" hidden="1" customWidth="1"/>
    <col min="2559" max="2807" width="8.75" style="23"/>
    <col min="2808" max="2808" width="5.75" style="23" customWidth="1"/>
    <col min="2809" max="2809" width="82.5" style="23" customWidth="1"/>
    <col min="2810" max="2810" width="13.5" style="23" customWidth="1"/>
    <col min="2811" max="2811" width="24" style="23" customWidth="1"/>
    <col min="2812" max="2812" width="10.25" style="23" customWidth="1"/>
    <col min="2813" max="2814" width="0" style="23" hidden="1" customWidth="1"/>
    <col min="2815" max="3063" width="8.75" style="23"/>
    <col min="3064" max="3064" width="5.75" style="23" customWidth="1"/>
    <col min="3065" max="3065" width="82.5" style="23" customWidth="1"/>
    <col min="3066" max="3066" width="13.5" style="23" customWidth="1"/>
    <col min="3067" max="3067" width="24" style="23" customWidth="1"/>
    <col min="3068" max="3068" width="10.25" style="23" customWidth="1"/>
    <col min="3069" max="3070" width="0" style="23" hidden="1" customWidth="1"/>
    <col min="3071" max="3319" width="8.75" style="23"/>
    <col min="3320" max="3320" width="5.75" style="23" customWidth="1"/>
    <col min="3321" max="3321" width="82.5" style="23" customWidth="1"/>
    <col min="3322" max="3322" width="13.5" style="23" customWidth="1"/>
    <col min="3323" max="3323" width="24" style="23" customWidth="1"/>
    <col min="3324" max="3324" width="10.25" style="23" customWidth="1"/>
    <col min="3325" max="3326" width="0" style="23" hidden="1" customWidth="1"/>
    <col min="3327" max="3575" width="8.75" style="23"/>
    <col min="3576" max="3576" width="5.75" style="23" customWidth="1"/>
    <col min="3577" max="3577" width="82.5" style="23" customWidth="1"/>
    <col min="3578" max="3578" width="13.5" style="23" customWidth="1"/>
    <col min="3579" max="3579" width="24" style="23" customWidth="1"/>
    <col min="3580" max="3580" width="10.25" style="23" customWidth="1"/>
    <col min="3581" max="3582" width="0" style="23" hidden="1" customWidth="1"/>
    <col min="3583" max="3831" width="8.75" style="23"/>
    <col min="3832" max="3832" width="5.75" style="23" customWidth="1"/>
    <col min="3833" max="3833" width="82.5" style="23" customWidth="1"/>
    <col min="3834" max="3834" width="13.5" style="23" customWidth="1"/>
    <col min="3835" max="3835" width="24" style="23" customWidth="1"/>
    <col min="3836" max="3836" width="10.25" style="23" customWidth="1"/>
    <col min="3837" max="3838" width="0" style="23" hidden="1" customWidth="1"/>
    <col min="3839" max="4087" width="8.75" style="23"/>
    <col min="4088" max="4088" width="5.75" style="23" customWidth="1"/>
    <col min="4089" max="4089" width="82.5" style="23" customWidth="1"/>
    <col min="4090" max="4090" width="13.5" style="23" customWidth="1"/>
    <col min="4091" max="4091" width="24" style="23" customWidth="1"/>
    <col min="4092" max="4092" width="10.25" style="23" customWidth="1"/>
    <col min="4093" max="4094" width="0" style="23" hidden="1" customWidth="1"/>
    <col min="4095" max="4343" width="8.75" style="23"/>
    <col min="4344" max="4344" width="5.75" style="23" customWidth="1"/>
    <col min="4345" max="4345" width="82.5" style="23" customWidth="1"/>
    <col min="4346" max="4346" width="13.5" style="23" customWidth="1"/>
    <col min="4347" max="4347" width="24" style="23" customWidth="1"/>
    <col min="4348" max="4348" width="10.25" style="23" customWidth="1"/>
    <col min="4349" max="4350" width="0" style="23" hidden="1" customWidth="1"/>
    <col min="4351" max="4599" width="8.75" style="23"/>
    <col min="4600" max="4600" width="5.75" style="23" customWidth="1"/>
    <col min="4601" max="4601" width="82.5" style="23" customWidth="1"/>
    <col min="4602" max="4602" width="13.5" style="23" customWidth="1"/>
    <col min="4603" max="4603" width="24" style="23" customWidth="1"/>
    <col min="4604" max="4604" width="10.25" style="23" customWidth="1"/>
    <col min="4605" max="4606" width="0" style="23" hidden="1" customWidth="1"/>
    <col min="4607" max="4855" width="8.75" style="23"/>
    <col min="4856" max="4856" width="5.75" style="23" customWidth="1"/>
    <col min="4857" max="4857" width="82.5" style="23" customWidth="1"/>
    <col min="4858" max="4858" width="13.5" style="23" customWidth="1"/>
    <col min="4859" max="4859" width="24" style="23" customWidth="1"/>
    <col min="4860" max="4860" width="10.25" style="23" customWidth="1"/>
    <col min="4861" max="4862" width="0" style="23" hidden="1" customWidth="1"/>
    <col min="4863" max="5111" width="8.75" style="23"/>
    <col min="5112" max="5112" width="5.75" style="23" customWidth="1"/>
    <col min="5113" max="5113" width="82.5" style="23" customWidth="1"/>
    <col min="5114" max="5114" width="13.5" style="23" customWidth="1"/>
    <col min="5115" max="5115" width="24" style="23" customWidth="1"/>
    <col min="5116" max="5116" width="10.25" style="23" customWidth="1"/>
    <col min="5117" max="5118" width="0" style="23" hidden="1" customWidth="1"/>
    <col min="5119" max="5367" width="8.75" style="23"/>
    <col min="5368" max="5368" width="5.75" style="23" customWidth="1"/>
    <col min="5369" max="5369" width="82.5" style="23" customWidth="1"/>
    <col min="5370" max="5370" width="13.5" style="23" customWidth="1"/>
    <col min="5371" max="5371" width="24" style="23" customWidth="1"/>
    <col min="5372" max="5372" width="10.25" style="23" customWidth="1"/>
    <col min="5373" max="5374" width="0" style="23" hidden="1" customWidth="1"/>
    <col min="5375" max="5623" width="8.75" style="23"/>
    <col min="5624" max="5624" width="5.75" style="23" customWidth="1"/>
    <col min="5625" max="5625" width="82.5" style="23" customWidth="1"/>
    <col min="5626" max="5626" width="13.5" style="23" customWidth="1"/>
    <col min="5627" max="5627" width="24" style="23" customWidth="1"/>
    <col min="5628" max="5628" width="10.25" style="23" customWidth="1"/>
    <col min="5629" max="5630" width="0" style="23" hidden="1" customWidth="1"/>
    <col min="5631" max="5879" width="8.75" style="23"/>
    <col min="5880" max="5880" width="5.75" style="23" customWidth="1"/>
    <col min="5881" max="5881" width="82.5" style="23" customWidth="1"/>
    <col min="5882" max="5882" width="13.5" style="23" customWidth="1"/>
    <col min="5883" max="5883" width="24" style="23" customWidth="1"/>
    <col min="5884" max="5884" width="10.25" style="23" customWidth="1"/>
    <col min="5885" max="5886" width="0" style="23" hidden="1" customWidth="1"/>
    <col min="5887" max="6135" width="8.75" style="23"/>
    <col min="6136" max="6136" width="5.75" style="23" customWidth="1"/>
    <col min="6137" max="6137" width="82.5" style="23" customWidth="1"/>
    <col min="6138" max="6138" width="13.5" style="23" customWidth="1"/>
    <col min="6139" max="6139" width="24" style="23" customWidth="1"/>
    <col min="6140" max="6140" width="10.25" style="23" customWidth="1"/>
    <col min="6141" max="6142" width="0" style="23" hidden="1" customWidth="1"/>
    <col min="6143" max="6391" width="8.75" style="23"/>
    <col min="6392" max="6392" width="5.75" style="23" customWidth="1"/>
    <col min="6393" max="6393" width="82.5" style="23" customWidth="1"/>
    <col min="6394" max="6394" width="13.5" style="23" customWidth="1"/>
    <col min="6395" max="6395" width="24" style="23" customWidth="1"/>
    <col min="6396" max="6396" width="10.25" style="23" customWidth="1"/>
    <col min="6397" max="6398" width="0" style="23" hidden="1" customWidth="1"/>
    <col min="6399" max="6647" width="8.75" style="23"/>
    <col min="6648" max="6648" width="5.75" style="23" customWidth="1"/>
    <col min="6649" max="6649" width="82.5" style="23" customWidth="1"/>
    <col min="6650" max="6650" width="13.5" style="23" customWidth="1"/>
    <col min="6651" max="6651" width="24" style="23" customWidth="1"/>
    <col min="6652" max="6652" width="10.25" style="23" customWidth="1"/>
    <col min="6653" max="6654" width="0" style="23" hidden="1" customWidth="1"/>
    <col min="6655" max="6903" width="8.75" style="23"/>
    <col min="6904" max="6904" width="5.75" style="23" customWidth="1"/>
    <col min="6905" max="6905" width="82.5" style="23" customWidth="1"/>
    <col min="6906" max="6906" width="13.5" style="23" customWidth="1"/>
    <col min="6907" max="6907" width="24" style="23" customWidth="1"/>
    <col min="6908" max="6908" width="10.25" style="23" customWidth="1"/>
    <col min="6909" max="6910" width="0" style="23" hidden="1" customWidth="1"/>
    <col min="6911" max="7159" width="8.75" style="23"/>
    <col min="7160" max="7160" width="5.75" style="23" customWidth="1"/>
    <col min="7161" max="7161" width="82.5" style="23" customWidth="1"/>
    <col min="7162" max="7162" width="13.5" style="23" customWidth="1"/>
    <col min="7163" max="7163" width="24" style="23" customWidth="1"/>
    <col min="7164" max="7164" width="10.25" style="23" customWidth="1"/>
    <col min="7165" max="7166" width="0" style="23" hidden="1" customWidth="1"/>
    <col min="7167" max="7415" width="8.75" style="23"/>
    <col min="7416" max="7416" width="5.75" style="23" customWidth="1"/>
    <col min="7417" max="7417" width="82.5" style="23" customWidth="1"/>
    <col min="7418" max="7418" width="13.5" style="23" customWidth="1"/>
    <col min="7419" max="7419" width="24" style="23" customWidth="1"/>
    <col min="7420" max="7420" width="10.25" style="23" customWidth="1"/>
    <col min="7421" max="7422" width="0" style="23" hidden="1" customWidth="1"/>
    <col min="7423" max="7671" width="8.75" style="23"/>
    <col min="7672" max="7672" width="5.75" style="23" customWidth="1"/>
    <col min="7673" max="7673" width="82.5" style="23" customWidth="1"/>
    <col min="7674" max="7674" width="13.5" style="23" customWidth="1"/>
    <col min="7675" max="7675" width="24" style="23" customWidth="1"/>
    <col min="7676" max="7676" width="10.25" style="23" customWidth="1"/>
    <col min="7677" max="7678" width="0" style="23" hidden="1" customWidth="1"/>
    <col min="7679" max="7927" width="8.75" style="23"/>
    <col min="7928" max="7928" width="5.75" style="23" customWidth="1"/>
    <col min="7929" max="7929" width="82.5" style="23" customWidth="1"/>
    <col min="7930" max="7930" width="13.5" style="23" customWidth="1"/>
    <col min="7931" max="7931" width="24" style="23" customWidth="1"/>
    <col min="7932" max="7932" width="10.25" style="23" customWidth="1"/>
    <col min="7933" max="7934" width="0" style="23" hidden="1" customWidth="1"/>
    <col min="7935" max="8183" width="8.75" style="23"/>
    <col min="8184" max="8184" width="5.75" style="23" customWidth="1"/>
    <col min="8185" max="8185" width="82.5" style="23" customWidth="1"/>
    <col min="8186" max="8186" width="13.5" style="23" customWidth="1"/>
    <col min="8187" max="8187" width="24" style="23" customWidth="1"/>
    <col min="8188" max="8188" width="10.25" style="23" customWidth="1"/>
    <col min="8189" max="8190" width="0" style="23" hidden="1" customWidth="1"/>
    <col min="8191" max="8439" width="8.75" style="23"/>
    <col min="8440" max="8440" width="5.75" style="23" customWidth="1"/>
    <col min="8441" max="8441" width="82.5" style="23" customWidth="1"/>
    <col min="8442" max="8442" width="13.5" style="23" customWidth="1"/>
    <col min="8443" max="8443" width="24" style="23" customWidth="1"/>
    <col min="8444" max="8444" width="10.25" style="23" customWidth="1"/>
    <col min="8445" max="8446" width="0" style="23" hidden="1" customWidth="1"/>
    <col min="8447" max="8695" width="8.75" style="23"/>
    <col min="8696" max="8696" width="5.75" style="23" customWidth="1"/>
    <col min="8697" max="8697" width="82.5" style="23" customWidth="1"/>
    <col min="8698" max="8698" width="13.5" style="23" customWidth="1"/>
    <col min="8699" max="8699" width="24" style="23" customWidth="1"/>
    <col min="8700" max="8700" width="10.25" style="23" customWidth="1"/>
    <col min="8701" max="8702" width="0" style="23" hidden="1" customWidth="1"/>
    <col min="8703" max="8951" width="8.75" style="23"/>
    <col min="8952" max="8952" width="5.75" style="23" customWidth="1"/>
    <col min="8953" max="8953" width="82.5" style="23" customWidth="1"/>
    <col min="8954" max="8954" width="13.5" style="23" customWidth="1"/>
    <col min="8955" max="8955" width="24" style="23" customWidth="1"/>
    <col min="8956" max="8956" width="10.25" style="23" customWidth="1"/>
    <col min="8957" max="8958" width="0" style="23" hidden="1" customWidth="1"/>
    <col min="8959" max="9207" width="8.75" style="23"/>
    <col min="9208" max="9208" width="5.75" style="23" customWidth="1"/>
    <col min="9209" max="9209" width="82.5" style="23" customWidth="1"/>
    <col min="9210" max="9210" width="13.5" style="23" customWidth="1"/>
    <col min="9211" max="9211" width="24" style="23" customWidth="1"/>
    <col min="9212" max="9212" width="10.25" style="23" customWidth="1"/>
    <col min="9213" max="9214" width="0" style="23" hidden="1" customWidth="1"/>
    <col min="9215" max="9463" width="8.75" style="23"/>
    <col min="9464" max="9464" width="5.75" style="23" customWidth="1"/>
    <col min="9465" max="9465" width="82.5" style="23" customWidth="1"/>
    <col min="9466" max="9466" width="13.5" style="23" customWidth="1"/>
    <col min="9467" max="9467" width="24" style="23" customWidth="1"/>
    <col min="9468" max="9468" width="10.25" style="23" customWidth="1"/>
    <col min="9469" max="9470" width="0" style="23" hidden="1" customWidth="1"/>
    <col min="9471" max="9719" width="8.75" style="23"/>
    <col min="9720" max="9720" width="5.75" style="23" customWidth="1"/>
    <col min="9721" max="9721" width="82.5" style="23" customWidth="1"/>
    <col min="9722" max="9722" width="13.5" style="23" customWidth="1"/>
    <col min="9723" max="9723" width="24" style="23" customWidth="1"/>
    <col min="9724" max="9724" width="10.25" style="23" customWidth="1"/>
    <col min="9725" max="9726" width="0" style="23" hidden="1" customWidth="1"/>
    <col min="9727" max="9975" width="8.75" style="23"/>
    <col min="9976" max="9976" width="5.75" style="23" customWidth="1"/>
    <col min="9977" max="9977" width="82.5" style="23" customWidth="1"/>
    <col min="9978" max="9978" width="13.5" style="23" customWidth="1"/>
    <col min="9979" max="9979" width="24" style="23" customWidth="1"/>
    <col min="9980" max="9980" width="10.25" style="23" customWidth="1"/>
    <col min="9981" max="9982" width="0" style="23" hidden="1" customWidth="1"/>
    <col min="9983" max="10231" width="8.75" style="23"/>
    <col min="10232" max="10232" width="5.75" style="23" customWidth="1"/>
    <col min="10233" max="10233" width="82.5" style="23" customWidth="1"/>
    <col min="10234" max="10234" width="13.5" style="23" customWidth="1"/>
    <col min="10235" max="10235" width="24" style="23" customWidth="1"/>
    <col min="10236" max="10236" width="10.25" style="23" customWidth="1"/>
    <col min="10237" max="10238" width="0" style="23" hidden="1" customWidth="1"/>
    <col min="10239" max="10487" width="8.75" style="23"/>
    <col min="10488" max="10488" width="5.75" style="23" customWidth="1"/>
    <col min="10489" max="10489" width="82.5" style="23" customWidth="1"/>
    <col min="10490" max="10490" width="13.5" style="23" customWidth="1"/>
    <col min="10491" max="10491" width="24" style="23" customWidth="1"/>
    <col min="10492" max="10492" width="10.25" style="23" customWidth="1"/>
    <col min="10493" max="10494" width="0" style="23" hidden="1" customWidth="1"/>
    <col min="10495" max="10743" width="8.75" style="23"/>
    <col min="10744" max="10744" width="5.75" style="23" customWidth="1"/>
    <col min="10745" max="10745" width="82.5" style="23" customWidth="1"/>
    <col min="10746" max="10746" width="13.5" style="23" customWidth="1"/>
    <col min="10747" max="10747" width="24" style="23" customWidth="1"/>
    <col min="10748" max="10748" width="10.25" style="23" customWidth="1"/>
    <col min="10749" max="10750" width="0" style="23" hidden="1" customWidth="1"/>
    <col min="10751" max="10999" width="8.75" style="23"/>
    <col min="11000" max="11000" width="5.75" style="23" customWidth="1"/>
    <col min="11001" max="11001" width="82.5" style="23" customWidth="1"/>
    <col min="11002" max="11002" width="13.5" style="23" customWidth="1"/>
    <col min="11003" max="11003" width="24" style="23" customWidth="1"/>
    <col min="11004" max="11004" width="10.25" style="23" customWidth="1"/>
    <col min="11005" max="11006" width="0" style="23" hidden="1" customWidth="1"/>
    <col min="11007" max="11255" width="8.75" style="23"/>
    <col min="11256" max="11256" width="5.75" style="23" customWidth="1"/>
    <col min="11257" max="11257" width="82.5" style="23" customWidth="1"/>
    <col min="11258" max="11258" width="13.5" style="23" customWidth="1"/>
    <col min="11259" max="11259" width="24" style="23" customWidth="1"/>
    <col min="11260" max="11260" width="10.25" style="23" customWidth="1"/>
    <col min="11261" max="11262" width="0" style="23" hidden="1" customWidth="1"/>
    <col min="11263" max="11511" width="8.75" style="23"/>
    <col min="11512" max="11512" width="5.75" style="23" customWidth="1"/>
    <col min="11513" max="11513" width="82.5" style="23" customWidth="1"/>
    <col min="11514" max="11514" width="13.5" style="23" customWidth="1"/>
    <col min="11515" max="11515" width="24" style="23" customWidth="1"/>
    <col min="11516" max="11516" width="10.25" style="23" customWidth="1"/>
    <col min="11517" max="11518" width="0" style="23" hidden="1" customWidth="1"/>
    <col min="11519" max="11767" width="8.75" style="23"/>
    <col min="11768" max="11768" width="5.75" style="23" customWidth="1"/>
    <col min="11769" max="11769" width="82.5" style="23" customWidth="1"/>
    <col min="11770" max="11770" width="13.5" style="23" customWidth="1"/>
    <col min="11771" max="11771" width="24" style="23" customWidth="1"/>
    <col min="11772" max="11772" width="10.25" style="23" customWidth="1"/>
    <col min="11773" max="11774" width="0" style="23" hidden="1" customWidth="1"/>
    <col min="11775" max="12023" width="8.75" style="23"/>
    <col min="12024" max="12024" width="5.75" style="23" customWidth="1"/>
    <col min="12025" max="12025" width="82.5" style="23" customWidth="1"/>
    <col min="12026" max="12026" width="13.5" style="23" customWidth="1"/>
    <col min="12027" max="12027" width="24" style="23" customWidth="1"/>
    <col min="12028" max="12028" width="10.25" style="23" customWidth="1"/>
    <col min="12029" max="12030" width="0" style="23" hidden="1" customWidth="1"/>
    <col min="12031" max="12279" width="8.75" style="23"/>
    <col min="12280" max="12280" width="5.75" style="23" customWidth="1"/>
    <col min="12281" max="12281" width="82.5" style="23" customWidth="1"/>
    <col min="12282" max="12282" width="13.5" style="23" customWidth="1"/>
    <col min="12283" max="12283" width="24" style="23" customWidth="1"/>
    <col min="12284" max="12284" width="10.25" style="23" customWidth="1"/>
    <col min="12285" max="12286" width="0" style="23" hidden="1" customWidth="1"/>
    <col min="12287" max="12535" width="8.75" style="23"/>
    <col min="12536" max="12536" width="5.75" style="23" customWidth="1"/>
    <col min="12537" max="12537" width="82.5" style="23" customWidth="1"/>
    <col min="12538" max="12538" width="13.5" style="23" customWidth="1"/>
    <col min="12539" max="12539" width="24" style="23" customWidth="1"/>
    <col min="12540" max="12540" width="10.25" style="23" customWidth="1"/>
    <col min="12541" max="12542" width="0" style="23" hidden="1" customWidth="1"/>
    <col min="12543" max="12791" width="8.75" style="23"/>
    <col min="12792" max="12792" width="5.75" style="23" customWidth="1"/>
    <col min="12793" max="12793" width="82.5" style="23" customWidth="1"/>
    <col min="12794" max="12794" width="13.5" style="23" customWidth="1"/>
    <col min="12795" max="12795" width="24" style="23" customWidth="1"/>
    <col min="12796" max="12796" width="10.25" style="23" customWidth="1"/>
    <col min="12797" max="12798" width="0" style="23" hidden="1" customWidth="1"/>
    <col min="12799" max="13047" width="8.75" style="23"/>
    <col min="13048" max="13048" width="5.75" style="23" customWidth="1"/>
    <col min="13049" max="13049" width="82.5" style="23" customWidth="1"/>
    <col min="13050" max="13050" width="13.5" style="23" customWidth="1"/>
    <col min="13051" max="13051" width="24" style="23" customWidth="1"/>
    <col min="13052" max="13052" width="10.25" style="23" customWidth="1"/>
    <col min="13053" max="13054" width="0" style="23" hidden="1" customWidth="1"/>
    <col min="13055" max="13303" width="8.75" style="23"/>
    <col min="13304" max="13304" width="5.75" style="23" customWidth="1"/>
    <col min="13305" max="13305" width="82.5" style="23" customWidth="1"/>
    <col min="13306" max="13306" width="13.5" style="23" customWidth="1"/>
    <col min="13307" max="13307" width="24" style="23" customWidth="1"/>
    <col min="13308" max="13308" width="10.25" style="23" customWidth="1"/>
    <col min="13309" max="13310" width="0" style="23" hidden="1" customWidth="1"/>
    <col min="13311" max="13559" width="8.75" style="23"/>
    <col min="13560" max="13560" width="5.75" style="23" customWidth="1"/>
    <col min="13561" max="13561" width="82.5" style="23" customWidth="1"/>
    <col min="13562" max="13562" width="13.5" style="23" customWidth="1"/>
    <col min="13563" max="13563" width="24" style="23" customWidth="1"/>
    <col min="13564" max="13564" width="10.25" style="23" customWidth="1"/>
    <col min="13565" max="13566" width="0" style="23" hidden="1" customWidth="1"/>
    <col min="13567" max="13815" width="8.75" style="23"/>
    <col min="13816" max="13816" width="5.75" style="23" customWidth="1"/>
    <col min="13817" max="13817" width="82.5" style="23" customWidth="1"/>
    <col min="13818" max="13818" width="13.5" style="23" customWidth="1"/>
    <col min="13819" max="13819" width="24" style="23" customWidth="1"/>
    <col min="13820" max="13820" width="10.25" style="23" customWidth="1"/>
    <col min="13821" max="13822" width="0" style="23" hidden="1" customWidth="1"/>
    <col min="13823" max="14071" width="8.75" style="23"/>
    <col min="14072" max="14072" width="5.75" style="23" customWidth="1"/>
    <col min="14073" max="14073" width="82.5" style="23" customWidth="1"/>
    <col min="14074" max="14074" width="13.5" style="23" customWidth="1"/>
    <col min="14075" max="14075" width="24" style="23" customWidth="1"/>
    <col min="14076" max="14076" width="10.25" style="23" customWidth="1"/>
    <col min="14077" max="14078" width="0" style="23" hidden="1" customWidth="1"/>
    <col min="14079" max="14327" width="8.75" style="23"/>
    <col min="14328" max="14328" width="5.75" style="23" customWidth="1"/>
    <col min="14329" max="14329" width="82.5" style="23" customWidth="1"/>
    <col min="14330" max="14330" width="13.5" style="23" customWidth="1"/>
    <col min="14331" max="14331" width="24" style="23" customWidth="1"/>
    <col min="14332" max="14332" width="10.25" style="23" customWidth="1"/>
    <col min="14333" max="14334" width="0" style="23" hidden="1" customWidth="1"/>
    <col min="14335" max="14583" width="8.75" style="23"/>
    <col min="14584" max="14584" width="5.75" style="23" customWidth="1"/>
    <col min="14585" max="14585" width="82.5" style="23" customWidth="1"/>
    <col min="14586" max="14586" width="13.5" style="23" customWidth="1"/>
    <col min="14587" max="14587" width="24" style="23" customWidth="1"/>
    <col min="14588" max="14588" width="10.25" style="23" customWidth="1"/>
    <col min="14589" max="14590" width="0" style="23" hidden="1" customWidth="1"/>
    <col min="14591" max="14839" width="8.75" style="23"/>
    <col min="14840" max="14840" width="5.75" style="23" customWidth="1"/>
    <col min="14841" max="14841" width="82.5" style="23" customWidth="1"/>
    <col min="14842" max="14842" width="13.5" style="23" customWidth="1"/>
    <col min="14843" max="14843" width="24" style="23" customWidth="1"/>
    <col min="14844" max="14844" width="10.25" style="23" customWidth="1"/>
    <col min="14845" max="14846" width="0" style="23" hidden="1" customWidth="1"/>
    <col min="14847" max="15095" width="8.75" style="23"/>
    <col min="15096" max="15096" width="5.75" style="23" customWidth="1"/>
    <col min="15097" max="15097" width="82.5" style="23" customWidth="1"/>
    <col min="15098" max="15098" width="13.5" style="23" customWidth="1"/>
    <col min="15099" max="15099" width="24" style="23" customWidth="1"/>
    <col min="15100" max="15100" width="10.25" style="23" customWidth="1"/>
    <col min="15101" max="15102" width="0" style="23" hidden="1" customWidth="1"/>
    <col min="15103" max="15351" width="8.75" style="23"/>
    <col min="15352" max="15352" width="5.75" style="23" customWidth="1"/>
    <col min="15353" max="15353" width="82.5" style="23" customWidth="1"/>
    <col min="15354" max="15354" width="13.5" style="23" customWidth="1"/>
    <col min="15355" max="15355" width="24" style="23" customWidth="1"/>
    <col min="15356" max="15356" width="10.25" style="23" customWidth="1"/>
    <col min="15357" max="15358" width="0" style="23" hidden="1" customWidth="1"/>
    <col min="15359" max="15607" width="8.75" style="23"/>
    <col min="15608" max="15608" width="5.75" style="23" customWidth="1"/>
    <col min="15609" max="15609" width="82.5" style="23" customWidth="1"/>
    <col min="15610" max="15610" width="13.5" style="23" customWidth="1"/>
    <col min="15611" max="15611" width="24" style="23" customWidth="1"/>
    <col min="15612" max="15612" width="10.25" style="23" customWidth="1"/>
    <col min="15613" max="15614" width="0" style="23" hidden="1" customWidth="1"/>
    <col min="15615" max="15863" width="8.75" style="23"/>
    <col min="15864" max="15864" width="5.75" style="23" customWidth="1"/>
    <col min="15865" max="15865" width="82.5" style="23" customWidth="1"/>
    <col min="15866" max="15866" width="13.5" style="23" customWidth="1"/>
    <col min="15867" max="15867" width="24" style="23" customWidth="1"/>
    <col min="15868" max="15868" width="10.25" style="23" customWidth="1"/>
    <col min="15869" max="15870" width="0" style="23" hidden="1" customWidth="1"/>
    <col min="15871" max="16119" width="8.75" style="23"/>
    <col min="16120" max="16120" width="5.75" style="23" customWidth="1"/>
    <col min="16121" max="16121" width="82.5" style="23" customWidth="1"/>
    <col min="16122" max="16122" width="13.5" style="23" customWidth="1"/>
    <col min="16123" max="16123" width="24" style="23" customWidth="1"/>
    <col min="16124" max="16124" width="10.25" style="23" customWidth="1"/>
    <col min="16125" max="16126" width="0" style="23" hidden="1" customWidth="1"/>
    <col min="16127" max="16384" width="8.75" style="23"/>
  </cols>
  <sheetData>
    <row r="1" spans="1:5" ht="15.75" thickBot="1">
      <c r="A1" s="289" t="s">
        <v>9</v>
      </c>
      <c r="B1" s="289"/>
      <c r="C1" s="289"/>
      <c r="D1" s="289"/>
    </row>
    <row r="2" spans="1:5" s="25" customFormat="1" ht="15.75" thickBot="1">
      <c r="A2" s="310" t="s">
        <v>12</v>
      </c>
      <c r="B2" s="311"/>
      <c r="C2" s="311"/>
      <c r="D2" s="312"/>
    </row>
    <row r="3" spans="1:5" s="25" customFormat="1">
      <c r="A3" s="287"/>
      <c r="B3" s="287"/>
      <c r="C3" s="313"/>
      <c r="D3" s="313"/>
    </row>
    <row r="4" spans="1:5" s="25" customFormat="1">
      <c r="A4" s="314" t="s">
        <v>13</v>
      </c>
      <c r="B4" s="314"/>
      <c r="C4" s="315" t="s">
        <v>490</v>
      </c>
      <c r="D4" s="315"/>
    </row>
    <row r="5" spans="1:5" s="25" customFormat="1">
      <c r="A5" s="314" t="s">
        <v>14</v>
      </c>
      <c r="B5" s="314"/>
      <c r="C5" s="316" t="s">
        <v>15</v>
      </c>
      <c r="D5" s="316"/>
    </row>
    <row r="6" spans="1:5" s="25" customFormat="1">
      <c r="A6" s="317" t="s">
        <v>16</v>
      </c>
      <c r="B6" s="317"/>
      <c r="C6" s="316" t="s">
        <v>429</v>
      </c>
      <c r="D6" s="316"/>
      <c r="E6" s="163"/>
    </row>
    <row r="7" spans="1:5" s="25" customFormat="1">
      <c r="A7" s="317" t="s">
        <v>17</v>
      </c>
      <c r="B7" s="317"/>
      <c r="C7" s="316" t="s">
        <v>428</v>
      </c>
      <c r="D7" s="316"/>
      <c r="E7" s="163"/>
    </row>
    <row r="8" spans="1:5" s="25" customFormat="1">
      <c r="A8" s="314" t="s">
        <v>18</v>
      </c>
      <c r="B8" s="314"/>
      <c r="C8" s="316">
        <v>12</v>
      </c>
      <c r="D8" s="316"/>
    </row>
    <row r="9" spans="1:5" s="25" customFormat="1">
      <c r="A9" s="39"/>
      <c r="B9" s="39"/>
      <c r="C9" s="6"/>
      <c r="D9" s="6"/>
    </row>
    <row r="10" spans="1:5" s="25" customFormat="1">
      <c r="A10" s="320" t="s">
        <v>19</v>
      </c>
      <c r="B10" s="320"/>
      <c r="C10" s="320" t="s">
        <v>84</v>
      </c>
      <c r="D10" s="320"/>
    </row>
    <row r="11" spans="1:5" s="25" customFormat="1">
      <c r="A11" s="306" t="s">
        <v>356</v>
      </c>
      <c r="B11" s="306"/>
      <c r="C11" s="321" t="s">
        <v>384</v>
      </c>
      <c r="D11" s="306"/>
    </row>
    <row r="12" spans="1:5" s="25" customFormat="1">
      <c r="A12" s="4"/>
      <c r="B12" s="4"/>
      <c r="C12" s="5"/>
      <c r="D12" s="6"/>
    </row>
    <row r="13" spans="1:5" s="25" customFormat="1">
      <c r="A13" s="322" t="s">
        <v>86</v>
      </c>
      <c r="B13" s="322"/>
      <c r="C13" s="322"/>
      <c r="D13" s="322"/>
    </row>
    <row r="14" spans="1:5">
      <c r="A14" s="76">
        <v>1</v>
      </c>
      <c r="B14" s="77" t="s">
        <v>20</v>
      </c>
      <c r="C14" s="76"/>
      <c r="D14" s="78" t="s">
        <v>21</v>
      </c>
    </row>
    <row r="15" spans="1:5">
      <c r="A15" s="79" t="s">
        <v>128</v>
      </c>
      <c r="B15" s="66" t="s">
        <v>22</v>
      </c>
      <c r="C15" s="80"/>
      <c r="D15" s="81">
        <f>12.72*220</f>
        <v>2798.4</v>
      </c>
    </row>
    <row r="16" spans="1:5">
      <c r="A16" s="79" t="s">
        <v>130</v>
      </c>
      <c r="B16" s="66" t="s">
        <v>23</v>
      </c>
      <c r="C16" s="80"/>
      <c r="D16" s="81">
        <v>0</v>
      </c>
    </row>
    <row r="17" spans="1:4">
      <c r="A17" s="79" t="s">
        <v>192</v>
      </c>
      <c r="B17" s="66" t="s">
        <v>24</v>
      </c>
      <c r="C17" s="80"/>
      <c r="D17" s="81">
        <v>0</v>
      </c>
    </row>
    <row r="18" spans="1:4">
      <c r="A18" s="79" t="s">
        <v>193</v>
      </c>
      <c r="B18" s="66" t="s">
        <v>354</v>
      </c>
      <c r="C18" s="80"/>
      <c r="D18" s="81">
        <f>(D15*C18)</f>
        <v>0</v>
      </c>
    </row>
    <row r="19" spans="1:4">
      <c r="A19" s="79" t="s">
        <v>194</v>
      </c>
      <c r="B19" s="66" t="s">
        <v>195</v>
      </c>
      <c r="C19" s="80"/>
      <c r="D19" s="81">
        <f>(D16*C19)</f>
        <v>0</v>
      </c>
    </row>
    <row r="20" spans="1:4">
      <c r="A20" s="79" t="s">
        <v>196</v>
      </c>
      <c r="B20" s="66" t="s">
        <v>25</v>
      </c>
      <c r="C20" s="80"/>
      <c r="D20" s="81">
        <v>0</v>
      </c>
    </row>
    <row r="21" spans="1:4">
      <c r="A21" s="79" t="s">
        <v>197</v>
      </c>
      <c r="B21" s="66" t="s">
        <v>85</v>
      </c>
      <c r="C21" s="80"/>
      <c r="D21" s="81">
        <v>0</v>
      </c>
    </row>
    <row r="22" spans="1:4">
      <c r="A22" s="79" t="s">
        <v>198</v>
      </c>
      <c r="B22" s="66" t="s">
        <v>26</v>
      </c>
      <c r="C22" s="80"/>
      <c r="D22" s="81">
        <v>0</v>
      </c>
    </row>
    <row r="23" spans="1:4">
      <c r="A23" s="79" t="s">
        <v>199</v>
      </c>
      <c r="B23" s="66" t="s">
        <v>27</v>
      </c>
      <c r="C23" s="80"/>
      <c r="D23" s="81">
        <v>0</v>
      </c>
    </row>
    <row r="24" spans="1:4">
      <c r="A24" s="79" t="s">
        <v>200</v>
      </c>
      <c r="B24" s="66" t="s">
        <v>28</v>
      </c>
      <c r="C24" s="80"/>
      <c r="D24" s="81">
        <f>SUM(D15:D23)*C24</f>
        <v>0</v>
      </c>
    </row>
    <row r="25" spans="1:4">
      <c r="A25" s="307" t="s">
        <v>29</v>
      </c>
      <c r="B25" s="307"/>
      <c r="C25" s="83"/>
      <c r="D25" s="78">
        <f>SUM(D15:D24)</f>
        <v>2798.4</v>
      </c>
    </row>
    <row r="27" spans="1:4" s="25" customFormat="1">
      <c r="A27" s="306" t="s">
        <v>87</v>
      </c>
      <c r="B27" s="306"/>
      <c r="C27" s="306"/>
      <c r="D27" s="306"/>
    </row>
    <row r="28" spans="1:4" ht="30">
      <c r="A28" s="76" t="s">
        <v>88</v>
      </c>
      <c r="B28" s="77" t="s">
        <v>104</v>
      </c>
      <c r="C28" s="76" t="s">
        <v>11</v>
      </c>
      <c r="D28" s="76" t="s">
        <v>37</v>
      </c>
    </row>
    <row r="29" spans="1:4" s="25" customFormat="1">
      <c r="A29" s="79" t="s">
        <v>201</v>
      </c>
      <c r="B29" s="66" t="s">
        <v>45</v>
      </c>
      <c r="C29" s="84">
        <v>8.3299999999999999E-2</v>
      </c>
      <c r="D29" s="85">
        <f>($D$25*C29)</f>
        <v>233.10672</v>
      </c>
    </row>
    <row r="30" spans="1:4">
      <c r="A30" s="79" t="s">
        <v>202</v>
      </c>
      <c r="B30" s="86" t="s">
        <v>52</v>
      </c>
      <c r="C30" s="87">
        <v>0.1111</v>
      </c>
      <c r="D30" s="85">
        <f>($D$25*C30)</f>
        <v>310.90224000000001</v>
      </c>
    </row>
    <row r="31" spans="1:4">
      <c r="A31" s="79" t="s">
        <v>203</v>
      </c>
      <c r="B31" s="86" t="s">
        <v>101</v>
      </c>
      <c r="C31" s="87">
        <f>C43*(C29+C30)</f>
        <v>7.1539200000000025E-2</v>
      </c>
      <c r="D31" s="85">
        <f>($D$25*C31)</f>
        <v>200.19529728000006</v>
      </c>
    </row>
    <row r="32" spans="1:4">
      <c r="A32" s="307" t="s">
        <v>107</v>
      </c>
      <c r="B32" s="307"/>
      <c r="C32" s="83"/>
      <c r="D32" s="78">
        <f>SUM(D29:D31)</f>
        <v>744.20425728000009</v>
      </c>
    </row>
    <row r="34" spans="1:4">
      <c r="A34" s="76" t="s">
        <v>89</v>
      </c>
      <c r="B34" s="77" t="s">
        <v>105</v>
      </c>
      <c r="C34" s="76" t="s">
        <v>11</v>
      </c>
      <c r="D34" s="76" t="s">
        <v>37</v>
      </c>
    </row>
    <row r="35" spans="1:4" s="25" customFormat="1">
      <c r="A35" s="79" t="s">
        <v>204</v>
      </c>
      <c r="B35" s="86" t="s">
        <v>38</v>
      </c>
      <c r="C35" s="89">
        <v>0.2</v>
      </c>
      <c r="D35" s="85">
        <f>(D25*C35)</f>
        <v>559.68000000000006</v>
      </c>
    </row>
    <row r="36" spans="1:4" s="25" customFormat="1">
      <c r="A36" s="79" t="s">
        <v>205</v>
      </c>
      <c r="B36" s="86" t="s">
        <v>39</v>
      </c>
      <c r="C36" s="89">
        <v>0.08</v>
      </c>
      <c r="D36" s="85">
        <f>(D25*C36)</f>
        <v>223.87200000000001</v>
      </c>
    </row>
    <row r="37" spans="1:4" s="25" customFormat="1">
      <c r="A37" s="79" t="s">
        <v>206</v>
      </c>
      <c r="B37" s="86" t="s">
        <v>40</v>
      </c>
      <c r="C37" s="89">
        <v>1.4999999999999999E-2</v>
      </c>
      <c r="D37" s="85">
        <f>(D25*C37)</f>
        <v>41.975999999999999</v>
      </c>
    </row>
    <row r="38" spans="1:4" s="25" customFormat="1">
      <c r="A38" s="79" t="s">
        <v>207</v>
      </c>
      <c r="B38" s="86" t="s">
        <v>41</v>
      </c>
      <c r="C38" s="89">
        <v>0.01</v>
      </c>
      <c r="D38" s="85">
        <f>(D25*C38)</f>
        <v>27.984000000000002</v>
      </c>
    </row>
    <row r="39" spans="1:4" s="25" customFormat="1">
      <c r="A39" s="79" t="s">
        <v>208</v>
      </c>
      <c r="B39" s="86" t="s">
        <v>42</v>
      </c>
      <c r="C39" s="89">
        <v>6.0000000000000001E-3</v>
      </c>
      <c r="D39" s="85">
        <f>(D25*C39)</f>
        <v>16.790400000000002</v>
      </c>
    </row>
    <row r="40" spans="1:4" s="25" customFormat="1">
      <c r="A40" s="79" t="s">
        <v>209</v>
      </c>
      <c r="B40" s="86" t="s">
        <v>43</v>
      </c>
      <c r="C40" s="89">
        <v>2E-3</v>
      </c>
      <c r="D40" s="85">
        <f>(D25*C40)</f>
        <v>5.5968</v>
      </c>
    </row>
    <row r="41" spans="1:4" s="25" customFormat="1">
      <c r="A41" s="79" t="s">
        <v>210</v>
      </c>
      <c r="B41" s="86" t="s">
        <v>44</v>
      </c>
      <c r="C41" s="89">
        <v>2.5000000000000001E-2</v>
      </c>
      <c r="D41" s="85">
        <f>(D25*C41)</f>
        <v>69.960000000000008</v>
      </c>
    </row>
    <row r="42" spans="1:4" s="25" customFormat="1">
      <c r="A42" s="79" t="s">
        <v>211</v>
      </c>
      <c r="B42" s="86" t="s">
        <v>102</v>
      </c>
      <c r="C42" s="89">
        <v>0.03</v>
      </c>
      <c r="D42" s="85">
        <f>(D25*C42)</f>
        <v>83.951999999999998</v>
      </c>
    </row>
    <row r="43" spans="1:4">
      <c r="A43" s="307" t="s">
        <v>107</v>
      </c>
      <c r="B43" s="307"/>
      <c r="C43" s="83">
        <f>SUM(C35:C42)</f>
        <v>0.3680000000000001</v>
      </c>
      <c r="D43" s="78">
        <f>SUM(D35:D42)</f>
        <v>1029.8112000000001</v>
      </c>
    </row>
    <row r="45" spans="1:4">
      <c r="A45" s="76" t="s">
        <v>90</v>
      </c>
      <c r="B45" s="77" t="s">
        <v>106</v>
      </c>
      <c r="C45" s="76"/>
      <c r="D45" s="78" t="s">
        <v>21</v>
      </c>
    </row>
    <row r="46" spans="1:4">
      <c r="A46" s="79" t="s">
        <v>212</v>
      </c>
      <c r="B46" s="66" t="s">
        <v>30</v>
      </c>
      <c r="C46" s="90">
        <v>6.25</v>
      </c>
      <c r="D46" s="81">
        <f>(C46*50.16)-(6%*D15)</f>
        <v>145.596</v>
      </c>
    </row>
    <row r="47" spans="1:4">
      <c r="A47" s="79" t="s">
        <v>214</v>
      </c>
      <c r="B47" s="66" t="s">
        <v>31</v>
      </c>
      <c r="C47" s="90">
        <v>980</v>
      </c>
      <c r="D47" s="81">
        <f>C47</f>
        <v>980</v>
      </c>
    </row>
    <row r="48" spans="1:4">
      <c r="A48" s="79" t="s">
        <v>216</v>
      </c>
      <c r="B48" s="66" t="s">
        <v>32</v>
      </c>
      <c r="C48" s="90"/>
      <c r="D48" s="81">
        <f>C48</f>
        <v>0</v>
      </c>
    </row>
    <row r="49" spans="1:5">
      <c r="A49" s="79" t="s">
        <v>217</v>
      </c>
      <c r="B49" s="66" t="s">
        <v>33</v>
      </c>
      <c r="C49" s="90"/>
      <c r="D49" s="81">
        <f>C49</f>
        <v>0</v>
      </c>
    </row>
    <row r="50" spans="1:5">
      <c r="A50" s="79" t="s">
        <v>218</v>
      </c>
      <c r="B50" s="66" t="s">
        <v>34</v>
      </c>
      <c r="C50" s="90"/>
      <c r="D50" s="81">
        <v>17.329999999999998</v>
      </c>
      <c r="E50" s="157"/>
    </row>
    <row r="51" spans="1:5">
      <c r="A51" s="79" t="s">
        <v>219</v>
      </c>
      <c r="B51" s="66" t="s">
        <v>35</v>
      </c>
      <c r="C51" s="90"/>
      <c r="D51" s="81">
        <f>C51</f>
        <v>0</v>
      </c>
    </row>
    <row r="52" spans="1:5">
      <c r="A52" s="79" t="s">
        <v>220</v>
      </c>
      <c r="B52" s="66" t="s">
        <v>357</v>
      </c>
      <c r="C52" s="90">
        <v>8</v>
      </c>
      <c r="D52" s="81">
        <f>25.08*C52</f>
        <v>200.64</v>
      </c>
    </row>
    <row r="53" spans="1:5">
      <c r="A53" s="79" t="s">
        <v>223</v>
      </c>
      <c r="B53" s="66" t="s">
        <v>358</v>
      </c>
      <c r="C53" s="90">
        <v>980</v>
      </c>
      <c r="D53" s="81">
        <f>C53/12</f>
        <v>81.666666666666671</v>
      </c>
    </row>
    <row r="54" spans="1:5">
      <c r="A54" s="79" t="s">
        <v>225</v>
      </c>
      <c r="B54" s="66" t="s">
        <v>226</v>
      </c>
      <c r="C54" s="156">
        <v>9.2499999999999999E-2</v>
      </c>
      <c r="D54" s="81">
        <f>-(D46+D47+D53)*C54</f>
        <v>-111.67179666666668</v>
      </c>
    </row>
    <row r="55" spans="1:5">
      <c r="A55" s="307" t="s">
        <v>107</v>
      </c>
      <c r="B55" s="307"/>
      <c r="C55" s="83"/>
      <c r="D55" s="78">
        <f>SUM(D46:D54)</f>
        <v>1313.5608699999998</v>
      </c>
    </row>
    <row r="57" spans="1:5">
      <c r="A57" s="304" t="s">
        <v>93</v>
      </c>
      <c r="B57" s="304"/>
      <c r="C57" s="304"/>
      <c r="D57" s="304"/>
    </row>
    <row r="58" spans="1:5">
      <c r="A58" s="79" t="s">
        <v>88</v>
      </c>
      <c r="B58" s="66" t="s">
        <v>92</v>
      </c>
      <c r="C58" s="302">
        <f>D32</f>
        <v>744.20425728000009</v>
      </c>
      <c r="D58" s="302"/>
    </row>
    <row r="59" spans="1:5">
      <c r="A59" s="79" t="s">
        <v>89</v>
      </c>
      <c r="B59" s="66" t="s">
        <v>94</v>
      </c>
      <c r="C59" s="302">
        <f>D43</f>
        <v>1029.8112000000001</v>
      </c>
      <c r="D59" s="302"/>
    </row>
    <row r="60" spans="1:5">
      <c r="A60" s="79" t="s">
        <v>90</v>
      </c>
      <c r="B60" s="66" t="s">
        <v>91</v>
      </c>
      <c r="C60" s="308">
        <f>D55</f>
        <v>1313.5608699999998</v>
      </c>
      <c r="D60" s="308"/>
    </row>
    <row r="61" spans="1:5">
      <c r="A61" s="304" t="s">
        <v>95</v>
      </c>
      <c r="B61" s="304"/>
      <c r="C61" s="305">
        <f>SUM(C58:D60)</f>
        <v>3087.57632728</v>
      </c>
      <c r="D61" s="305"/>
    </row>
    <row r="63" spans="1:5" s="25" customFormat="1">
      <c r="A63" s="306" t="s">
        <v>96</v>
      </c>
      <c r="B63" s="306"/>
      <c r="C63" s="306"/>
      <c r="D63" s="306"/>
    </row>
    <row r="64" spans="1:5">
      <c r="A64" s="76">
        <v>3</v>
      </c>
      <c r="B64" s="77" t="s">
        <v>98</v>
      </c>
      <c r="C64" s="94" t="s">
        <v>11</v>
      </c>
      <c r="D64" s="76" t="s">
        <v>37</v>
      </c>
    </row>
    <row r="65" spans="1:4" s="25" customFormat="1">
      <c r="A65" s="79" t="s">
        <v>131</v>
      </c>
      <c r="B65" s="96" t="s">
        <v>51</v>
      </c>
      <c r="C65" s="97">
        <v>4.1700000000000001E-3</v>
      </c>
      <c r="D65" s="85">
        <f t="shared" ref="D65:D70" si="0">($D$25*C65)</f>
        <v>11.669328</v>
      </c>
    </row>
    <row r="66" spans="1:4" s="25" customFormat="1">
      <c r="A66" s="79" t="s">
        <v>176</v>
      </c>
      <c r="B66" s="96" t="s">
        <v>53</v>
      </c>
      <c r="C66" s="97">
        <v>3.3E-4</v>
      </c>
      <c r="D66" s="85">
        <f t="shared" si="0"/>
        <v>0.92347200000000007</v>
      </c>
    </row>
    <row r="67" spans="1:4" s="25" customFormat="1" ht="30">
      <c r="A67" s="79" t="s">
        <v>233</v>
      </c>
      <c r="B67" s="96" t="s">
        <v>54</v>
      </c>
      <c r="C67" s="97"/>
      <c r="D67" s="85">
        <f t="shared" si="0"/>
        <v>0</v>
      </c>
    </row>
    <row r="68" spans="1:4" s="25" customFormat="1">
      <c r="A68" s="79" t="s">
        <v>236</v>
      </c>
      <c r="B68" s="96" t="s">
        <v>46</v>
      </c>
      <c r="C68" s="97">
        <v>1.9439999999999999E-2</v>
      </c>
      <c r="D68" s="85">
        <f t="shared" si="0"/>
        <v>54.400895999999996</v>
      </c>
    </row>
    <row r="69" spans="1:4" s="25" customFormat="1" ht="30">
      <c r="A69" s="79" t="s">
        <v>239</v>
      </c>
      <c r="B69" s="96" t="s">
        <v>97</v>
      </c>
      <c r="C69" s="97">
        <f>C43*C68</f>
        <v>7.153920000000002E-3</v>
      </c>
      <c r="D69" s="85">
        <f t="shared" si="0"/>
        <v>20.019529728000006</v>
      </c>
    </row>
    <row r="70" spans="1:4" s="25" customFormat="1">
      <c r="A70" s="79" t="s">
        <v>242</v>
      </c>
      <c r="B70" s="96" t="s">
        <v>243</v>
      </c>
      <c r="C70" s="97">
        <v>3.4389999999999997E-2</v>
      </c>
      <c r="D70" s="85">
        <f t="shared" si="0"/>
        <v>96.236975999999999</v>
      </c>
    </row>
    <row r="71" spans="1:4">
      <c r="A71" s="309" t="s">
        <v>107</v>
      </c>
      <c r="B71" s="309"/>
      <c r="C71" s="99">
        <f>SUM(C65:C70)</f>
        <v>6.5483920000000001E-2</v>
      </c>
      <c r="D71" s="100">
        <f>SUM(D65:D70)</f>
        <v>183.25020172800001</v>
      </c>
    </row>
    <row r="73" spans="1:4" s="25" customFormat="1">
      <c r="A73" s="306" t="s">
        <v>99</v>
      </c>
      <c r="B73" s="306"/>
      <c r="C73" s="306"/>
      <c r="D73" s="306"/>
    </row>
    <row r="74" spans="1:4">
      <c r="A74" s="76" t="s">
        <v>103</v>
      </c>
      <c r="B74" s="77" t="s">
        <v>247</v>
      </c>
      <c r="C74" s="94" t="s">
        <v>11</v>
      </c>
      <c r="D74" s="76" t="s">
        <v>37</v>
      </c>
    </row>
    <row r="75" spans="1:4" s="25" customFormat="1">
      <c r="A75" s="79" t="s">
        <v>248</v>
      </c>
      <c r="B75" s="66" t="s">
        <v>249</v>
      </c>
      <c r="C75" s="84">
        <v>4.15E-3</v>
      </c>
      <c r="D75" s="85">
        <f>($D$25*C75)</f>
        <v>11.61336</v>
      </c>
    </row>
    <row r="76" spans="1:4" s="25" customFormat="1">
      <c r="A76" s="79" t="s">
        <v>251</v>
      </c>
      <c r="B76" s="66" t="s">
        <v>252</v>
      </c>
      <c r="C76" s="84">
        <v>2.0000000000000001E-4</v>
      </c>
      <c r="D76" s="85">
        <f>($D$25*C76)</f>
        <v>0.55968000000000007</v>
      </c>
    </row>
    <row r="77" spans="1:4" s="25" customFormat="1">
      <c r="A77" s="79" t="s">
        <v>253</v>
      </c>
      <c r="B77" s="66" t="s">
        <v>254</v>
      </c>
      <c r="C77" s="84">
        <v>5.1000000000000004E-4</v>
      </c>
      <c r="D77" s="85">
        <f>($D$25*C77)</f>
        <v>1.4271840000000002</v>
      </c>
    </row>
    <row r="78" spans="1:4" s="25" customFormat="1" ht="30">
      <c r="A78" s="79" t="s">
        <v>255</v>
      </c>
      <c r="B78" s="66" t="s">
        <v>256</v>
      </c>
      <c r="C78" s="84">
        <v>3.8999999999999999E-4</v>
      </c>
      <c r="D78" s="85">
        <f>($D$25*C78)</f>
        <v>1.0913760000000001</v>
      </c>
    </row>
    <row r="79" spans="1:4" s="25" customFormat="1">
      <c r="A79" s="79" t="s">
        <v>257</v>
      </c>
      <c r="B79" s="66" t="s">
        <v>100</v>
      </c>
      <c r="C79" s="84"/>
      <c r="D79" s="85"/>
    </row>
    <row r="80" spans="1:4">
      <c r="A80" s="307" t="s">
        <v>107</v>
      </c>
      <c r="B80" s="307"/>
      <c r="C80" s="83">
        <f>SUM(C75:C79)</f>
        <v>5.2499999999999995E-3</v>
      </c>
      <c r="D80" s="78">
        <f>SUM(D75:D79)</f>
        <v>14.691600000000001</v>
      </c>
    </row>
    <row r="82" spans="1:4">
      <c r="A82" s="304" t="s">
        <v>258</v>
      </c>
      <c r="B82" s="304"/>
      <c r="C82" s="304"/>
      <c r="D82" s="304"/>
    </row>
    <row r="83" spans="1:4">
      <c r="A83" s="79" t="s">
        <v>103</v>
      </c>
      <c r="B83" s="66" t="s">
        <v>111</v>
      </c>
      <c r="C83" s="302">
        <f>D80</f>
        <v>14.691600000000001</v>
      </c>
      <c r="D83" s="302"/>
    </row>
    <row r="84" spans="1:4">
      <c r="A84" s="76" t="s">
        <v>95</v>
      </c>
      <c r="B84" s="76" t="s">
        <v>95</v>
      </c>
      <c r="C84" s="305">
        <f>SUM(C83:D83)</f>
        <v>14.691600000000001</v>
      </c>
      <c r="D84" s="305"/>
    </row>
    <row r="86" spans="1:4" s="25" customFormat="1">
      <c r="A86" s="306" t="s">
        <v>108</v>
      </c>
      <c r="B86" s="306"/>
      <c r="C86" s="306"/>
      <c r="D86" s="306"/>
    </row>
    <row r="87" spans="1:4">
      <c r="A87" s="76">
        <v>5</v>
      </c>
      <c r="B87" s="77" t="s">
        <v>109</v>
      </c>
      <c r="C87" s="76"/>
      <c r="D87" s="78" t="s">
        <v>21</v>
      </c>
    </row>
    <row r="88" spans="1:4">
      <c r="A88" s="79" t="s">
        <v>133</v>
      </c>
      <c r="B88" s="66" t="s">
        <v>120</v>
      </c>
      <c r="C88" s="92"/>
      <c r="D88" s="81">
        <v>61.115000000000002</v>
      </c>
    </row>
    <row r="89" spans="1:4">
      <c r="A89" s="79" t="s">
        <v>178</v>
      </c>
      <c r="B89" s="66" t="s">
        <v>121</v>
      </c>
      <c r="C89" s="92"/>
      <c r="D89" s="81">
        <v>112.38</v>
      </c>
    </row>
    <row r="90" spans="1:4">
      <c r="A90" s="79" t="s">
        <v>259</v>
      </c>
      <c r="B90" s="66" t="s">
        <v>226</v>
      </c>
      <c r="C90" s="91">
        <v>9.2499999999999999E-2</v>
      </c>
      <c r="D90" s="81">
        <f>-(D88+D89)*C90</f>
        <v>-16.048287500000001</v>
      </c>
    </row>
    <row r="91" spans="1:4">
      <c r="A91" s="307"/>
      <c r="B91" s="307" t="s">
        <v>36</v>
      </c>
      <c r="C91" s="83"/>
      <c r="D91" s="78">
        <f>SUM(D88:D90)</f>
        <v>157.44671249999999</v>
      </c>
    </row>
    <row r="93" spans="1:4">
      <c r="A93" s="304" t="s">
        <v>110</v>
      </c>
      <c r="B93" s="304"/>
      <c r="C93" s="304"/>
      <c r="D93" s="304"/>
    </row>
    <row r="94" spans="1:4">
      <c r="A94" s="79">
        <v>1</v>
      </c>
      <c r="B94" s="66" t="s">
        <v>86</v>
      </c>
      <c r="C94" s="302">
        <f>D25</f>
        <v>2798.4</v>
      </c>
      <c r="D94" s="303"/>
    </row>
    <row r="95" spans="1:4" ht="30">
      <c r="A95" s="79">
        <v>2</v>
      </c>
      <c r="B95" s="66" t="s">
        <v>87</v>
      </c>
      <c r="C95" s="302">
        <f>C61</f>
        <v>3087.57632728</v>
      </c>
      <c r="D95" s="303"/>
    </row>
    <row r="96" spans="1:4">
      <c r="A96" s="79">
        <v>3</v>
      </c>
      <c r="B96" s="66" t="s">
        <v>96</v>
      </c>
      <c r="C96" s="302">
        <f>D71</f>
        <v>183.25020172800001</v>
      </c>
      <c r="D96" s="303"/>
    </row>
    <row r="97" spans="1:4" ht="30">
      <c r="A97" s="79">
        <v>4</v>
      </c>
      <c r="B97" s="66" t="s">
        <v>99</v>
      </c>
      <c r="C97" s="302">
        <f>C84</f>
        <v>14.691600000000001</v>
      </c>
      <c r="D97" s="303"/>
    </row>
    <row r="98" spans="1:4">
      <c r="A98" s="79">
        <v>5</v>
      </c>
      <c r="B98" s="66" t="s">
        <v>108</v>
      </c>
      <c r="C98" s="302">
        <f>D91</f>
        <v>157.44671249999999</v>
      </c>
      <c r="D98" s="303"/>
    </row>
    <row r="99" spans="1:4">
      <c r="A99" s="304" t="s">
        <v>95</v>
      </c>
      <c r="B99" s="304" t="s">
        <v>95</v>
      </c>
      <c r="C99" s="305">
        <f>SUM(C94:D98)</f>
        <v>6241.3648415080006</v>
      </c>
      <c r="D99" s="305">
        <f>SUM(D94:D98)</f>
        <v>0</v>
      </c>
    </row>
    <row r="101" spans="1:4" s="6" customFormat="1" ht="111.75" customHeight="1">
      <c r="A101" s="301" t="s">
        <v>260</v>
      </c>
      <c r="B101" s="301"/>
      <c r="C101" s="301"/>
      <c r="D101" s="301"/>
    </row>
    <row r="102" spans="1:4" s="6" customFormat="1" ht="201" customHeight="1">
      <c r="A102" s="301" t="s">
        <v>261</v>
      </c>
      <c r="B102" s="301"/>
      <c r="C102" s="301"/>
      <c r="D102" s="301"/>
    </row>
    <row r="103" spans="1:4" s="6" customFormat="1">
      <c r="A103" s="181"/>
      <c r="B103" s="181"/>
      <c r="C103" s="182"/>
      <c r="D103" s="181"/>
    </row>
    <row r="104" spans="1:4" s="6" customFormat="1" ht="166.5" customHeight="1">
      <c r="A104" s="301" t="s">
        <v>262</v>
      </c>
      <c r="B104" s="301"/>
      <c r="C104" s="301"/>
      <c r="D104" s="301"/>
    </row>
    <row r="105" spans="1:4">
      <c r="C105" s="23"/>
    </row>
    <row r="106" spans="1:4">
      <c r="C106" s="23"/>
    </row>
    <row r="107" spans="1:4">
      <c r="C107" s="23"/>
    </row>
    <row r="108" spans="1:4">
      <c r="C108" s="23"/>
    </row>
    <row r="109" spans="1:4">
      <c r="C109" s="23"/>
    </row>
    <row r="110" spans="1:4">
      <c r="C110" s="23"/>
    </row>
    <row r="111" spans="1:4">
      <c r="C111" s="23"/>
    </row>
    <row r="112" spans="1:4">
      <c r="C112" s="23"/>
    </row>
    <row r="113" spans="3:3">
      <c r="C113" s="23"/>
    </row>
  </sheetData>
  <mergeCells count="50">
    <mergeCell ref="A1:D1"/>
    <mergeCell ref="A2:D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55:B55"/>
    <mergeCell ref="A8:B8"/>
    <mergeCell ref="C8:D8"/>
    <mergeCell ref="A10:B10"/>
    <mergeCell ref="C10:D10"/>
    <mergeCell ref="A11:B11"/>
    <mergeCell ref="C11:D11"/>
    <mergeCell ref="A13:D13"/>
    <mergeCell ref="A25:B25"/>
    <mergeCell ref="A27:D27"/>
    <mergeCell ref="A32:B32"/>
    <mergeCell ref="A43:B43"/>
    <mergeCell ref="A57:D57"/>
    <mergeCell ref="C58:D58"/>
    <mergeCell ref="C59:D59"/>
    <mergeCell ref="C60:D60"/>
    <mergeCell ref="A61:B61"/>
    <mergeCell ref="C61:D61"/>
    <mergeCell ref="C95:D95"/>
    <mergeCell ref="A63:D63"/>
    <mergeCell ref="A71:B71"/>
    <mergeCell ref="A73:D73"/>
    <mergeCell ref="A80:B80"/>
    <mergeCell ref="A82:D82"/>
    <mergeCell ref="C83:D83"/>
    <mergeCell ref="C84:D84"/>
    <mergeCell ref="A86:D86"/>
    <mergeCell ref="A91:B91"/>
    <mergeCell ref="A93:D93"/>
    <mergeCell ref="C94:D94"/>
    <mergeCell ref="A102:D102"/>
    <mergeCell ref="A104:D104"/>
    <mergeCell ref="C96:D96"/>
    <mergeCell ref="C97:D97"/>
    <mergeCell ref="C98:D98"/>
    <mergeCell ref="A99:B99"/>
    <mergeCell ref="C99:D99"/>
    <mergeCell ref="A101:D10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</sheetPr>
  <dimension ref="A1:D114"/>
  <sheetViews>
    <sheetView showGridLines="0" zoomScaleNormal="100" workbookViewId="0">
      <selection activeCell="C8" sqref="C8:D8"/>
    </sheetView>
  </sheetViews>
  <sheetFormatPr defaultColWidth="8.75" defaultRowHeight="15"/>
  <cols>
    <col min="1" max="1" width="5.75" style="23" customWidth="1"/>
    <col min="2" max="2" width="46.75" style="23" customWidth="1"/>
    <col min="3" max="3" width="11.125" style="22" bestFit="1" customWidth="1"/>
    <col min="4" max="4" width="15.5" style="23" bestFit="1" customWidth="1"/>
    <col min="5" max="247" width="8.75" style="23"/>
    <col min="248" max="248" width="5.75" style="23" customWidth="1"/>
    <col min="249" max="249" width="82.5" style="23" customWidth="1"/>
    <col min="250" max="250" width="13.5" style="23" customWidth="1"/>
    <col min="251" max="251" width="24" style="23" customWidth="1"/>
    <col min="252" max="252" width="10.25" style="23" customWidth="1"/>
    <col min="253" max="254" width="0" style="23" hidden="1" customWidth="1"/>
    <col min="255" max="503" width="8.75" style="23"/>
    <col min="504" max="504" width="5.75" style="23" customWidth="1"/>
    <col min="505" max="505" width="82.5" style="23" customWidth="1"/>
    <col min="506" max="506" width="13.5" style="23" customWidth="1"/>
    <col min="507" max="507" width="24" style="23" customWidth="1"/>
    <col min="508" max="508" width="10.25" style="23" customWidth="1"/>
    <col min="509" max="510" width="0" style="23" hidden="1" customWidth="1"/>
    <col min="511" max="759" width="8.75" style="23"/>
    <col min="760" max="760" width="5.75" style="23" customWidth="1"/>
    <col min="761" max="761" width="82.5" style="23" customWidth="1"/>
    <col min="762" max="762" width="13.5" style="23" customWidth="1"/>
    <col min="763" max="763" width="24" style="23" customWidth="1"/>
    <col min="764" max="764" width="10.25" style="23" customWidth="1"/>
    <col min="765" max="766" width="0" style="23" hidden="1" customWidth="1"/>
    <col min="767" max="1015" width="8.75" style="23"/>
    <col min="1016" max="1016" width="5.75" style="23" customWidth="1"/>
    <col min="1017" max="1017" width="82.5" style="23" customWidth="1"/>
    <col min="1018" max="1018" width="13.5" style="23" customWidth="1"/>
    <col min="1019" max="1019" width="24" style="23" customWidth="1"/>
    <col min="1020" max="1020" width="10.25" style="23" customWidth="1"/>
    <col min="1021" max="1022" width="0" style="23" hidden="1" customWidth="1"/>
    <col min="1023" max="1271" width="8.75" style="23"/>
    <col min="1272" max="1272" width="5.75" style="23" customWidth="1"/>
    <col min="1273" max="1273" width="82.5" style="23" customWidth="1"/>
    <col min="1274" max="1274" width="13.5" style="23" customWidth="1"/>
    <col min="1275" max="1275" width="24" style="23" customWidth="1"/>
    <col min="1276" max="1276" width="10.25" style="23" customWidth="1"/>
    <col min="1277" max="1278" width="0" style="23" hidden="1" customWidth="1"/>
    <col min="1279" max="1527" width="8.75" style="23"/>
    <col min="1528" max="1528" width="5.75" style="23" customWidth="1"/>
    <col min="1529" max="1529" width="82.5" style="23" customWidth="1"/>
    <col min="1530" max="1530" width="13.5" style="23" customWidth="1"/>
    <col min="1531" max="1531" width="24" style="23" customWidth="1"/>
    <col min="1532" max="1532" width="10.25" style="23" customWidth="1"/>
    <col min="1533" max="1534" width="0" style="23" hidden="1" customWidth="1"/>
    <col min="1535" max="1783" width="8.75" style="23"/>
    <col min="1784" max="1784" width="5.75" style="23" customWidth="1"/>
    <col min="1785" max="1785" width="82.5" style="23" customWidth="1"/>
    <col min="1786" max="1786" width="13.5" style="23" customWidth="1"/>
    <col min="1787" max="1787" width="24" style="23" customWidth="1"/>
    <col min="1788" max="1788" width="10.25" style="23" customWidth="1"/>
    <col min="1789" max="1790" width="0" style="23" hidden="1" customWidth="1"/>
    <col min="1791" max="2039" width="8.75" style="23"/>
    <col min="2040" max="2040" width="5.75" style="23" customWidth="1"/>
    <col min="2041" max="2041" width="82.5" style="23" customWidth="1"/>
    <col min="2042" max="2042" width="13.5" style="23" customWidth="1"/>
    <col min="2043" max="2043" width="24" style="23" customWidth="1"/>
    <col min="2044" max="2044" width="10.25" style="23" customWidth="1"/>
    <col min="2045" max="2046" width="0" style="23" hidden="1" customWidth="1"/>
    <col min="2047" max="2295" width="8.75" style="23"/>
    <col min="2296" max="2296" width="5.75" style="23" customWidth="1"/>
    <col min="2297" max="2297" width="82.5" style="23" customWidth="1"/>
    <col min="2298" max="2298" width="13.5" style="23" customWidth="1"/>
    <col min="2299" max="2299" width="24" style="23" customWidth="1"/>
    <col min="2300" max="2300" width="10.25" style="23" customWidth="1"/>
    <col min="2301" max="2302" width="0" style="23" hidden="1" customWidth="1"/>
    <col min="2303" max="2551" width="8.75" style="23"/>
    <col min="2552" max="2552" width="5.75" style="23" customWidth="1"/>
    <col min="2553" max="2553" width="82.5" style="23" customWidth="1"/>
    <col min="2554" max="2554" width="13.5" style="23" customWidth="1"/>
    <col min="2555" max="2555" width="24" style="23" customWidth="1"/>
    <col min="2556" max="2556" width="10.25" style="23" customWidth="1"/>
    <col min="2557" max="2558" width="0" style="23" hidden="1" customWidth="1"/>
    <col min="2559" max="2807" width="8.75" style="23"/>
    <col min="2808" max="2808" width="5.75" style="23" customWidth="1"/>
    <col min="2809" max="2809" width="82.5" style="23" customWidth="1"/>
    <col min="2810" max="2810" width="13.5" style="23" customWidth="1"/>
    <col min="2811" max="2811" width="24" style="23" customWidth="1"/>
    <col min="2812" max="2812" width="10.25" style="23" customWidth="1"/>
    <col min="2813" max="2814" width="0" style="23" hidden="1" customWidth="1"/>
    <col min="2815" max="3063" width="8.75" style="23"/>
    <col min="3064" max="3064" width="5.75" style="23" customWidth="1"/>
    <col min="3065" max="3065" width="82.5" style="23" customWidth="1"/>
    <col min="3066" max="3066" width="13.5" style="23" customWidth="1"/>
    <col min="3067" max="3067" width="24" style="23" customWidth="1"/>
    <col min="3068" max="3068" width="10.25" style="23" customWidth="1"/>
    <col min="3069" max="3070" width="0" style="23" hidden="1" customWidth="1"/>
    <col min="3071" max="3319" width="8.75" style="23"/>
    <col min="3320" max="3320" width="5.75" style="23" customWidth="1"/>
    <col min="3321" max="3321" width="82.5" style="23" customWidth="1"/>
    <col min="3322" max="3322" width="13.5" style="23" customWidth="1"/>
    <col min="3323" max="3323" width="24" style="23" customWidth="1"/>
    <col min="3324" max="3324" width="10.25" style="23" customWidth="1"/>
    <col min="3325" max="3326" width="0" style="23" hidden="1" customWidth="1"/>
    <col min="3327" max="3575" width="8.75" style="23"/>
    <col min="3576" max="3576" width="5.75" style="23" customWidth="1"/>
    <col min="3577" max="3577" width="82.5" style="23" customWidth="1"/>
    <col min="3578" max="3578" width="13.5" style="23" customWidth="1"/>
    <col min="3579" max="3579" width="24" style="23" customWidth="1"/>
    <col min="3580" max="3580" width="10.25" style="23" customWidth="1"/>
    <col min="3581" max="3582" width="0" style="23" hidden="1" customWidth="1"/>
    <col min="3583" max="3831" width="8.75" style="23"/>
    <col min="3832" max="3832" width="5.75" style="23" customWidth="1"/>
    <col min="3833" max="3833" width="82.5" style="23" customWidth="1"/>
    <col min="3834" max="3834" width="13.5" style="23" customWidth="1"/>
    <col min="3835" max="3835" width="24" style="23" customWidth="1"/>
    <col min="3836" max="3836" width="10.25" style="23" customWidth="1"/>
    <col min="3837" max="3838" width="0" style="23" hidden="1" customWidth="1"/>
    <col min="3839" max="4087" width="8.75" style="23"/>
    <col min="4088" max="4088" width="5.75" style="23" customWidth="1"/>
    <col min="4089" max="4089" width="82.5" style="23" customWidth="1"/>
    <col min="4090" max="4090" width="13.5" style="23" customWidth="1"/>
    <col min="4091" max="4091" width="24" style="23" customWidth="1"/>
    <col min="4092" max="4092" width="10.25" style="23" customWidth="1"/>
    <col min="4093" max="4094" width="0" style="23" hidden="1" customWidth="1"/>
    <col min="4095" max="4343" width="8.75" style="23"/>
    <col min="4344" max="4344" width="5.75" style="23" customWidth="1"/>
    <col min="4345" max="4345" width="82.5" style="23" customWidth="1"/>
    <col min="4346" max="4346" width="13.5" style="23" customWidth="1"/>
    <col min="4347" max="4347" width="24" style="23" customWidth="1"/>
    <col min="4348" max="4348" width="10.25" style="23" customWidth="1"/>
    <col min="4349" max="4350" width="0" style="23" hidden="1" customWidth="1"/>
    <col min="4351" max="4599" width="8.75" style="23"/>
    <col min="4600" max="4600" width="5.75" style="23" customWidth="1"/>
    <col min="4601" max="4601" width="82.5" style="23" customWidth="1"/>
    <col min="4602" max="4602" width="13.5" style="23" customWidth="1"/>
    <col min="4603" max="4603" width="24" style="23" customWidth="1"/>
    <col min="4604" max="4604" width="10.25" style="23" customWidth="1"/>
    <col min="4605" max="4606" width="0" style="23" hidden="1" customWidth="1"/>
    <col min="4607" max="4855" width="8.75" style="23"/>
    <col min="4856" max="4856" width="5.75" style="23" customWidth="1"/>
    <col min="4857" max="4857" width="82.5" style="23" customWidth="1"/>
    <col min="4858" max="4858" width="13.5" style="23" customWidth="1"/>
    <col min="4859" max="4859" width="24" style="23" customWidth="1"/>
    <col min="4860" max="4860" width="10.25" style="23" customWidth="1"/>
    <col min="4861" max="4862" width="0" style="23" hidden="1" customWidth="1"/>
    <col min="4863" max="5111" width="8.75" style="23"/>
    <col min="5112" max="5112" width="5.75" style="23" customWidth="1"/>
    <col min="5113" max="5113" width="82.5" style="23" customWidth="1"/>
    <col min="5114" max="5114" width="13.5" style="23" customWidth="1"/>
    <col min="5115" max="5115" width="24" style="23" customWidth="1"/>
    <col min="5116" max="5116" width="10.25" style="23" customWidth="1"/>
    <col min="5117" max="5118" width="0" style="23" hidden="1" customWidth="1"/>
    <col min="5119" max="5367" width="8.75" style="23"/>
    <col min="5368" max="5368" width="5.75" style="23" customWidth="1"/>
    <col min="5369" max="5369" width="82.5" style="23" customWidth="1"/>
    <col min="5370" max="5370" width="13.5" style="23" customWidth="1"/>
    <col min="5371" max="5371" width="24" style="23" customWidth="1"/>
    <col min="5372" max="5372" width="10.25" style="23" customWidth="1"/>
    <col min="5373" max="5374" width="0" style="23" hidden="1" customWidth="1"/>
    <col min="5375" max="5623" width="8.75" style="23"/>
    <col min="5624" max="5624" width="5.75" style="23" customWidth="1"/>
    <col min="5625" max="5625" width="82.5" style="23" customWidth="1"/>
    <col min="5626" max="5626" width="13.5" style="23" customWidth="1"/>
    <col min="5627" max="5627" width="24" style="23" customWidth="1"/>
    <col min="5628" max="5628" width="10.25" style="23" customWidth="1"/>
    <col min="5629" max="5630" width="0" style="23" hidden="1" customWidth="1"/>
    <col min="5631" max="5879" width="8.75" style="23"/>
    <col min="5880" max="5880" width="5.75" style="23" customWidth="1"/>
    <col min="5881" max="5881" width="82.5" style="23" customWidth="1"/>
    <col min="5882" max="5882" width="13.5" style="23" customWidth="1"/>
    <col min="5883" max="5883" width="24" style="23" customWidth="1"/>
    <col min="5884" max="5884" width="10.25" style="23" customWidth="1"/>
    <col min="5885" max="5886" width="0" style="23" hidden="1" customWidth="1"/>
    <col min="5887" max="6135" width="8.75" style="23"/>
    <col min="6136" max="6136" width="5.75" style="23" customWidth="1"/>
    <col min="6137" max="6137" width="82.5" style="23" customWidth="1"/>
    <col min="6138" max="6138" width="13.5" style="23" customWidth="1"/>
    <col min="6139" max="6139" width="24" style="23" customWidth="1"/>
    <col min="6140" max="6140" width="10.25" style="23" customWidth="1"/>
    <col min="6141" max="6142" width="0" style="23" hidden="1" customWidth="1"/>
    <col min="6143" max="6391" width="8.75" style="23"/>
    <col min="6392" max="6392" width="5.75" style="23" customWidth="1"/>
    <col min="6393" max="6393" width="82.5" style="23" customWidth="1"/>
    <col min="6394" max="6394" width="13.5" style="23" customWidth="1"/>
    <col min="6395" max="6395" width="24" style="23" customWidth="1"/>
    <col min="6396" max="6396" width="10.25" style="23" customWidth="1"/>
    <col min="6397" max="6398" width="0" style="23" hidden="1" customWidth="1"/>
    <col min="6399" max="6647" width="8.75" style="23"/>
    <col min="6648" max="6648" width="5.75" style="23" customWidth="1"/>
    <col min="6649" max="6649" width="82.5" style="23" customWidth="1"/>
    <col min="6650" max="6650" width="13.5" style="23" customWidth="1"/>
    <col min="6651" max="6651" width="24" style="23" customWidth="1"/>
    <col min="6652" max="6652" width="10.25" style="23" customWidth="1"/>
    <col min="6653" max="6654" width="0" style="23" hidden="1" customWidth="1"/>
    <col min="6655" max="6903" width="8.75" style="23"/>
    <col min="6904" max="6904" width="5.75" style="23" customWidth="1"/>
    <col min="6905" max="6905" width="82.5" style="23" customWidth="1"/>
    <col min="6906" max="6906" width="13.5" style="23" customWidth="1"/>
    <col min="6907" max="6907" width="24" style="23" customWidth="1"/>
    <col min="6908" max="6908" width="10.25" style="23" customWidth="1"/>
    <col min="6909" max="6910" width="0" style="23" hidden="1" customWidth="1"/>
    <col min="6911" max="7159" width="8.75" style="23"/>
    <col min="7160" max="7160" width="5.75" style="23" customWidth="1"/>
    <col min="7161" max="7161" width="82.5" style="23" customWidth="1"/>
    <col min="7162" max="7162" width="13.5" style="23" customWidth="1"/>
    <col min="7163" max="7163" width="24" style="23" customWidth="1"/>
    <col min="7164" max="7164" width="10.25" style="23" customWidth="1"/>
    <col min="7165" max="7166" width="0" style="23" hidden="1" customWidth="1"/>
    <col min="7167" max="7415" width="8.75" style="23"/>
    <col min="7416" max="7416" width="5.75" style="23" customWidth="1"/>
    <col min="7417" max="7417" width="82.5" style="23" customWidth="1"/>
    <col min="7418" max="7418" width="13.5" style="23" customWidth="1"/>
    <col min="7419" max="7419" width="24" style="23" customWidth="1"/>
    <col min="7420" max="7420" width="10.25" style="23" customWidth="1"/>
    <col min="7421" max="7422" width="0" style="23" hidden="1" customWidth="1"/>
    <col min="7423" max="7671" width="8.75" style="23"/>
    <col min="7672" max="7672" width="5.75" style="23" customWidth="1"/>
    <col min="7673" max="7673" width="82.5" style="23" customWidth="1"/>
    <col min="7674" max="7674" width="13.5" style="23" customWidth="1"/>
    <col min="7675" max="7675" width="24" style="23" customWidth="1"/>
    <col min="7676" max="7676" width="10.25" style="23" customWidth="1"/>
    <col min="7677" max="7678" width="0" style="23" hidden="1" customWidth="1"/>
    <col min="7679" max="7927" width="8.75" style="23"/>
    <col min="7928" max="7928" width="5.75" style="23" customWidth="1"/>
    <col min="7929" max="7929" width="82.5" style="23" customWidth="1"/>
    <col min="7930" max="7930" width="13.5" style="23" customWidth="1"/>
    <col min="7931" max="7931" width="24" style="23" customWidth="1"/>
    <col min="7932" max="7932" width="10.25" style="23" customWidth="1"/>
    <col min="7933" max="7934" width="0" style="23" hidden="1" customWidth="1"/>
    <col min="7935" max="8183" width="8.75" style="23"/>
    <col min="8184" max="8184" width="5.75" style="23" customWidth="1"/>
    <col min="8185" max="8185" width="82.5" style="23" customWidth="1"/>
    <col min="8186" max="8186" width="13.5" style="23" customWidth="1"/>
    <col min="8187" max="8187" width="24" style="23" customWidth="1"/>
    <col min="8188" max="8188" width="10.25" style="23" customWidth="1"/>
    <col min="8189" max="8190" width="0" style="23" hidden="1" customWidth="1"/>
    <col min="8191" max="8439" width="8.75" style="23"/>
    <col min="8440" max="8440" width="5.75" style="23" customWidth="1"/>
    <col min="8441" max="8441" width="82.5" style="23" customWidth="1"/>
    <col min="8442" max="8442" width="13.5" style="23" customWidth="1"/>
    <col min="8443" max="8443" width="24" style="23" customWidth="1"/>
    <col min="8444" max="8444" width="10.25" style="23" customWidth="1"/>
    <col min="8445" max="8446" width="0" style="23" hidden="1" customWidth="1"/>
    <col min="8447" max="8695" width="8.75" style="23"/>
    <col min="8696" max="8696" width="5.75" style="23" customWidth="1"/>
    <col min="8697" max="8697" width="82.5" style="23" customWidth="1"/>
    <col min="8698" max="8698" width="13.5" style="23" customWidth="1"/>
    <col min="8699" max="8699" width="24" style="23" customWidth="1"/>
    <col min="8700" max="8700" width="10.25" style="23" customWidth="1"/>
    <col min="8701" max="8702" width="0" style="23" hidden="1" customWidth="1"/>
    <col min="8703" max="8951" width="8.75" style="23"/>
    <col min="8952" max="8952" width="5.75" style="23" customWidth="1"/>
    <col min="8953" max="8953" width="82.5" style="23" customWidth="1"/>
    <col min="8954" max="8954" width="13.5" style="23" customWidth="1"/>
    <col min="8955" max="8955" width="24" style="23" customWidth="1"/>
    <col min="8956" max="8956" width="10.25" style="23" customWidth="1"/>
    <col min="8957" max="8958" width="0" style="23" hidden="1" customWidth="1"/>
    <col min="8959" max="9207" width="8.75" style="23"/>
    <col min="9208" max="9208" width="5.75" style="23" customWidth="1"/>
    <col min="9209" max="9209" width="82.5" style="23" customWidth="1"/>
    <col min="9210" max="9210" width="13.5" style="23" customWidth="1"/>
    <col min="9211" max="9211" width="24" style="23" customWidth="1"/>
    <col min="9212" max="9212" width="10.25" style="23" customWidth="1"/>
    <col min="9213" max="9214" width="0" style="23" hidden="1" customWidth="1"/>
    <col min="9215" max="9463" width="8.75" style="23"/>
    <col min="9464" max="9464" width="5.75" style="23" customWidth="1"/>
    <col min="9465" max="9465" width="82.5" style="23" customWidth="1"/>
    <col min="9466" max="9466" width="13.5" style="23" customWidth="1"/>
    <col min="9467" max="9467" width="24" style="23" customWidth="1"/>
    <col min="9468" max="9468" width="10.25" style="23" customWidth="1"/>
    <col min="9469" max="9470" width="0" style="23" hidden="1" customWidth="1"/>
    <col min="9471" max="9719" width="8.75" style="23"/>
    <col min="9720" max="9720" width="5.75" style="23" customWidth="1"/>
    <col min="9721" max="9721" width="82.5" style="23" customWidth="1"/>
    <col min="9722" max="9722" width="13.5" style="23" customWidth="1"/>
    <col min="9723" max="9723" width="24" style="23" customWidth="1"/>
    <col min="9724" max="9724" width="10.25" style="23" customWidth="1"/>
    <col min="9725" max="9726" width="0" style="23" hidden="1" customWidth="1"/>
    <col min="9727" max="9975" width="8.75" style="23"/>
    <col min="9976" max="9976" width="5.75" style="23" customWidth="1"/>
    <col min="9977" max="9977" width="82.5" style="23" customWidth="1"/>
    <col min="9978" max="9978" width="13.5" style="23" customWidth="1"/>
    <col min="9979" max="9979" width="24" style="23" customWidth="1"/>
    <col min="9980" max="9980" width="10.25" style="23" customWidth="1"/>
    <col min="9981" max="9982" width="0" style="23" hidden="1" customWidth="1"/>
    <col min="9983" max="10231" width="8.75" style="23"/>
    <col min="10232" max="10232" width="5.75" style="23" customWidth="1"/>
    <col min="10233" max="10233" width="82.5" style="23" customWidth="1"/>
    <col min="10234" max="10234" width="13.5" style="23" customWidth="1"/>
    <col min="10235" max="10235" width="24" style="23" customWidth="1"/>
    <col min="10236" max="10236" width="10.25" style="23" customWidth="1"/>
    <col min="10237" max="10238" width="0" style="23" hidden="1" customWidth="1"/>
    <col min="10239" max="10487" width="8.75" style="23"/>
    <col min="10488" max="10488" width="5.75" style="23" customWidth="1"/>
    <col min="10489" max="10489" width="82.5" style="23" customWidth="1"/>
    <col min="10490" max="10490" width="13.5" style="23" customWidth="1"/>
    <col min="10491" max="10491" width="24" style="23" customWidth="1"/>
    <col min="10492" max="10492" width="10.25" style="23" customWidth="1"/>
    <col min="10493" max="10494" width="0" style="23" hidden="1" customWidth="1"/>
    <col min="10495" max="10743" width="8.75" style="23"/>
    <col min="10744" max="10744" width="5.75" style="23" customWidth="1"/>
    <col min="10745" max="10745" width="82.5" style="23" customWidth="1"/>
    <col min="10746" max="10746" width="13.5" style="23" customWidth="1"/>
    <col min="10747" max="10747" width="24" style="23" customWidth="1"/>
    <col min="10748" max="10748" width="10.25" style="23" customWidth="1"/>
    <col min="10749" max="10750" width="0" style="23" hidden="1" customWidth="1"/>
    <col min="10751" max="10999" width="8.75" style="23"/>
    <col min="11000" max="11000" width="5.75" style="23" customWidth="1"/>
    <col min="11001" max="11001" width="82.5" style="23" customWidth="1"/>
    <col min="11002" max="11002" width="13.5" style="23" customWidth="1"/>
    <col min="11003" max="11003" width="24" style="23" customWidth="1"/>
    <col min="11004" max="11004" width="10.25" style="23" customWidth="1"/>
    <col min="11005" max="11006" width="0" style="23" hidden="1" customWidth="1"/>
    <col min="11007" max="11255" width="8.75" style="23"/>
    <col min="11256" max="11256" width="5.75" style="23" customWidth="1"/>
    <col min="11257" max="11257" width="82.5" style="23" customWidth="1"/>
    <col min="11258" max="11258" width="13.5" style="23" customWidth="1"/>
    <col min="11259" max="11259" width="24" style="23" customWidth="1"/>
    <col min="11260" max="11260" width="10.25" style="23" customWidth="1"/>
    <col min="11261" max="11262" width="0" style="23" hidden="1" customWidth="1"/>
    <col min="11263" max="11511" width="8.75" style="23"/>
    <col min="11512" max="11512" width="5.75" style="23" customWidth="1"/>
    <col min="11513" max="11513" width="82.5" style="23" customWidth="1"/>
    <col min="11514" max="11514" width="13.5" style="23" customWidth="1"/>
    <col min="11515" max="11515" width="24" style="23" customWidth="1"/>
    <col min="11516" max="11516" width="10.25" style="23" customWidth="1"/>
    <col min="11517" max="11518" width="0" style="23" hidden="1" customWidth="1"/>
    <col min="11519" max="11767" width="8.75" style="23"/>
    <col min="11768" max="11768" width="5.75" style="23" customWidth="1"/>
    <col min="11769" max="11769" width="82.5" style="23" customWidth="1"/>
    <col min="11770" max="11770" width="13.5" style="23" customWidth="1"/>
    <col min="11771" max="11771" width="24" style="23" customWidth="1"/>
    <col min="11772" max="11772" width="10.25" style="23" customWidth="1"/>
    <col min="11773" max="11774" width="0" style="23" hidden="1" customWidth="1"/>
    <col min="11775" max="12023" width="8.75" style="23"/>
    <col min="12024" max="12024" width="5.75" style="23" customWidth="1"/>
    <col min="12025" max="12025" width="82.5" style="23" customWidth="1"/>
    <col min="12026" max="12026" width="13.5" style="23" customWidth="1"/>
    <col min="12027" max="12027" width="24" style="23" customWidth="1"/>
    <col min="12028" max="12028" width="10.25" style="23" customWidth="1"/>
    <col min="12029" max="12030" width="0" style="23" hidden="1" customWidth="1"/>
    <col min="12031" max="12279" width="8.75" style="23"/>
    <col min="12280" max="12280" width="5.75" style="23" customWidth="1"/>
    <col min="12281" max="12281" width="82.5" style="23" customWidth="1"/>
    <col min="12282" max="12282" width="13.5" style="23" customWidth="1"/>
    <col min="12283" max="12283" width="24" style="23" customWidth="1"/>
    <col min="12284" max="12284" width="10.25" style="23" customWidth="1"/>
    <col min="12285" max="12286" width="0" style="23" hidden="1" customWidth="1"/>
    <col min="12287" max="12535" width="8.75" style="23"/>
    <col min="12536" max="12536" width="5.75" style="23" customWidth="1"/>
    <col min="12537" max="12537" width="82.5" style="23" customWidth="1"/>
    <col min="12538" max="12538" width="13.5" style="23" customWidth="1"/>
    <col min="12539" max="12539" width="24" style="23" customWidth="1"/>
    <col min="12540" max="12540" width="10.25" style="23" customWidth="1"/>
    <col min="12541" max="12542" width="0" style="23" hidden="1" customWidth="1"/>
    <col min="12543" max="12791" width="8.75" style="23"/>
    <col min="12792" max="12792" width="5.75" style="23" customWidth="1"/>
    <col min="12793" max="12793" width="82.5" style="23" customWidth="1"/>
    <col min="12794" max="12794" width="13.5" style="23" customWidth="1"/>
    <col min="12795" max="12795" width="24" style="23" customWidth="1"/>
    <col min="12796" max="12796" width="10.25" style="23" customWidth="1"/>
    <col min="12797" max="12798" width="0" style="23" hidden="1" customWidth="1"/>
    <col min="12799" max="13047" width="8.75" style="23"/>
    <col min="13048" max="13048" width="5.75" style="23" customWidth="1"/>
    <col min="13049" max="13049" width="82.5" style="23" customWidth="1"/>
    <col min="13050" max="13050" width="13.5" style="23" customWidth="1"/>
    <col min="13051" max="13051" width="24" style="23" customWidth="1"/>
    <col min="13052" max="13052" width="10.25" style="23" customWidth="1"/>
    <col min="13053" max="13054" width="0" style="23" hidden="1" customWidth="1"/>
    <col min="13055" max="13303" width="8.75" style="23"/>
    <col min="13304" max="13304" width="5.75" style="23" customWidth="1"/>
    <col min="13305" max="13305" width="82.5" style="23" customWidth="1"/>
    <col min="13306" max="13306" width="13.5" style="23" customWidth="1"/>
    <col min="13307" max="13307" width="24" style="23" customWidth="1"/>
    <col min="13308" max="13308" width="10.25" style="23" customWidth="1"/>
    <col min="13309" max="13310" width="0" style="23" hidden="1" customWidth="1"/>
    <col min="13311" max="13559" width="8.75" style="23"/>
    <col min="13560" max="13560" width="5.75" style="23" customWidth="1"/>
    <col min="13561" max="13561" width="82.5" style="23" customWidth="1"/>
    <col min="13562" max="13562" width="13.5" style="23" customWidth="1"/>
    <col min="13563" max="13563" width="24" style="23" customWidth="1"/>
    <col min="13564" max="13564" width="10.25" style="23" customWidth="1"/>
    <col min="13565" max="13566" width="0" style="23" hidden="1" customWidth="1"/>
    <col min="13567" max="13815" width="8.75" style="23"/>
    <col min="13816" max="13816" width="5.75" style="23" customWidth="1"/>
    <col min="13817" max="13817" width="82.5" style="23" customWidth="1"/>
    <col min="13818" max="13818" width="13.5" style="23" customWidth="1"/>
    <col min="13819" max="13819" width="24" style="23" customWidth="1"/>
    <col min="13820" max="13820" width="10.25" style="23" customWidth="1"/>
    <col min="13821" max="13822" width="0" style="23" hidden="1" customWidth="1"/>
    <col min="13823" max="14071" width="8.75" style="23"/>
    <col min="14072" max="14072" width="5.75" style="23" customWidth="1"/>
    <col min="14073" max="14073" width="82.5" style="23" customWidth="1"/>
    <col min="14074" max="14074" width="13.5" style="23" customWidth="1"/>
    <col min="14075" max="14075" width="24" style="23" customWidth="1"/>
    <col min="14076" max="14076" width="10.25" style="23" customWidth="1"/>
    <col min="14077" max="14078" width="0" style="23" hidden="1" customWidth="1"/>
    <col min="14079" max="14327" width="8.75" style="23"/>
    <col min="14328" max="14328" width="5.75" style="23" customWidth="1"/>
    <col min="14329" max="14329" width="82.5" style="23" customWidth="1"/>
    <col min="14330" max="14330" width="13.5" style="23" customWidth="1"/>
    <col min="14331" max="14331" width="24" style="23" customWidth="1"/>
    <col min="14332" max="14332" width="10.25" style="23" customWidth="1"/>
    <col min="14333" max="14334" width="0" style="23" hidden="1" customWidth="1"/>
    <col min="14335" max="14583" width="8.75" style="23"/>
    <col min="14584" max="14584" width="5.75" style="23" customWidth="1"/>
    <col min="14585" max="14585" width="82.5" style="23" customWidth="1"/>
    <col min="14586" max="14586" width="13.5" style="23" customWidth="1"/>
    <col min="14587" max="14587" width="24" style="23" customWidth="1"/>
    <col min="14588" max="14588" width="10.25" style="23" customWidth="1"/>
    <col min="14589" max="14590" width="0" style="23" hidden="1" customWidth="1"/>
    <col min="14591" max="14839" width="8.75" style="23"/>
    <col min="14840" max="14840" width="5.75" style="23" customWidth="1"/>
    <col min="14841" max="14841" width="82.5" style="23" customWidth="1"/>
    <col min="14842" max="14842" width="13.5" style="23" customWidth="1"/>
    <col min="14843" max="14843" width="24" style="23" customWidth="1"/>
    <col min="14844" max="14844" width="10.25" style="23" customWidth="1"/>
    <col min="14845" max="14846" width="0" style="23" hidden="1" customWidth="1"/>
    <col min="14847" max="15095" width="8.75" style="23"/>
    <col min="15096" max="15096" width="5.75" style="23" customWidth="1"/>
    <col min="15097" max="15097" width="82.5" style="23" customWidth="1"/>
    <col min="15098" max="15098" width="13.5" style="23" customWidth="1"/>
    <col min="15099" max="15099" width="24" style="23" customWidth="1"/>
    <col min="15100" max="15100" width="10.25" style="23" customWidth="1"/>
    <col min="15101" max="15102" width="0" style="23" hidden="1" customWidth="1"/>
    <col min="15103" max="15351" width="8.75" style="23"/>
    <col min="15352" max="15352" width="5.75" style="23" customWidth="1"/>
    <col min="15353" max="15353" width="82.5" style="23" customWidth="1"/>
    <col min="15354" max="15354" width="13.5" style="23" customWidth="1"/>
    <col min="15355" max="15355" width="24" style="23" customWidth="1"/>
    <col min="15356" max="15356" width="10.25" style="23" customWidth="1"/>
    <col min="15357" max="15358" width="0" style="23" hidden="1" customWidth="1"/>
    <col min="15359" max="15607" width="8.75" style="23"/>
    <col min="15608" max="15608" width="5.75" style="23" customWidth="1"/>
    <col min="15609" max="15609" width="82.5" style="23" customWidth="1"/>
    <col min="15610" max="15610" width="13.5" style="23" customWidth="1"/>
    <col min="15611" max="15611" width="24" style="23" customWidth="1"/>
    <col min="15612" max="15612" width="10.25" style="23" customWidth="1"/>
    <col min="15613" max="15614" width="0" style="23" hidden="1" customWidth="1"/>
    <col min="15615" max="15863" width="8.75" style="23"/>
    <col min="15864" max="15864" width="5.75" style="23" customWidth="1"/>
    <col min="15865" max="15865" width="82.5" style="23" customWidth="1"/>
    <col min="15866" max="15866" width="13.5" style="23" customWidth="1"/>
    <col min="15867" max="15867" width="24" style="23" customWidth="1"/>
    <col min="15868" max="15868" width="10.25" style="23" customWidth="1"/>
    <col min="15869" max="15870" width="0" style="23" hidden="1" customWidth="1"/>
    <col min="15871" max="16119" width="8.75" style="23"/>
    <col min="16120" max="16120" width="5.75" style="23" customWidth="1"/>
    <col min="16121" max="16121" width="82.5" style="23" customWidth="1"/>
    <col min="16122" max="16122" width="13.5" style="23" customWidth="1"/>
    <col min="16123" max="16123" width="24" style="23" customWidth="1"/>
    <col min="16124" max="16124" width="10.25" style="23" customWidth="1"/>
    <col min="16125" max="16126" width="0" style="23" hidden="1" customWidth="1"/>
    <col min="16127" max="16384" width="8.75" style="23"/>
  </cols>
  <sheetData>
    <row r="1" spans="1:4" ht="15.75" thickBot="1">
      <c r="A1" s="289" t="s">
        <v>9</v>
      </c>
      <c r="B1" s="289"/>
      <c r="C1" s="289"/>
      <c r="D1" s="289"/>
    </row>
    <row r="2" spans="1:4" s="25" customFormat="1" ht="15.75" thickBot="1">
      <c r="A2" s="310" t="s">
        <v>12</v>
      </c>
      <c r="B2" s="311"/>
      <c r="C2" s="311"/>
      <c r="D2" s="312"/>
    </row>
    <row r="3" spans="1:4" s="25" customFormat="1">
      <c r="A3" s="287"/>
      <c r="B3" s="287"/>
      <c r="C3" s="313"/>
      <c r="D3" s="313"/>
    </row>
    <row r="4" spans="1:4" s="25" customFormat="1">
      <c r="A4" s="314" t="s">
        <v>13</v>
      </c>
      <c r="B4" s="314"/>
      <c r="C4" s="315" t="s">
        <v>490</v>
      </c>
      <c r="D4" s="315"/>
    </row>
    <row r="5" spans="1:4" s="25" customFormat="1">
      <c r="A5" s="314" t="s">
        <v>14</v>
      </c>
      <c r="B5" s="314"/>
      <c r="C5" s="316" t="s">
        <v>15</v>
      </c>
      <c r="D5" s="316"/>
    </row>
    <row r="6" spans="1:4" s="25" customFormat="1">
      <c r="A6" s="314" t="s">
        <v>16</v>
      </c>
      <c r="B6" s="314"/>
      <c r="C6" s="316" t="s">
        <v>489</v>
      </c>
      <c r="D6" s="316"/>
    </row>
    <row r="7" spans="1:4" s="25" customFormat="1" ht="15" customHeight="1">
      <c r="A7" s="317" t="s">
        <v>17</v>
      </c>
      <c r="B7" s="317"/>
      <c r="C7" s="316" t="s">
        <v>491</v>
      </c>
      <c r="D7" s="316"/>
    </row>
    <row r="8" spans="1:4" s="25" customFormat="1">
      <c r="A8" s="314" t="s">
        <v>18</v>
      </c>
      <c r="B8" s="314"/>
      <c r="C8" s="316">
        <v>12</v>
      </c>
      <c r="D8" s="316"/>
    </row>
    <row r="9" spans="1:4" s="25" customFormat="1">
      <c r="A9" s="39"/>
      <c r="B9" s="39"/>
      <c r="C9" s="6"/>
      <c r="D9" s="6"/>
    </row>
    <row r="10" spans="1:4" s="25" customFormat="1">
      <c r="A10" s="320" t="s">
        <v>19</v>
      </c>
      <c r="B10" s="320"/>
      <c r="C10" s="320" t="s">
        <v>84</v>
      </c>
      <c r="D10" s="320"/>
    </row>
    <row r="11" spans="1:4" s="25" customFormat="1">
      <c r="A11" s="306" t="s">
        <v>385</v>
      </c>
      <c r="B11" s="306"/>
      <c r="C11" s="321" t="s">
        <v>387</v>
      </c>
      <c r="D11" s="306"/>
    </row>
    <row r="12" spans="1:4" s="25" customFormat="1">
      <c r="A12" s="4"/>
      <c r="B12" s="4"/>
      <c r="C12" s="5"/>
      <c r="D12" s="6"/>
    </row>
    <row r="13" spans="1:4" s="25" customFormat="1">
      <c r="A13" s="322" t="s">
        <v>86</v>
      </c>
      <c r="B13" s="322"/>
      <c r="C13" s="322"/>
      <c r="D13" s="322"/>
    </row>
    <row r="14" spans="1:4">
      <c r="A14" s="76">
        <v>1</v>
      </c>
      <c r="B14" s="77" t="s">
        <v>20</v>
      </c>
      <c r="C14" s="76"/>
      <c r="D14" s="78" t="s">
        <v>21</v>
      </c>
    </row>
    <row r="15" spans="1:4">
      <c r="A15" s="79" t="s">
        <v>128</v>
      </c>
      <c r="B15" s="66" t="s">
        <v>22</v>
      </c>
      <c r="C15" s="80"/>
      <c r="D15" s="81">
        <v>2404</v>
      </c>
    </row>
    <row r="16" spans="1:4">
      <c r="A16" s="79" t="s">
        <v>130</v>
      </c>
      <c r="B16" s="66" t="s">
        <v>23</v>
      </c>
      <c r="C16" s="80"/>
      <c r="D16" s="81">
        <v>0</v>
      </c>
    </row>
    <row r="17" spans="1:4">
      <c r="A17" s="79" t="s">
        <v>192</v>
      </c>
      <c r="B17" s="66" t="s">
        <v>24</v>
      </c>
      <c r="C17" s="80"/>
      <c r="D17" s="81">
        <v>0</v>
      </c>
    </row>
    <row r="18" spans="1:4">
      <c r="A18" s="79" t="s">
        <v>193</v>
      </c>
      <c r="B18" s="66" t="s">
        <v>354</v>
      </c>
      <c r="C18" s="80"/>
      <c r="D18" s="81">
        <f>(D15*C18)</f>
        <v>0</v>
      </c>
    </row>
    <row r="19" spans="1:4">
      <c r="A19" s="79" t="s">
        <v>194</v>
      </c>
      <c r="B19" s="66" t="s">
        <v>195</v>
      </c>
      <c r="C19" s="80"/>
      <c r="D19" s="81">
        <f>(D16*C19)</f>
        <v>0</v>
      </c>
    </row>
    <row r="20" spans="1:4">
      <c r="A20" s="79" t="s">
        <v>196</v>
      </c>
      <c r="B20" s="66" t="s">
        <v>25</v>
      </c>
      <c r="C20" s="80"/>
      <c r="D20" s="81">
        <v>0</v>
      </c>
    </row>
    <row r="21" spans="1:4">
      <c r="A21" s="79" t="s">
        <v>197</v>
      </c>
      <c r="B21" s="66" t="s">
        <v>85</v>
      </c>
      <c r="C21" s="80"/>
      <c r="D21" s="81">
        <v>0</v>
      </c>
    </row>
    <row r="22" spans="1:4">
      <c r="A22" s="79" t="s">
        <v>198</v>
      </c>
      <c r="B22" s="66" t="s">
        <v>26</v>
      </c>
      <c r="C22" s="80"/>
      <c r="D22" s="81">
        <v>0</v>
      </c>
    </row>
    <row r="23" spans="1:4">
      <c r="A23" s="79" t="s">
        <v>199</v>
      </c>
      <c r="B23" s="66" t="s">
        <v>27</v>
      </c>
      <c r="C23" s="80"/>
      <c r="D23" s="81">
        <v>0</v>
      </c>
    </row>
    <row r="24" spans="1:4">
      <c r="A24" s="79" t="s">
        <v>200</v>
      </c>
      <c r="B24" s="66" t="s">
        <v>28</v>
      </c>
      <c r="C24" s="80"/>
      <c r="D24" s="81">
        <f>SUM(D15:D23)*C24</f>
        <v>0</v>
      </c>
    </row>
    <row r="25" spans="1:4">
      <c r="A25" s="307" t="s">
        <v>29</v>
      </c>
      <c r="B25" s="307"/>
      <c r="C25" s="83"/>
      <c r="D25" s="78">
        <f>SUM(D15:D24)</f>
        <v>2404</v>
      </c>
    </row>
    <row r="27" spans="1:4" s="25" customFormat="1">
      <c r="A27" s="306" t="s">
        <v>87</v>
      </c>
      <c r="B27" s="306"/>
      <c r="C27" s="306"/>
      <c r="D27" s="306"/>
    </row>
    <row r="28" spans="1:4" ht="30">
      <c r="A28" s="76" t="s">
        <v>88</v>
      </c>
      <c r="B28" s="77" t="s">
        <v>104</v>
      </c>
      <c r="C28" s="76" t="s">
        <v>11</v>
      </c>
      <c r="D28" s="76" t="s">
        <v>37</v>
      </c>
    </row>
    <row r="29" spans="1:4" s="25" customFormat="1">
      <c r="A29" s="79" t="s">
        <v>201</v>
      </c>
      <c r="B29" s="66" t="s">
        <v>45</v>
      </c>
      <c r="C29" s="84">
        <v>8.3299999999999999E-2</v>
      </c>
      <c r="D29" s="85">
        <f>($D$25*C29)</f>
        <v>200.25319999999999</v>
      </c>
    </row>
    <row r="30" spans="1:4">
      <c r="A30" s="79" t="s">
        <v>202</v>
      </c>
      <c r="B30" s="86" t="s">
        <v>52</v>
      </c>
      <c r="C30" s="87">
        <v>0.1111</v>
      </c>
      <c r="D30" s="85">
        <f>($D$25*C30)</f>
        <v>267.08440000000002</v>
      </c>
    </row>
    <row r="31" spans="1:4">
      <c r="A31" s="79" t="s">
        <v>203</v>
      </c>
      <c r="B31" s="86" t="s">
        <v>101</v>
      </c>
      <c r="C31" s="87">
        <f>C43*(C29+C30)</f>
        <v>7.1539200000000025E-2</v>
      </c>
      <c r="D31" s="85">
        <f>($D$25*C31)</f>
        <v>171.98023680000006</v>
      </c>
    </row>
    <row r="32" spans="1:4">
      <c r="A32" s="307" t="s">
        <v>107</v>
      </c>
      <c r="B32" s="307"/>
      <c r="C32" s="83"/>
      <c r="D32" s="78">
        <f>SUM(D29:D31)</f>
        <v>639.31783680000012</v>
      </c>
    </row>
    <row r="34" spans="1:4">
      <c r="A34" s="76" t="s">
        <v>89</v>
      </c>
      <c r="B34" s="77" t="s">
        <v>105</v>
      </c>
      <c r="C34" s="76" t="s">
        <v>11</v>
      </c>
      <c r="D34" s="76" t="s">
        <v>37</v>
      </c>
    </row>
    <row r="35" spans="1:4" s="25" customFormat="1">
      <c r="A35" s="79" t="s">
        <v>204</v>
      </c>
      <c r="B35" s="86" t="s">
        <v>38</v>
      </c>
      <c r="C35" s="89">
        <v>0.2</v>
      </c>
      <c r="D35" s="85">
        <f>(D25*C35)</f>
        <v>480.8</v>
      </c>
    </row>
    <row r="36" spans="1:4" s="25" customFormat="1">
      <c r="A36" s="79" t="s">
        <v>205</v>
      </c>
      <c r="B36" s="86" t="s">
        <v>39</v>
      </c>
      <c r="C36" s="89">
        <v>0.08</v>
      </c>
      <c r="D36" s="85">
        <f>(D25*C36)</f>
        <v>192.32</v>
      </c>
    </row>
    <row r="37" spans="1:4" s="25" customFormat="1">
      <c r="A37" s="79" t="s">
        <v>206</v>
      </c>
      <c r="B37" s="86" t="s">
        <v>40</v>
      </c>
      <c r="C37" s="89">
        <v>1.4999999999999999E-2</v>
      </c>
      <c r="D37" s="85">
        <f>(D25*C37)</f>
        <v>36.059999999999995</v>
      </c>
    </row>
    <row r="38" spans="1:4" s="25" customFormat="1">
      <c r="A38" s="79" t="s">
        <v>207</v>
      </c>
      <c r="B38" s="86" t="s">
        <v>41</v>
      </c>
      <c r="C38" s="89">
        <v>0.01</v>
      </c>
      <c r="D38" s="85">
        <f>(D25*C38)</f>
        <v>24.04</v>
      </c>
    </row>
    <row r="39" spans="1:4" s="25" customFormat="1">
      <c r="A39" s="79" t="s">
        <v>208</v>
      </c>
      <c r="B39" s="86" t="s">
        <v>42</v>
      </c>
      <c r="C39" s="89">
        <v>6.0000000000000001E-3</v>
      </c>
      <c r="D39" s="85">
        <f>(D25*C39)</f>
        <v>14.423999999999999</v>
      </c>
    </row>
    <row r="40" spans="1:4" s="25" customFormat="1">
      <c r="A40" s="79" t="s">
        <v>209</v>
      </c>
      <c r="B40" s="86" t="s">
        <v>43</v>
      </c>
      <c r="C40" s="89">
        <v>2E-3</v>
      </c>
      <c r="D40" s="85">
        <f>(D25*C40)</f>
        <v>4.8079999999999998</v>
      </c>
    </row>
    <row r="41" spans="1:4" s="25" customFormat="1">
      <c r="A41" s="79" t="s">
        <v>210</v>
      </c>
      <c r="B41" s="86" t="s">
        <v>44</v>
      </c>
      <c r="C41" s="89">
        <v>2.5000000000000001E-2</v>
      </c>
      <c r="D41" s="85">
        <f>(D25*C41)</f>
        <v>60.1</v>
      </c>
    </row>
    <row r="42" spans="1:4" s="25" customFormat="1">
      <c r="A42" s="79" t="s">
        <v>211</v>
      </c>
      <c r="B42" s="86" t="s">
        <v>102</v>
      </c>
      <c r="C42" s="89">
        <v>0.03</v>
      </c>
      <c r="D42" s="85">
        <f>(D25*C42)</f>
        <v>72.11999999999999</v>
      </c>
    </row>
    <row r="43" spans="1:4">
      <c r="A43" s="307" t="s">
        <v>107</v>
      </c>
      <c r="B43" s="307"/>
      <c r="C43" s="83">
        <f>SUM(C35:C42)</f>
        <v>0.3680000000000001</v>
      </c>
      <c r="D43" s="78">
        <f>SUM(D35:D42)</f>
        <v>884.67199999999991</v>
      </c>
    </row>
    <row r="45" spans="1:4">
      <c r="A45" s="76" t="s">
        <v>90</v>
      </c>
      <c r="B45" s="77" t="s">
        <v>106</v>
      </c>
      <c r="C45" s="76"/>
      <c r="D45" s="78" t="s">
        <v>21</v>
      </c>
    </row>
    <row r="46" spans="1:4">
      <c r="A46" s="79" t="s">
        <v>212</v>
      </c>
      <c r="B46" s="66" t="s">
        <v>30</v>
      </c>
      <c r="C46" s="90">
        <v>6.25</v>
      </c>
      <c r="D46" s="81">
        <f>(C46*50.16)-(6%*D15)</f>
        <v>169.26000000000002</v>
      </c>
    </row>
    <row r="47" spans="1:4">
      <c r="A47" s="79" t="s">
        <v>214</v>
      </c>
      <c r="B47" s="66" t="s">
        <v>31</v>
      </c>
      <c r="C47" s="90">
        <v>900</v>
      </c>
      <c r="D47" s="81">
        <f>C47-(C47*0.2)</f>
        <v>720</v>
      </c>
    </row>
    <row r="48" spans="1:4">
      <c r="A48" s="79" t="s">
        <v>216</v>
      </c>
      <c r="B48" s="66" t="s">
        <v>32</v>
      </c>
      <c r="C48" s="90">
        <v>94.5</v>
      </c>
      <c r="D48" s="81">
        <f>C48</f>
        <v>94.5</v>
      </c>
    </row>
    <row r="49" spans="1:4">
      <c r="A49" s="79" t="s">
        <v>217</v>
      </c>
      <c r="B49" s="66" t="s">
        <v>33</v>
      </c>
      <c r="C49" s="90">
        <v>31</v>
      </c>
      <c r="D49" s="81">
        <f>C49</f>
        <v>31</v>
      </c>
    </row>
    <row r="50" spans="1:4">
      <c r="A50" s="79" t="s">
        <v>218</v>
      </c>
      <c r="B50" s="66" t="s">
        <v>34</v>
      </c>
      <c r="C50" s="90"/>
      <c r="D50" s="81">
        <f>C50</f>
        <v>0</v>
      </c>
    </row>
    <row r="51" spans="1:4">
      <c r="A51" s="79" t="s">
        <v>219</v>
      </c>
      <c r="B51" s="66" t="s">
        <v>35</v>
      </c>
      <c r="C51" s="90"/>
      <c r="D51" s="81">
        <f>C51</f>
        <v>0</v>
      </c>
    </row>
    <row r="52" spans="1:4">
      <c r="A52" s="79" t="s">
        <v>220</v>
      </c>
      <c r="B52" s="66" t="s">
        <v>221</v>
      </c>
      <c r="C52" s="90">
        <v>900</v>
      </c>
      <c r="D52" s="81">
        <f>(C52-(C52*0.2))/12</f>
        <v>60</v>
      </c>
    </row>
    <row r="53" spans="1:4">
      <c r="A53" s="79" t="s">
        <v>223</v>
      </c>
      <c r="B53" s="66" t="s">
        <v>224</v>
      </c>
      <c r="C53" s="90">
        <v>205</v>
      </c>
      <c r="D53" s="81">
        <f>C53</f>
        <v>205</v>
      </c>
    </row>
    <row r="54" spans="1:4">
      <c r="A54" s="79" t="s">
        <v>225</v>
      </c>
      <c r="B54" s="66" t="s">
        <v>226</v>
      </c>
      <c r="C54" s="156">
        <v>9.2499999999999999E-2</v>
      </c>
      <c r="D54" s="81">
        <f>-(D46+D47+D52)*C54</f>
        <v>-87.806550000000001</v>
      </c>
    </row>
    <row r="55" spans="1:4">
      <c r="A55" s="307" t="s">
        <v>107</v>
      </c>
      <c r="B55" s="307"/>
      <c r="C55" s="83"/>
      <c r="D55" s="78">
        <f>SUM(D46:D54)</f>
        <v>1191.95345</v>
      </c>
    </row>
    <row r="57" spans="1:4">
      <c r="A57" s="304" t="s">
        <v>93</v>
      </c>
      <c r="B57" s="304"/>
      <c r="C57" s="304"/>
      <c r="D57" s="304"/>
    </row>
    <row r="58" spans="1:4">
      <c r="A58" s="79" t="s">
        <v>88</v>
      </c>
      <c r="B58" s="66" t="s">
        <v>92</v>
      </c>
      <c r="C58" s="302">
        <f>D32</f>
        <v>639.31783680000012</v>
      </c>
      <c r="D58" s="302"/>
    </row>
    <row r="59" spans="1:4">
      <c r="A59" s="79" t="s">
        <v>89</v>
      </c>
      <c r="B59" s="66" t="s">
        <v>94</v>
      </c>
      <c r="C59" s="302">
        <f>D43</f>
        <v>884.67199999999991</v>
      </c>
      <c r="D59" s="302"/>
    </row>
    <row r="60" spans="1:4">
      <c r="A60" s="79" t="s">
        <v>90</v>
      </c>
      <c r="B60" s="66" t="s">
        <v>91</v>
      </c>
      <c r="C60" s="308">
        <f>D55</f>
        <v>1191.95345</v>
      </c>
      <c r="D60" s="308"/>
    </row>
    <row r="61" spans="1:4">
      <c r="A61" s="304" t="s">
        <v>95</v>
      </c>
      <c r="B61" s="304"/>
      <c r="C61" s="305">
        <f>SUM(C58:D60)</f>
        <v>2715.9432867999999</v>
      </c>
      <c r="D61" s="305"/>
    </row>
    <row r="63" spans="1:4" s="25" customFormat="1">
      <c r="A63" s="306" t="s">
        <v>96</v>
      </c>
      <c r="B63" s="306"/>
      <c r="C63" s="306"/>
      <c r="D63" s="306"/>
    </row>
    <row r="64" spans="1:4">
      <c r="A64" s="76">
        <v>3</v>
      </c>
      <c r="B64" s="77" t="s">
        <v>98</v>
      </c>
      <c r="C64" s="94" t="s">
        <v>11</v>
      </c>
      <c r="D64" s="76" t="s">
        <v>37</v>
      </c>
    </row>
    <row r="65" spans="1:4" s="25" customFormat="1">
      <c r="A65" s="79" t="s">
        <v>131</v>
      </c>
      <c r="B65" s="96" t="s">
        <v>51</v>
      </c>
      <c r="C65" s="97">
        <v>4.1700000000000001E-3</v>
      </c>
      <c r="D65" s="85">
        <f t="shared" ref="D65:D70" si="0">($D$25*C65)</f>
        <v>10.02468</v>
      </c>
    </row>
    <row r="66" spans="1:4" s="25" customFormat="1">
      <c r="A66" s="79" t="s">
        <v>176</v>
      </c>
      <c r="B66" s="96" t="s">
        <v>53</v>
      </c>
      <c r="C66" s="97">
        <v>3.3E-4</v>
      </c>
      <c r="D66" s="85">
        <f t="shared" si="0"/>
        <v>0.79332000000000003</v>
      </c>
    </row>
    <row r="67" spans="1:4" s="25" customFormat="1" ht="30">
      <c r="A67" s="79" t="s">
        <v>233</v>
      </c>
      <c r="B67" s="96" t="s">
        <v>54</v>
      </c>
      <c r="C67" s="97"/>
      <c r="D67" s="85">
        <f t="shared" si="0"/>
        <v>0</v>
      </c>
    </row>
    <row r="68" spans="1:4" s="25" customFormat="1">
      <c r="A68" s="79" t="s">
        <v>236</v>
      </c>
      <c r="B68" s="96" t="s">
        <v>46</v>
      </c>
      <c r="C68" s="97">
        <v>1.9439999999999999E-2</v>
      </c>
      <c r="D68" s="85">
        <f t="shared" si="0"/>
        <v>46.733759999999997</v>
      </c>
    </row>
    <row r="69" spans="1:4" s="25" customFormat="1" ht="30">
      <c r="A69" s="79" t="s">
        <v>239</v>
      </c>
      <c r="B69" s="96" t="s">
        <v>97</v>
      </c>
      <c r="C69" s="97">
        <f>C43*C68</f>
        <v>7.153920000000002E-3</v>
      </c>
      <c r="D69" s="85">
        <f t="shared" si="0"/>
        <v>17.198023680000006</v>
      </c>
    </row>
    <row r="70" spans="1:4" s="25" customFormat="1">
      <c r="A70" s="79" t="s">
        <v>242</v>
      </c>
      <c r="B70" s="96" t="s">
        <v>243</v>
      </c>
      <c r="C70" s="97">
        <v>3.4389999999999997E-2</v>
      </c>
      <c r="D70" s="85">
        <f t="shared" si="0"/>
        <v>82.673559999999995</v>
      </c>
    </row>
    <row r="71" spans="1:4">
      <c r="A71" s="309" t="s">
        <v>107</v>
      </c>
      <c r="B71" s="309"/>
      <c r="C71" s="99">
        <f>SUM(C65:C70)</f>
        <v>6.5483920000000001E-2</v>
      </c>
      <c r="D71" s="100">
        <f>SUM(D65:D70)</f>
        <v>157.42334368000002</v>
      </c>
    </row>
    <row r="73" spans="1:4" s="25" customFormat="1">
      <c r="A73" s="306" t="s">
        <v>99</v>
      </c>
      <c r="B73" s="306"/>
      <c r="C73" s="306"/>
      <c r="D73" s="306"/>
    </row>
    <row r="74" spans="1:4">
      <c r="A74" s="76" t="s">
        <v>103</v>
      </c>
      <c r="B74" s="77" t="s">
        <v>247</v>
      </c>
      <c r="C74" s="94" t="s">
        <v>11</v>
      </c>
      <c r="D74" s="76" t="s">
        <v>37</v>
      </c>
    </row>
    <row r="75" spans="1:4" s="25" customFormat="1">
      <c r="A75" s="79" t="s">
        <v>248</v>
      </c>
      <c r="B75" s="66" t="s">
        <v>249</v>
      </c>
      <c r="C75" s="84">
        <v>4.15E-3</v>
      </c>
      <c r="D75" s="85">
        <f>($D$25*C75)</f>
        <v>9.9765999999999995</v>
      </c>
    </row>
    <row r="76" spans="1:4" s="25" customFormat="1">
      <c r="A76" s="79" t="s">
        <v>251</v>
      </c>
      <c r="B76" s="66" t="s">
        <v>252</v>
      </c>
      <c r="C76" s="84">
        <v>2.0000000000000001E-4</v>
      </c>
      <c r="D76" s="85">
        <f>($D$25*C76)</f>
        <v>0.48080000000000001</v>
      </c>
    </row>
    <row r="77" spans="1:4" s="25" customFormat="1">
      <c r="A77" s="79" t="s">
        <v>253</v>
      </c>
      <c r="B77" s="66" t="s">
        <v>254</v>
      </c>
      <c r="C77" s="84">
        <v>5.1000000000000004E-4</v>
      </c>
      <c r="D77" s="85">
        <f>($D$25*C77)</f>
        <v>1.22604</v>
      </c>
    </row>
    <row r="78" spans="1:4" s="25" customFormat="1" ht="30">
      <c r="A78" s="79" t="s">
        <v>255</v>
      </c>
      <c r="B78" s="66" t="s">
        <v>256</v>
      </c>
      <c r="C78" s="84">
        <v>3.8999999999999999E-4</v>
      </c>
      <c r="D78" s="85">
        <f>($D$25*C78)</f>
        <v>0.93755999999999995</v>
      </c>
    </row>
    <row r="79" spans="1:4" s="25" customFormat="1">
      <c r="A79" s="79" t="s">
        <v>257</v>
      </c>
      <c r="B79" s="66" t="s">
        <v>100</v>
      </c>
      <c r="C79" s="84"/>
      <c r="D79" s="85"/>
    </row>
    <row r="80" spans="1:4">
      <c r="A80" s="307" t="s">
        <v>107</v>
      </c>
      <c r="B80" s="307"/>
      <c r="C80" s="83">
        <f>SUM(C75:C79)</f>
        <v>5.2499999999999995E-3</v>
      </c>
      <c r="D80" s="78">
        <f>SUM(D75:D79)</f>
        <v>12.620999999999999</v>
      </c>
    </row>
    <row r="82" spans="1:4">
      <c r="A82" s="304" t="s">
        <v>258</v>
      </c>
      <c r="B82" s="304"/>
      <c r="C82" s="304"/>
      <c r="D82" s="304"/>
    </row>
    <row r="83" spans="1:4">
      <c r="A83" s="79" t="s">
        <v>103</v>
      </c>
      <c r="B83" s="66" t="s">
        <v>111</v>
      </c>
      <c r="C83" s="302">
        <f>D80</f>
        <v>12.620999999999999</v>
      </c>
      <c r="D83" s="302"/>
    </row>
    <row r="84" spans="1:4">
      <c r="A84" s="76" t="s">
        <v>95</v>
      </c>
      <c r="B84" s="76" t="s">
        <v>95</v>
      </c>
      <c r="C84" s="305">
        <f>SUM(C83:D83)</f>
        <v>12.620999999999999</v>
      </c>
      <c r="D84" s="305"/>
    </row>
    <row r="86" spans="1:4" s="25" customFormat="1">
      <c r="A86" s="306" t="s">
        <v>108</v>
      </c>
      <c r="B86" s="306"/>
      <c r="C86" s="306"/>
      <c r="D86" s="306"/>
    </row>
    <row r="87" spans="1:4">
      <c r="A87" s="76">
        <v>5</v>
      </c>
      <c r="B87" s="77" t="s">
        <v>109</v>
      </c>
      <c r="C87" s="76"/>
      <c r="D87" s="78" t="s">
        <v>21</v>
      </c>
    </row>
    <row r="88" spans="1:4">
      <c r="A88" s="79" t="s">
        <v>133</v>
      </c>
      <c r="B88" s="66" t="s">
        <v>120</v>
      </c>
      <c r="C88" s="92"/>
      <c r="D88" s="81">
        <v>61.115000000000002</v>
      </c>
    </row>
    <row r="89" spans="1:4">
      <c r="A89" s="79" t="s">
        <v>178</v>
      </c>
      <c r="B89" s="66" t="s">
        <v>121</v>
      </c>
      <c r="C89" s="92"/>
      <c r="D89" s="81">
        <v>101.61</v>
      </c>
    </row>
    <row r="90" spans="1:4">
      <c r="A90" s="79" t="s">
        <v>259</v>
      </c>
      <c r="B90" s="66" t="s">
        <v>226</v>
      </c>
      <c r="C90" s="91">
        <v>9.2499999999999999E-2</v>
      </c>
      <c r="D90" s="81">
        <f>-(D88+D89)*C90</f>
        <v>-15.0520625</v>
      </c>
    </row>
    <row r="91" spans="1:4">
      <c r="A91" s="307"/>
      <c r="B91" s="307" t="s">
        <v>36</v>
      </c>
      <c r="C91" s="83"/>
      <c r="D91" s="78">
        <f>SUM(D88:D90)</f>
        <v>147.67293749999999</v>
      </c>
    </row>
    <row r="93" spans="1:4">
      <c r="A93" s="304" t="s">
        <v>110</v>
      </c>
      <c r="B93" s="304"/>
      <c r="C93" s="304"/>
      <c r="D93" s="304"/>
    </row>
    <row r="94" spans="1:4">
      <c r="A94" s="79">
        <v>1</v>
      </c>
      <c r="B94" s="66" t="s">
        <v>86</v>
      </c>
      <c r="C94" s="302">
        <f>D25</f>
        <v>2404</v>
      </c>
      <c r="D94" s="303"/>
    </row>
    <row r="95" spans="1:4" ht="30">
      <c r="A95" s="79">
        <v>2</v>
      </c>
      <c r="B95" s="66" t="s">
        <v>87</v>
      </c>
      <c r="C95" s="302">
        <f>C61</f>
        <v>2715.9432867999999</v>
      </c>
      <c r="D95" s="303"/>
    </row>
    <row r="96" spans="1:4">
      <c r="A96" s="79">
        <v>3</v>
      </c>
      <c r="B96" s="66" t="s">
        <v>96</v>
      </c>
      <c r="C96" s="302">
        <f>D71</f>
        <v>157.42334368000002</v>
      </c>
      <c r="D96" s="303"/>
    </row>
    <row r="97" spans="1:4" ht="30">
      <c r="A97" s="79">
        <v>4</v>
      </c>
      <c r="B97" s="66" t="s">
        <v>99</v>
      </c>
      <c r="C97" s="302">
        <f>C84</f>
        <v>12.620999999999999</v>
      </c>
      <c r="D97" s="303"/>
    </row>
    <row r="98" spans="1:4">
      <c r="A98" s="79">
        <v>5</v>
      </c>
      <c r="B98" s="66" t="s">
        <v>108</v>
      </c>
      <c r="C98" s="302">
        <f>D91</f>
        <v>147.67293749999999</v>
      </c>
      <c r="D98" s="303"/>
    </row>
    <row r="99" spans="1:4">
      <c r="A99" s="304" t="s">
        <v>95</v>
      </c>
      <c r="B99" s="304" t="s">
        <v>95</v>
      </c>
      <c r="C99" s="305">
        <f>SUM(C94:D98)</f>
        <v>5437.6605679800014</v>
      </c>
      <c r="D99" s="305">
        <f>SUM(D94:D98)</f>
        <v>0</v>
      </c>
    </row>
    <row r="101" spans="1:4" s="6" customFormat="1" ht="110.25" customHeight="1">
      <c r="A101" s="301" t="s">
        <v>260</v>
      </c>
      <c r="B101" s="301"/>
      <c r="C101" s="301"/>
      <c r="D101" s="301"/>
    </row>
    <row r="102" spans="1:4" s="6" customFormat="1">
      <c r="A102" s="181"/>
      <c r="B102" s="181"/>
      <c r="C102" s="182"/>
      <c r="D102" s="181"/>
    </row>
    <row r="103" spans="1:4" s="6" customFormat="1" ht="176.25" customHeight="1">
      <c r="A103" s="301" t="s">
        <v>261</v>
      </c>
      <c r="B103" s="301"/>
      <c r="C103" s="301"/>
      <c r="D103" s="301"/>
    </row>
    <row r="104" spans="1:4" s="6" customFormat="1">
      <c r="A104" s="181"/>
      <c r="B104" s="181"/>
      <c r="C104" s="182"/>
      <c r="D104" s="181"/>
    </row>
    <row r="105" spans="1:4" s="6" customFormat="1" ht="222" customHeight="1">
      <c r="A105" s="301" t="s">
        <v>262</v>
      </c>
      <c r="B105" s="301"/>
      <c r="C105" s="301"/>
      <c r="D105" s="301"/>
    </row>
    <row r="106" spans="1:4">
      <c r="C106" s="23"/>
    </row>
    <row r="107" spans="1:4">
      <c r="C107" s="23"/>
    </row>
    <row r="108" spans="1:4">
      <c r="C108" s="23"/>
    </row>
    <row r="109" spans="1:4">
      <c r="C109" s="23"/>
    </row>
    <row r="110" spans="1:4">
      <c r="C110" s="23"/>
    </row>
    <row r="111" spans="1:4">
      <c r="C111" s="23"/>
    </row>
    <row r="112" spans="1:4">
      <c r="C112" s="23"/>
    </row>
    <row r="113" spans="3:3">
      <c r="C113" s="23"/>
    </row>
    <row r="114" spans="3:3">
      <c r="C114" s="23"/>
    </row>
  </sheetData>
  <mergeCells count="50">
    <mergeCell ref="A1:D1"/>
    <mergeCell ref="A2:D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55:B55"/>
    <mergeCell ref="A8:B8"/>
    <mergeCell ref="C8:D8"/>
    <mergeCell ref="A10:B10"/>
    <mergeCell ref="C10:D10"/>
    <mergeCell ref="A11:B11"/>
    <mergeCell ref="C11:D11"/>
    <mergeCell ref="A13:D13"/>
    <mergeCell ref="A25:B25"/>
    <mergeCell ref="A27:D27"/>
    <mergeCell ref="A32:B32"/>
    <mergeCell ref="A43:B43"/>
    <mergeCell ref="A57:D57"/>
    <mergeCell ref="C58:D58"/>
    <mergeCell ref="C59:D59"/>
    <mergeCell ref="C60:D60"/>
    <mergeCell ref="A61:B61"/>
    <mergeCell ref="C61:D61"/>
    <mergeCell ref="C95:D95"/>
    <mergeCell ref="A63:D63"/>
    <mergeCell ref="A71:B71"/>
    <mergeCell ref="A73:D73"/>
    <mergeCell ref="A80:B80"/>
    <mergeCell ref="A82:D82"/>
    <mergeCell ref="C83:D83"/>
    <mergeCell ref="C84:D84"/>
    <mergeCell ref="A86:D86"/>
    <mergeCell ref="A91:B91"/>
    <mergeCell ref="A93:D93"/>
    <mergeCell ref="C94:D94"/>
    <mergeCell ref="A103:D103"/>
    <mergeCell ref="A105:D105"/>
    <mergeCell ref="C96:D96"/>
    <mergeCell ref="C97:D97"/>
    <mergeCell ref="C98:D98"/>
    <mergeCell ref="A99:B99"/>
    <mergeCell ref="C99:D99"/>
    <mergeCell ref="A101:D10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</sheetPr>
  <dimension ref="A1:O114"/>
  <sheetViews>
    <sheetView showGridLines="0" zoomScaleNormal="100" workbookViewId="0">
      <selection activeCell="C8" sqref="C8:D8"/>
    </sheetView>
  </sheetViews>
  <sheetFormatPr defaultColWidth="8.75" defaultRowHeight="15"/>
  <cols>
    <col min="1" max="1" width="5.75" style="23" customWidth="1"/>
    <col min="2" max="2" width="46.75" style="23" customWidth="1"/>
    <col min="3" max="3" width="11.125" style="22" bestFit="1" customWidth="1"/>
    <col min="4" max="4" width="15.5" style="23" bestFit="1" customWidth="1"/>
    <col min="5" max="5" width="3.75" style="24" customWidth="1"/>
    <col min="6" max="6" width="5.25" style="24" hidden="1" customWidth="1"/>
    <col min="7" max="7" width="44.375" style="24" hidden="1" customWidth="1"/>
    <col min="8" max="8" width="37.75" style="24" hidden="1" customWidth="1"/>
    <col min="9" max="9" width="47.75" style="24" hidden="1" customWidth="1"/>
    <col min="10" max="258" width="8.75" style="23"/>
    <col min="259" max="259" width="5.75" style="23" customWidth="1"/>
    <col min="260" max="260" width="82.5" style="23" customWidth="1"/>
    <col min="261" max="261" width="13.5" style="23" customWidth="1"/>
    <col min="262" max="262" width="24" style="23" customWidth="1"/>
    <col min="263" max="263" width="10.25" style="23" customWidth="1"/>
    <col min="264" max="265" width="0" style="23" hidden="1" customWidth="1"/>
    <col min="266" max="514" width="8.75" style="23"/>
    <col min="515" max="515" width="5.75" style="23" customWidth="1"/>
    <col min="516" max="516" width="82.5" style="23" customWidth="1"/>
    <col min="517" max="517" width="13.5" style="23" customWidth="1"/>
    <col min="518" max="518" width="24" style="23" customWidth="1"/>
    <col min="519" max="519" width="10.25" style="23" customWidth="1"/>
    <col min="520" max="521" width="0" style="23" hidden="1" customWidth="1"/>
    <col min="522" max="770" width="8.75" style="23"/>
    <col min="771" max="771" width="5.75" style="23" customWidth="1"/>
    <col min="772" max="772" width="82.5" style="23" customWidth="1"/>
    <col min="773" max="773" width="13.5" style="23" customWidth="1"/>
    <col min="774" max="774" width="24" style="23" customWidth="1"/>
    <col min="775" max="775" width="10.25" style="23" customWidth="1"/>
    <col min="776" max="777" width="0" style="23" hidden="1" customWidth="1"/>
    <col min="778" max="1026" width="8.75" style="23"/>
    <col min="1027" max="1027" width="5.75" style="23" customWidth="1"/>
    <col min="1028" max="1028" width="82.5" style="23" customWidth="1"/>
    <col min="1029" max="1029" width="13.5" style="23" customWidth="1"/>
    <col min="1030" max="1030" width="24" style="23" customWidth="1"/>
    <col min="1031" max="1031" width="10.25" style="23" customWidth="1"/>
    <col min="1032" max="1033" width="0" style="23" hidden="1" customWidth="1"/>
    <col min="1034" max="1282" width="8.75" style="23"/>
    <col min="1283" max="1283" width="5.75" style="23" customWidth="1"/>
    <col min="1284" max="1284" width="82.5" style="23" customWidth="1"/>
    <col min="1285" max="1285" width="13.5" style="23" customWidth="1"/>
    <col min="1286" max="1286" width="24" style="23" customWidth="1"/>
    <col min="1287" max="1287" width="10.25" style="23" customWidth="1"/>
    <col min="1288" max="1289" width="0" style="23" hidden="1" customWidth="1"/>
    <col min="1290" max="1538" width="8.75" style="23"/>
    <col min="1539" max="1539" width="5.75" style="23" customWidth="1"/>
    <col min="1540" max="1540" width="82.5" style="23" customWidth="1"/>
    <col min="1541" max="1541" width="13.5" style="23" customWidth="1"/>
    <col min="1542" max="1542" width="24" style="23" customWidth="1"/>
    <col min="1543" max="1543" width="10.25" style="23" customWidth="1"/>
    <col min="1544" max="1545" width="0" style="23" hidden="1" customWidth="1"/>
    <col min="1546" max="1794" width="8.75" style="23"/>
    <col min="1795" max="1795" width="5.75" style="23" customWidth="1"/>
    <col min="1796" max="1796" width="82.5" style="23" customWidth="1"/>
    <col min="1797" max="1797" width="13.5" style="23" customWidth="1"/>
    <col min="1798" max="1798" width="24" style="23" customWidth="1"/>
    <col min="1799" max="1799" width="10.25" style="23" customWidth="1"/>
    <col min="1800" max="1801" width="0" style="23" hidden="1" customWidth="1"/>
    <col min="1802" max="2050" width="8.75" style="23"/>
    <col min="2051" max="2051" width="5.75" style="23" customWidth="1"/>
    <col min="2052" max="2052" width="82.5" style="23" customWidth="1"/>
    <col min="2053" max="2053" width="13.5" style="23" customWidth="1"/>
    <col min="2054" max="2054" width="24" style="23" customWidth="1"/>
    <col min="2055" max="2055" width="10.25" style="23" customWidth="1"/>
    <col min="2056" max="2057" width="0" style="23" hidden="1" customWidth="1"/>
    <col min="2058" max="2306" width="8.75" style="23"/>
    <col min="2307" max="2307" width="5.75" style="23" customWidth="1"/>
    <col min="2308" max="2308" width="82.5" style="23" customWidth="1"/>
    <col min="2309" max="2309" width="13.5" style="23" customWidth="1"/>
    <col min="2310" max="2310" width="24" style="23" customWidth="1"/>
    <col min="2311" max="2311" width="10.25" style="23" customWidth="1"/>
    <col min="2312" max="2313" width="0" style="23" hidden="1" customWidth="1"/>
    <col min="2314" max="2562" width="8.75" style="23"/>
    <col min="2563" max="2563" width="5.75" style="23" customWidth="1"/>
    <col min="2564" max="2564" width="82.5" style="23" customWidth="1"/>
    <col min="2565" max="2565" width="13.5" style="23" customWidth="1"/>
    <col min="2566" max="2566" width="24" style="23" customWidth="1"/>
    <col min="2567" max="2567" width="10.25" style="23" customWidth="1"/>
    <col min="2568" max="2569" width="0" style="23" hidden="1" customWidth="1"/>
    <col min="2570" max="2818" width="8.75" style="23"/>
    <col min="2819" max="2819" width="5.75" style="23" customWidth="1"/>
    <col min="2820" max="2820" width="82.5" style="23" customWidth="1"/>
    <col min="2821" max="2821" width="13.5" style="23" customWidth="1"/>
    <col min="2822" max="2822" width="24" style="23" customWidth="1"/>
    <col min="2823" max="2823" width="10.25" style="23" customWidth="1"/>
    <col min="2824" max="2825" width="0" style="23" hidden="1" customWidth="1"/>
    <col min="2826" max="3074" width="8.75" style="23"/>
    <col min="3075" max="3075" width="5.75" style="23" customWidth="1"/>
    <col min="3076" max="3076" width="82.5" style="23" customWidth="1"/>
    <col min="3077" max="3077" width="13.5" style="23" customWidth="1"/>
    <col min="3078" max="3078" width="24" style="23" customWidth="1"/>
    <col min="3079" max="3079" width="10.25" style="23" customWidth="1"/>
    <col min="3080" max="3081" width="0" style="23" hidden="1" customWidth="1"/>
    <col min="3082" max="3330" width="8.75" style="23"/>
    <col min="3331" max="3331" width="5.75" style="23" customWidth="1"/>
    <col min="3332" max="3332" width="82.5" style="23" customWidth="1"/>
    <col min="3333" max="3333" width="13.5" style="23" customWidth="1"/>
    <col min="3334" max="3334" width="24" style="23" customWidth="1"/>
    <col min="3335" max="3335" width="10.25" style="23" customWidth="1"/>
    <col min="3336" max="3337" width="0" style="23" hidden="1" customWidth="1"/>
    <col min="3338" max="3586" width="8.75" style="23"/>
    <col min="3587" max="3587" width="5.75" style="23" customWidth="1"/>
    <col min="3588" max="3588" width="82.5" style="23" customWidth="1"/>
    <col min="3589" max="3589" width="13.5" style="23" customWidth="1"/>
    <col min="3590" max="3590" width="24" style="23" customWidth="1"/>
    <col min="3591" max="3591" width="10.25" style="23" customWidth="1"/>
    <col min="3592" max="3593" width="0" style="23" hidden="1" customWidth="1"/>
    <col min="3594" max="3842" width="8.75" style="23"/>
    <col min="3843" max="3843" width="5.75" style="23" customWidth="1"/>
    <col min="3844" max="3844" width="82.5" style="23" customWidth="1"/>
    <col min="3845" max="3845" width="13.5" style="23" customWidth="1"/>
    <col min="3846" max="3846" width="24" style="23" customWidth="1"/>
    <col min="3847" max="3847" width="10.25" style="23" customWidth="1"/>
    <col min="3848" max="3849" width="0" style="23" hidden="1" customWidth="1"/>
    <col min="3850" max="4098" width="8.75" style="23"/>
    <col min="4099" max="4099" width="5.75" style="23" customWidth="1"/>
    <col min="4100" max="4100" width="82.5" style="23" customWidth="1"/>
    <col min="4101" max="4101" width="13.5" style="23" customWidth="1"/>
    <col min="4102" max="4102" width="24" style="23" customWidth="1"/>
    <col min="4103" max="4103" width="10.25" style="23" customWidth="1"/>
    <col min="4104" max="4105" width="0" style="23" hidden="1" customWidth="1"/>
    <col min="4106" max="4354" width="8.75" style="23"/>
    <col min="4355" max="4355" width="5.75" style="23" customWidth="1"/>
    <col min="4356" max="4356" width="82.5" style="23" customWidth="1"/>
    <col min="4357" max="4357" width="13.5" style="23" customWidth="1"/>
    <col min="4358" max="4358" width="24" style="23" customWidth="1"/>
    <col min="4359" max="4359" width="10.25" style="23" customWidth="1"/>
    <col min="4360" max="4361" width="0" style="23" hidden="1" customWidth="1"/>
    <col min="4362" max="4610" width="8.75" style="23"/>
    <col min="4611" max="4611" width="5.75" style="23" customWidth="1"/>
    <col min="4612" max="4612" width="82.5" style="23" customWidth="1"/>
    <col min="4613" max="4613" width="13.5" style="23" customWidth="1"/>
    <col min="4614" max="4614" width="24" style="23" customWidth="1"/>
    <col min="4615" max="4615" width="10.25" style="23" customWidth="1"/>
    <col min="4616" max="4617" width="0" style="23" hidden="1" customWidth="1"/>
    <col min="4618" max="4866" width="8.75" style="23"/>
    <col min="4867" max="4867" width="5.75" style="23" customWidth="1"/>
    <col min="4868" max="4868" width="82.5" style="23" customWidth="1"/>
    <col min="4869" max="4869" width="13.5" style="23" customWidth="1"/>
    <col min="4870" max="4870" width="24" style="23" customWidth="1"/>
    <col min="4871" max="4871" width="10.25" style="23" customWidth="1"/>
    <col min="4872" max="4873" width="0" style="23" hidden="1" customWidth="1"/>
    <col min="4874" max="5122" width="8.75" style="23"/>
    <col min="5123" max="5123" width="5.75" style="23" customWidth="1"/>
    <col min="5124" max="5124" width="82.5" style="23" customWidth="1"/>
    <col min="5125" max="5125" width="13.5" style="23" customWidth="1"/>
    <col min="5126" max="5126" width="24" style="23" customWidth="1"/>
    <col min="5127" max="5127" width="10.25" style="23" customWidth="1"/>
    <col min="5128" max="5129" width="0" style="23" hidden="1" customWidth="1"/>
    <col min="5130" max="5378" width="8.75" style="23"/>
    <col min="5379" max="5379" width="5.75" style="23" customWidth="1"/>
    <col min="5380" max="5380" width="82.5" style="23" customWidth="1"/>
    <col min="5381" max="5381" width="13.5" style="23" customWidth="1"/>
    <col min="5382" max="5382" width="24" style="23" customWidth="1"/>
    <col min="5383" max="5383" width="10.25" style="23" customWidth="1"/>
    <col min="5384" max="5385" width="0" style="23" hidden="1" customWidth="1"/>
    <col min="5386" max="5634" width="8.75" style="23"/>
    <col min="5635" max="5635" width="5.75" style="23" customWidth="1"/>
    <col min="5636" max="5636" width="82.5" style="23" customWidth="1"/>
    <col min="5637" max="5637" width="13.5" style="23" customWidth="1"/>
    <col min="5638" max="5638" width="24" style="23" customWidth="1"/>
    <col min="5639" max="5639" width="10.25" style="23" customWidth="1"/>
    <col min="5640" max="5641" width="0" style="23" hidden="1" customWidth="1"/>
    <col min="5642" max="5890" width="8.75" style="23"/>
    <col min="5891" max="5891" width="5.75" style="23" customWidth="1"/>
    <col min="5892" max="5892" width="82.5" style="23" customWidth="1"/>
    <col min="5893" max="5893" width="13.5" style="23" customWidth="1"/>
    <col min="5894" max="5894" width="24" style="23" customWidth="1"/>
    <col min="5895" max="5895" width="10.25" style="23" customWidth="1"/>
    <col min="5896" max="5897" width="0" style="23" hidden="1" customWidth="1"/>
    <col min="5898" max="6146" width="8.75" style="23"/>
    <col min="6147" max="6147" width="5.75" style="23" customWidth="1"/>
    <col min="6148" max="6148" width="82.5" style="23" customWidth="1"/>
    <col min="6149" max="6149" width="13.5" style="23" customWidth="1"/>
    <col min="6150" max="6150" width="24" style="23" customWidth="1"/>
    <col min="6151" max="6151" width="10.25" style="23" customWidth="1"/>
    <col min="6152" max="6153" width="0" style="23" hidden="1" customWidth="1"/>
    <col min="6154" max="6402" width="8.75" style="23"/>
    <col min="6403" max="6403" width="5.75" style="23" customWidth="1"/>
    <col min="6404" max="6404" width="82.5" style="23" customWidth="1"/>
    <col min="6405" max="6405" width="13.5" style="23" customWidth="1"/>
    <col min="6406" max="6406" width="24" style="23" customWidth="1"/>
    <col min="6407" max="6407" width="10.25" style="23" customWidth="1"/>
    <col min="6408" max="6409" width="0" style="23" hidden="1" customWidth="1"/>
    <col min="6410" max="6658" width="8.75" style="23"/>
    <col min="6659" max="6659" width="5.75" style="23" customWidth="1"/>
    <col min="6660" max="6660" width="82.5" style="23" customWidth="1"/>
    <col min="6661" max="6661" width="13.5" style="23" customWidth="1"/>
    <col min="6662" max="6662" width="24" style="23" customWidth="1"/>
    <col min="6663" max="6663" width="10.25" style="23" customWidth="1"/>
    <col min="6664" max="6665" width="0" style="23" hidden="1" customWidth="1"/>
    <col min="6666" max="6914" width="8.75" style="23"/>
    <col min="6915" max="6915" width="5.75" style="23" customWidth="1"/>
    <col min="6916" max="6916" width="82.5" style="23" customWidth="1"/>
    <col min="6917" max="6917" width="13.5" style="23" customWidth="1"/>
    <col min="6918" max="6918" width="24" style="23" customWidth="1"/>
    <col min="6919" max="6919" width="10.25" style="23" customWidth="1"/>
    <col min="6920" max="6921" width="0" style="23" hidden="1" customWidth="1"/>
    <col min="6922" max="7170" width="8.75" style="23"/>
    <col min="7171" max="7171" width="5.75" style="23" customWidth="1"/>
    <col min="7172" max="7172" width="82.5" style="23" customWidth="1"/>
    <col min="7173" max="7173" width="13.5" style="23" customWidth="1"/>
    <col min="7174" max="7174" width="24" style="23" customWidth="1"/>
    <col min="7175" max="7175" width="10.25" style="23" customWidth="1"/>
    <col min="7176" max="7177" width="0" style="23" hidden="1" customWidth="1"/>
    <col min="7178" max="7426" width="8.75" style="23"/>
    <col min="7427" max="7427" width="5.75" style="23" customWidth="1"/>
    <col min="7428" max="7428" width="82.5" style="23" customWidth="1"/>
    <col min="7429" max="7429" width="13.5" style="23" customWidth="1"/>
    <col min="7430" max="7430" width="24" style="23" customWidth="1"/>
    <col min="7431" max="7431" width="10.25" style="23" customWidth="1"/>
    <col min="7432" max="7433" width="0" style="23" hidden="1" customWidth="1"/>
    <col min="7434" max="7682" width="8.75" style="23"/>
    <col min="7683" max="7683" width="5.75" style="23" customWidth="1"/>
    <col min="7684" max="7684" width="82.5" style="23" customWidth="1"/>
    <col min="7685" max="7685" width="13.5" style="23" customWidth="1"/>
    <col min="7686" max="7686" width="24" style="23" customWidth="1"/>
    <col min="7687" max="7687" width="10.25" style="23" customWidth="1"/>
    <col min="7688" max="7689" width="0" style="23" hidden="1" customWidth="1"/>
    <col min="7690" max="7938" width="8.75" style="23"/>
    <col min="7939" max="7939" width="5.75" style="23" customWidth="1"/>
    <col min="7940" max="7940" width="82.5" style="23" customWidth="1"/>
    <col min="7941" max="7941" width="13.5" style="23" customWidth="1"/>
    <col min="7942" max="7942" width="24" style="23" customWidth="1"/>
    <col min="7943" max="7943" width="10.25" style="23" customWidth="1"/>
    <col min="7944" max="7945" width="0" style="23" hidden="1" customWidth="1"/>
    <col min="7946" max="8194" width="8.75" style="23"/>
    <col min="8195" max="8195" width="5.75" style="23" customWidth="1"/>
    <col min="8196" max="8196" width="82.5" style="23" customWidth="1"/>
    <col min="8197" max="8197" width="13.5" style="23" customWidth="1"/>
    <col min="8198" max="8198" width="24" style="23" customWidth="1"/>
    <col min="8199" max="8199" width="10.25" style="23" customWidth="1"/>
    <col min="8200" max="8201" width="0" style="23" hidden="1" customWidth="1"/>
    <col min="8202" max="8450" width="8.75" style="23"/>
    <col min="8451" max="8451" width="5.75" style="23" customWidth="1"/>
    <col min="8452" max="8452" width="82.5" style="23" customWidth="1"/>
    <col min="8453" max="8453" width="13.5" style="23" customWidth="1"/>
    <col min="8454" max="8454" width="24" style="23" customWidth="1"/>
    <col min="8455" max="8455" width="10.25" style="23" customWidth="1"/>
    <col min="8456" max="8457" width="0" style="23" hidden="1" customWidth="1"/>
    <col min="8458" max="8706" width="8.75" style="23"/>
    <col min="8707" max="8707" width="5.75" style="23" customWidth="1"/>
    <col min="8708" max="8708" width="82.5" style="23" customWidth="1"/>
    <col min="8709" max="8709" width="13.5" style="23" customWidth="1"/>
    <col min="8710" max="8710" width="24" style="23" customWidth="1"/>
    <col min="8711" max="8711" width="10.25" style="23" customWidth="1"/>
    <col min="8712" max="8713" width="0" style="23" hidden="1" customWidth="1"/>
    <col min="8714" max="8962" width="8.75" style="23"/>
    <col min="8963" max="8963" width="5.75" style="23" customWidth="1"/>
    <col min="8964" max="8964" width="82.5" style="23" customWidth="1"/>
    <col min="8965" max="8965" width="13.5" style="23" customWidth="1"/>
    <col min="8966" max="8966" width="24" style="23" customWidth="1"/>
    <col min="8967" max="8967" width="10.25" style="23" customWidth="1"/>
    <col min="8968" max="8969" width="0" style="23" hidden="1" customWidth="1"/>
    <col min="8970" max="9218" width="8.75" style="23"/>
    <col min="9219" max="9219" width="5.75" style="23" customWidth="1"/>
    <col min="9220" max="9220" width="82.5" style="23" customWidth="1"/>
    <col min="9221" max="9221" width="13.5" style="23" customWidth="1"/>
    <col min="9222" max="9222" width="24" style="23" customWidth="1"/>
    <col min="9223" max="9223" width="10.25" style="23" customWidth="1"/>
    <col min="9224" max="9225" width="0" style="23" hidden="1" customWidth="1"/>
    <col min="9226" max="9474" width="8.75" style="23"/>
    <col min="9475" max="9475" width="5.75" style="23" customWidth="1"/>
    <col min="9476" max="9476" width="82.5" style="23" customWidth="1"/>
    <col min="9477" max="9477" width="13.5" style="23" customWidth="1"/>
    <col min="9478" max="9478" width="24" style="23" customWidth="1"/>
    <col min="9479" max="9479" width="10.25" style="23" customWidth="1"/>
    <col min="9480" max="9481" width="0" style="23" hidden="1" customWidth="1"/>
    <col min="9482" max="9730" width="8.75" style="23"/>
    <col min="9731" max="9731" width="5.75" style="23" customWidth="1"/>
    <col min="9732" max="9732" width="82.5" style="23" customWidth="1"/>
    <col min="9733" max="9733" width="13.5" style="23" customWidth="1"/>
    <col min="9734" max="9734" width="24" style="23" customWidth="1"/>
    <col min="9735" max="9735" width="10.25" style="23" customWidth="1"/>
    <col min="9736" max="9737" width="0" style="23" hidden="1" customWidth="1"/>
    <col min="9738" max="9986" width="8.75" style="23"/>
    <col min="9987" max="9987" width="5.75" style="23" customWidth="1"/>
    <col min="9988" max="9988" width="82.5" style="23" customWidth="1"/>
    <col min="9989" max="9989" width="13.5" style="23" customWidth="1"/>
    <col min="9990" max="9990" width="24" style="23" customWidth="1"/>
    <col min="9991" max="9991" width="10.25" style="23" customWidth="1"/>
    <col min="9992" max="9993" width="0" style="23" hidden="1" customWidth="1"/>
    <col min="9994" max="10242" width="8.75" style="23"/>
    <col min="10243" max="10243" width="5.75" style="23" customWidth="1"/>
    <col min="10244" max="10244" width="82.5" style="23" customWidth="1"/>
    <col min="10245" max="10245" width="13.5" style="23" customWidth="1"/>
    <col min="10246" max="10246" width="24" style="23" customWidth="1"/>
    <col min="10247" max="10247" width="10.25" style="23" customWidth="1"/>
    <col min="10248" max="10249" width="0" style="23" hidden="1" customWidth="1"/>
    <col min="10250" max="10498" width="8.75" style="23"/>
    <col min="10499" max="10499" width="5.75" style="23" customWidth="1"/>
    <col min="10500" max="10500" width="82.5" style="23" customWidth="1"/>
    <col min="10501" max="10501" width="13.5" style="23" customWidth="1"/>
    <col min="10502" max="10502" width="24" style="23" customWidth="1"/>
    <col min="10503" max="10503" width="10.25" style="23" customWidth="1"/>
    <col min="10504" max="10505" width="0" style="23" hidden="1" customWidth="1"/>
    <col min="10506" max="10754" width="8.75" style="23"/>
    <col min="10755" max="10755" width="5.75" style="23" customWidth="1"/>
    <col min="10756" max="10756" width="82.5" style="23" customWidth="1"/>
    <col min="10757" max="10757" width="13.5" style="23" customWidth="1"/>
    <col min="10758" max="10758" width="24" style="23" customWidth="1"/>
    <col min="10759" max="10759" width="10.25" style="23" customWidth="1"/>
    <col min="10760" max="10761" width="0" style="23" hidden="1" customWidth="1"/>
    <col min="10762" max="11010" width="8.75" style="23"/>
    <col min="11011" max="11011" width="5.75" style="23" customWidth="1"/>
    <col min="11012" max="11012" width="82.5" style="23" customWidth="1"/>
    <col min="11013" max="11013" width="13.5" style="23" customWidth="1"/>
    <col min="11014" max="11014" width="24" style="23" customWidth="1"/>
    <col min="11015" max="11015" width="10.25" style="23" customWidth="1"/>
    <col min="11016" max="11017" width="0" style="23" hidden="1" customWidth="1"/>
    <col min="11018" max="11266" width="8.75" style="23"/>
    <col min="11267" max="11267" width="5.75" style="23" customWidth="1"/>
    <col min="11268" max="11268" width="82.5" style="23" customWidth="1"/>
    <col min="11269" max="11269" width="13.5" style="23" customWidth="1"/>
    <col min="11270" max="11270" width="24" style="23" customWidth="1"/>
    <col min="11271" max="11271" width="10.25" style="23" customWidth="1"/>
    <col min="11272" max="11273" width="0" style="23" hidden="1" customWidth="1"/>
    <col min="11274" max="11522" width="8.75" style="23"/>
    <col min="11523" max="11523" width="5.75" style="23" customWidth="1"/>
    <col min="11524" max="11524" width="82.5" style="23" customWidth="1"/>
    <col min="11525" max="11525" width="13.5" style="23" customWidth="1"/>
    <col min="11526" max="11526" width="24" style="23" customWidth="1"/>
    <col min="11527" max="11527" width="10.25" style="23" customWidth="1"/>
    <col min="11528" max="11529" width="0" style="23" hidden="1" customWidth="1"/>
    <col min="11530" max="11778" width="8.75" style="23"/>
    <col min="11779" max="11779" width="5.75" style="23" customWidth="1"/>
    <col min="11780" max="11780" width="82.5" style="23" customWidth="1"/>
    <col min="11781" max="11781" width="13.5" style="23" customWidth="1"/>
    <col min="11782" max="11782" width="24" style="23" customWidth="1"/>
    <col min="11783" max="11783" width="10.25" style="23" customWidth="1"/>
    <col min="11784" max="11785" width="0" style="23" hidden="1" customWidth="1"/>
    <col min="11786" max="12034" width="8.75" style="23"/>
    <col min="12035" max="12035" width="5.75" style="23" customWidth="1"/>
    <col min="12036" max="12036" width="82.5" style="23" customWidth="1"/>
    <col min="12037" max="12037" width="13.5" style="23" customWidth="1"/>
    <col min="12038" max="12038" width="24" style="23" customWidth="1"/>
    <col min="12039" max="12039" width="10.25" style="23" customWidth="1"/>
    <col min="12040" max="12041" width="0" style="23" hidden="1" customWidth="1"/>
    <col min="12042" max="12290" width="8.75" style="23"/>
    <col min="12291" max="12291" width="5.75" style="23" customWidth="1"/>
    <col min="12292" max="12292" width="82.5" style="23" customWidth="1"/>
    <col min="12293" max="12293" width="13.5" style="23" customWidth="1"/>
    <col min="12294" max="12294" width="24" style="23" customWidth="1"/>
    <col min="12295" max="12295" width="10.25" style="23" customWidth="1"/>
    <col min="12296" max="12297" width="0" style="23" hidden="1" customWidth="1"/>
    <col min="12298" max="12546" width="8.75" style="23"/>
    <col min="12547" max="12547" width="5.75" style="23" customWidth="1"/>
    <col min="12548" max="12548" width="82.5" style="23" customWidth="1"/>
    <col min="12549" max="12549" width="13.5" style="23" customWidth="1"/>
    <col min="12550" max="12550" width="24" style="23" customWidth="1"/>
    <col min="12551" max="12551" width="10.25" style="23" customWidth="1"/>
    <col min="12552" max="12553" width="0" style="23" hidden="1" customWidth="1"/>
    <col min="12554" max="12802" width="8.75" style="23"/>
    <col min="12803" max="12803" width="5.75" style="23" customWidth="1"/>
    <col min="12804" max="12804" width="82.5" style="23" customWidth="1"/>
    <col min="12805" max="12805" width="13.5" style="23" customWidth="1"/>
    <col min="12806" max="12806" width="24" style="23" customWidth="1"/>
    <col min="12807" max="12807" width="10.25" style="23" customWidth="1"/>
    <col min="12808" max="12809" width="0" style="23" hidden="1" customWidth="1"/>
    <col min="12810" max="13058" width="8.75" style="23"/>
    <col min="13059" max="13059" width="5.75" style="23" customWidth="1"/>
    <col min="13060" max="13060" width="82.5" style="23" customWidth="1"/>
    <col min="13061" max="13061" width="13.5" style="23" customWidth="1"/>
    <col min="13062" max="13062" width="24" style="23" customWidth="1"/>
    <col min="13063" max="13063" width="10.25" style="23" customWidth="1"/>
    <col min="13064" max="13065" width="0" style="23" hidden="1" customWidth="1"/>
    <col min="13066" max="13314" width="8.75" style="23"/>
    <col min="13315" max="13315" width="5.75" style="23" customWidth="1"/>
    <col min="13316" max="13316" width="82.5" style="23" customWidth="1"/>
    <col min="13317" max="13317" width="13.5" style="23" customWidth="1"/>
    <col min="13318" max="13318" width="24" style="23" customWidth="1"/>
    <col min="13319" max="13319" width="10.25" style="23" customWidth="1"/>
    <col min="13320" max="13321" width="0" style="23" hidden="1" customWidth="1"/>
    <col min="13322" max="13570" width="8.75" style="23"/>
    <col min="13571" max="13571" width="5.75" style="23" customWidth="1"/>
    <col min="13572" max="13572" width="82.5" style="23" customWidth="1"/>
    <col min="13573" max="13573" width="13.5" style="23" customWidth="1"/>
    <col min="13574" max="13574" width="24" style="23" customWidth="1"/>
    <col min="13575" max="13575" width="10.25" style="23" customWidth="1"/>
    <col min="13576" max="13577" width="0" style="23" hidden="1" customWidth="1"/>
    <col min="13578" max="13826" width="8.75" style="23"/>
    <col min="13827" max="13827" width="5.75" style="23" customWidth="1"/>
    <col min="13828" max="13828" width="82.5" style="23" customWidth="1"/>
    <col min="13829" max="13829" width="13.5" style="23" customWidth="1"/>
    <col min="13830" max="13830" width="24" style="23" customWidth="1"/>
    <col min="13831" max="13831" width="10.25" style="23" customWidth="1"/>
    <col min="13832" max="13833" width="0" style="23" hidden="1" customWidth="1"/>
    <col min="13834" max="14082" width="8.75" style="23"/>
    <col min="14083" max="14083" width="5.75" style="23" customWidth="1"/>
    <col min="14084" max="14084" width="82.5" style="23" customWidth="1"/>
    <col min="14085" max="14085" width="13.5" style="23" customWidth="1"/>
    <col min="14086" max="14086" width="24" style="23" customWidth="1"/>
    <col min="14087" max="14087" width="10.25" style="23" customWidth="1"/>
    <col min="14088" max="14089" width="0" style="23" hidden="1" customWidth="1"/>
    <col min="14090" max="14338" width="8.75" style="23"/>
    <col min="14339" max="14339" width="5.75" style="23" customWidth="1"/>
    <col min="14340" max="14340" width="82.5" style="23" customWidth="1"/>
    <col min="14341" max="14341" width="13.5" style="23" customWidth="1"/>
    <col min="14342" max="14342" width="24" style="23" customWidth="1"/>
    <col min="14343" max="14343" width="10.25" style="23" customWidth="1"/>
    <col min="14344" max="14345" width="0" style="23" hidden="1" customWidth="1"/>
    <col min="14346" max="14594" width="8.75" style="23"/>
    <col min="14595" max="14595" width="5.75" style="23" customWidth="1"/>
    <col min="14596" max="14596" width="82.5" style="23" customWidth="1"/>
    <col min="14597" max="14597" width="13.5" style="23" customWidth="1"/>
    <col min="14598" max="14598" width="24" style="23" customWidth="1"/>
    <col min="14599" max="14599" width="10.25" style="23" customWidth="1"/>
    <col min="14600" max="14601" width="0" style="23" hidden="1" customWidth="1"/>
    <col min="14602" max="14850" width="8.75" style="23"/>
    <col min="14851" max="14851" width="5.75" style="23" customWidth="1"/>
    <col min="14852" max="14852" width="82.5" style="23" customWidth="1"/>
    <col min="14853" max="14853" width="13.5" style="23" customWidth="1"/>
    <col min="14854" max="14854" width="24" style="23" customWidth="1"/>
    <col min="14855" max="14855" width="10.25" style="23" customWidth="1"/>
    <col min="14856" max="14857" width="0" style="23" hidden="1" customWidth="1"/>
    <col min="14858" max="15106" width="8.75" style="23"/>
    <col min="15107" max="15107" width="5.75" style="23" customWidth="1"/>
    <col min="15108" max="15108" width="82.5" style="23" customWidth="1"/>
    <col min="15109" max="15109" width="13.5" style="23" customWidth="1"/>
    <col min="15110" max="15110" width="24" style="23" customWidth="1"/>
    <col min="15111" max="15111" width="10.25" style="23" customWidth="1"/>
    <col min="15112" max="15113" width="0" style="23" hidden="1" customWidth="1"/>
    <col min="15114" max="15362" width="8.75" style="23"/>
    <col min="15363" max="15363" width="5.75" style="23" customWidth="1"/>
    <col min="15364" max="15364" width="82.5" style="23" customWidth="1"/>
    <col min="15365" max="15365" width="13.5" style="23" customWidth="1"/>
    <col min="15366" max="15366" width="24" style="23" customWidth="1"/>
    <col min="15367" max="15367" width="10.25" style="23" customWidth="1"/>
    <col min="15368" max="15369" width="0" style="23" hidden="1" customWidth="1"/>
    <col min="15370" max="15618" width="8.75" style="23"/>
    <col min="15619" max="15619" width="5.75" style="23" customWidth="1"/>
    <col min="15620" max="15620" width="82.5" style="23" customWidth="1"/>
    <col min="15621" max="15621" width="13.5" style="23" customWidth="1"/>
    <col min="15622" max="15622" width="24" style="23" customWidth="1"/>
    <col min="15623" max="15623" width="10.25" style="23" customWidth="1"/>
    <col min="15624" max="15625" width="0" style="23" hidden="1" customWidth="1"/>
    <col min="15626" max="15874" width="8.75" style="23"/>
    <col min="15875" max="15875" width="5.75" style="23" customWidth="1"/>
    <col min="15876" max="15876" width="82.5" style="23" customWidth="1"/>
    <col min="15877" max="15877" width="13.5" style="23" customWidth="1"/>
    <col min="15878" max="15878" width="24" style="23" customWidth="1"/>
    <col min="15879" max="15879" width="10.25" style="23" customWidth="1"/>
    <col min="15880" max="15881" width="0" style="23" hidden="1" customWidth="1"/>
    <col min="15882" max="16130" width="8.75" style="23"/>
    <col min="16131" max="16131" width="5.75" style="23" customWidth="1"/>
    <col min="16132" max="16132" width="82.5" style="23" customWidth="1"/>
    <col min="16133" max="16133" width="13.5" style="23" customWidth="1"/>
    <col min="16134" max="16134" width="24" style="23" customWidth="1"/>
    <col min="16135" max="16135" width="10.25" style="23" customWidth="1"/>
    <col min="16136" max="16137" width="0" style="23" hidden="1" customWidth="1"/>
    <col min="16138" max="16384" width="8.75" style="23"/>
  </cols>
  <sheetData>
    <row r="1" spans="1:9" ht="15" customHeight="1" thickBot="1">
      <c r="A1" s="289" t="s">
        <v>9</v>
      </c>
      <c r="B1" s="289"/>
      <c r="C1" s="289"/>
      <c r="D1" s="289"/>
      <c r="E1" s="4"/>
      <c r="F1" s="4"/>
      <c r="G1" s="4"/>
      <c r="H1" s="4"/>
      <c r="I1" s="4"/>
    </row>
    <row r="2" spans="1:9" s="25" customFormat="1" ht="15" customHeight="1" thickBot="1">
      <c r="A2" s="310" t="s">
        <v>12</v>
      </c>
      <c r="B2" s="311"/>
      <c r="C2" s="311"/>
      <c r="D2" s="312"/>
    </row>
    <row r="3" spans="1:9" s="25" customFormat="1" ht="15" customHeight="1">
      <c r="A3" s="287"/>
      <c r="B3" s="287"/>
      <c r="C3" s="313"/>
      <c r="D3" s="313"/>
    </row>
    <row r="4" spans="1:9" s="25" customFormat="1" ht="15" customHeight="1">
      <c r="A4" s="314" t="s">
        <v>13</v>
      </c>
      <c r="B4" s="314"/>
      <c r="C4" s="315" t="s">
        <v>490</v>
      </c>
      <c r="D4" s="315"/>
    </row>
    <row r="5" spans="1:9" s="25" customFormat="1" ht="15" customHeight="1">
      <c r="A5" s="314" t="s">
        <v>14</v>
      </c>
      <c r="B5" s="314"/>
      <c r="C5" s="316" t="s">
        <v>15</v>
      </c>
      <c r="D5" s="316"/>
    </row>
    <row r="6" spans="1:9" s="25" customFormat="1" ht="15" customHeight="1">
      <c r="A6" s="314" t="s">
        <v>16</v>
      </c>
      <c r="B6" s="314"/>
      <c r="C6" s="316" t="s">
        <v>346</v>
      </c>
      <c r="D6" s="316"/>
    </row>
    <row r="7" spans="1:9" s="25" customFormat="1" ht="15" customHeight="1">
      <c r="A7" s="317" t="s">
        <v>17</v>
      </c>
      <c r="B7" s="317"/>
      <c r="C7" s="316" t="s">
        <v>482</v>
      </c>
      <c r="D7" s="316"/>
    </row>
    <row r="8" spans="1:9" s="25" customFormat="1" ht="15" customHeight="1">
      <c r="A8" s="314" t="s">
        <v>18</v>
      </c>
      <c r="B8" s="314"/>
      <c r="C8" s="316">
        <v>12</v>
      </c>
      <c r="D8" s="316"/>
    </row>
    <row r="9" spans="1:9" s="25" customFormat="1" ht="15" customHeight="1">
      <c r="A9" s="39"/>
      <c r="B9" s="39"/>
      <c r="C9" s="6"/>
      <c r="D9" s="6"/>
      <c r="H9" s="74"/>
    </row>
    <row r="10" spans="1:9" s="25" customFormat="1" ht="15" customHeight="1">
      <c r="A10" s="320" t="s">
        <v>19</v>
      </c>
      <c r="B10" s="320"/>
      <c r="C10" s="320" t="s">
        <v>84</v>
      </c>
      <c r="D10" s="320"/>
      <c r="H10" s="74"/>
    </row>
    <row r="11" spans="1:9" s="25" customFormat="1" ht="15" customHeight="1">
      <c r="A11" s="306" t="s">
        <v>338</v>
      </c>
      <c r="B11" s="306"/>
      <c r="C11" s="321" t="s">
        <v>316</v>
      </c>
      <c r="D11" s="306"/>
      <c r="H11" s="75"/>
    </row>
    <row r="12" spans="1:9" s="25" customFormat="1" ht="15" customHeight="1">
      <c r="A12" s="4"/>
      <c r="B12" s="4"/>
      <c r="C12" s="5"/>
      <c r="D12" s="6"/>
    </row>
    <row r="13" spans="1:9" s="25" customFormat="1" ht="15" customHeight="1">
      <c r="A13" s="322" t="s">
        <v>86</v>
      </c>
      <c r="B13" s="322"/>
      <c r="C13" s="322"/>
      <c r="D13" s="322"/>
      <c r="E13" s="74"/>
      <c r="F13" s="322" t="s">
        <v>86</v>
      </c>
      <c r="G13" s="322"/>
      <c r="H13" s="322"/>
      <c r="I13" s="322"/>
    </row>
    <row r="14" spans="1:9" ht="15" customHeight="1">
      <c r="A14" s="76">
        <v>1</v>
      </c>
      <c r="B14" s="77" t="s">
        <v>20</v>
      </c>
      <c r="C14" s="76"/>
      <c r="D14" s="78" t="s">
        <v>21</v>
      </c>
      <c r="E14" s="74"/>
      <c r="F14" s="76">
        <v>1</v>
      </c>
      <c r="G14" s="78" t="s">
        <v>0</v>
      </c>
      <c r="H14" s="78" t="s">
        <v>191</v>
      </c>
      <c r="I14" s="78" t="s">
        <v>1</v>
      </c>
    </row>
    <row r="15" spans="1:9" ht="15" customHeight="1">
      <c r="A15" s="79" t="s">
        <v>128</v>
      </c>
      <c r="B15" s="66" t="s">
        <v>22</v>
      </c>
      <c r="C15" s="80"/>
      <c r="D15" s="81">
        <v>2468.48</v>
      </c>
      <c r="E15" s="23"/>
      <c r="F15" s="79" t="s">
        <v>128</v>
      </c>
      <c r="G15" s="66"/>
      <c r="H15" s="66"/>
      <c r="I15" s="66" t="s">
        <v>83</v>
      </c>
    </row>
    <row r="16" spans="1:9" ht="15" customHeight="1">
      <c r="A16" s="79" t="s">
        <v>130</v>
      </c>
      <c r="B16" s="66" t="s">
        <v>23</v>
      </c>
      <c r="C16" s="80"/>
      <c r="D16" s="81">
        <v>0</v>
      </c>
      <c r="E16" s="23"/>
      <c r="F16" s="79" t="s">
        <v>130</v>
      </c>
      <c r="G16" s="66"/>
      <c r="H16" s="66"/>
      <c r="I16" s="66"/>
    </row>
    <row r="17" spans="1:9" ht="15" customHeight="1">
      <c r="A17" s="79" t="s">
        <v>192</v>
      </c>
      <c r="B17" s="66" t="s">
        <v>24</v>
      </c>
      <c r="C17" s="80"/>
      <c r="D17" s="81">
        <v>0</v>
      </c>
      <c r="E17" s="23"/>
      <c r="F17" s="79" t="s">
        <v>192</v>
      </c>
      <c r="G17" s="66"/>
      <c r="H17" s="66"/>
      <c r="I17" s="66"/>
    </row>
    <row r="18" spans="1:9" ht="15" customHeight="1">
      <c r="A18" s="79" t="s">
        <v>193</v>
      </c>
      <c r="B18" s="66" t="s">
        <v>354</v>
      </c>
      <c r="C18" s="80"/>
      <c r="D18" s="81">
        <f>(D15*C18)</f>
        <v>0</v>
      </c>
      <c r="E18" s="23"/>
      <c r="F18" s="79" t="s">
        <v>193</v>
      </c>
      <c r="G18" s="66"/>
      <c r="H18" s="66"/>
      <c r="I18" s="66"/>
    </row>
    <row r="19" spans="1:9" ht="15" customHeight="1">
      <c r="A19" s="79" t="s">
        <v>194</v>
      </c>
      <c r="B19" s="66" t="s">
        <v>195</v>
      </c>
      <c r="C19" s="80"/>
      <c r="D19" s="81">
        <f>(D16*C19)</f>
        <v>0</v>
      </c>
      <c r="E19" s="23"/>
      <c r="F19" s="79" t="s">
        <v>194</v>
      </c>
      <c r="G19" s="66"/>
      <c r="H19" s="66"/>
      <c r="I19" s="66"/>
    </row>
    <row r="20" spans="1:9" ht="15" customHeight="1">
      <c r="A20" s="79" t="s">
        <v>196</v>
      </c>
      <c r="B20" s="66" t="s">
        <v>25</v>
      </c>
      <c r="C20" s="80"/>
      <c r="D20" s="81">
        <v>0</v>
      </c>
      <c r="E20" s="23"/>
      <c r="F20" s="79" t="s">
        <v>196</v>
      </c>
      <c r="G20" s="66"/>
      <c r="H20" s="66"/>
      <c r="I20" s="66"/>
    </row>
    <row r="21" spans="1:9" ht="15" customHeight="1">
      <c r="A21" s="79" t="s">
        <v>197</v>
      </c>
      <c r="B21" s="66" t="s">
        <v>85</v>
      </c>
      <c r="C21" s="80"/>
      <c r="D21" s="81">
        <v>0</v>
      </c>
      <c r="E21" s="23"/>
      <c r="F21" s="79" t="s">
        <v>197</v>
      </c>
      <c r="G21" s="66"/>
      <c r="H21" s="66"/>
      <c r="I21" s="66"/>
    </row>
    <row r="22" spans="1:9" ht="15" customHeight="1">
      <c r="A22" s="79" t="s">
        <v>198</v>
      </c>
      <c r="B22" s="66" t="s">
        <v>26</v>
      </c>
      <c r="C22" s="80"/>
      <c r="D22" s="81">
        <v>0</v>
      </c>
      <c r="E22" s="23"/>
      <c r="F22" s="79" t="s">
        <v>198</v>
      </c>
      <c r="G22" s="66"/>
      <c r="H22" s="66"/>
      <c r="I22" s="66"/>
    </row>
    <row r="23" spans="1:9" ht="15" customHeight="1">
      <c r="A23" s="79" t="s">
        <v>199</v>
      </c>
      <c r="B23" s="66" t="s">
        <v>27</v>
      </c>
      <c r="C23" s="80"/>
      <c r="D23" s="81">
        <v>0</v>
      </c>
      <c r="E23" s="23"/>
      <c r="F23" s="79" t="s">
        <v>199</v>
      </c>
      <c r="G23" s="66"/>
      <c r="H23" s="66"/>
      <c r="I23" s="66"/>
    </row>
    <row r="24" spans="1:9" ht="15" customHeight="1">
      <c r="A24" s="79" t="s">
        <v>200</v>
      </c>
      <c r="B24" s="66" t="s">
        <v>28</v>
      </c>
      <c r="C24" s="80"/>
      <c r="D24" s="81">
        <f>SUM(D15:D23)*C24</f>
        <v>0</v>
      </c>
      <c r="E24" s="23"/>
      <c r="F24" s="79" t="s">
        <v>200</v>
      </c>
      <c r="G24" s="66"/>
      <c r="H24" s="82"/>
      <c r="I24" s="66"/>
    </row>
    <row r="25" spans="1:9" ht="15" customHeight="1">
      <c r="A25" s="307" t="s">
        <v>29</v>
      </c>
      <c r="B25" s="307"/>
      <c r="C25" s="83"/>
      <c r="D25" s="78">
        <f>SUM(D15:D24)</f>
        <v>2468.48</v>
      </c>
      <c r="E25" s="23"/>
      <c r="F25" s="348"/>
      <c r="G25" s="349"/>
      <c r="H25" s="349"/>
      <c r="I25" s="350"/>
    </row>
    <row r="26" spans="1:9" ht="15" customHeight="1">
      <c r="E26" s="23"/>
      <c r="F26" s="23"/>
    </row>
    <row r="27" spans="1:9" s="25" customFormat="1" ht="15" customHeight="1">
      <c r="A27" s="306" t="s">
        <v>87</v>
      </c>
      <c r="B27" s="306"/>
      <c r="C27" s="306"/>
      <c r="D27" s="306"/>
      <c r="E27" s="74"/>
      <c r="F27" s="306" t="s">
        <v>87</v>
      </c>
      <c r="G27" s="306"/>
      <c r="H27" s="306"/>
      <c r="I27" s="306"/>
    </row>
    <row r="28" spans="1:9" ht="28.9" customHeight="1">
      <c r="A28" s="76" t="s">
        <v>88</v>
      </c>
      <c r="B28" s="77" t="s">
        <v>104</v>
      </c>
      <c r="C28" s="76" t="s">
        <v>11</v>
      </c>
      <c r="D28" s="76" t="s">
        <v>37</v>
      </c>
      <c r="E28" s="23"/>
      <c r="F28" s="76" t="s">
        <v>88</v>
      </c>
      <c r="G28" s="78" t="s">
        <v>0</v>
      </c>
      <c r="H28" s="78" t="s">
        <v>191</v>
      </c>
      <c r="I28" s="78" t="s">
        <v>1</v>
      </c>
    </row>
    <row r="29" spans="1:9" s="25" customFormat="1" ht="15" customHeight="1">
      <c r="A29" s="79" t="s">
        <v>201</v>
      </c>
      <c r="B29" s="66" t="s">
        <v>45</v>
      </c>
      <c r="C29" s="84">
        <v>8.3299999999999999E-2</v>
      </c>
      <c r="D29" s="85">
        <f>($D$25*C29)</f>
        <v>205.62438399999999</v>
      </c>
      <c r="E29" s="23"/>
      <c r="F29" s="79" t="s">
        <v>201</v>
      </c>
      <c r="G29" s="66" t="s">
        <v>8</v>
      </c>
      <c r="H29" s="66" t="s">
        <v>75</v>
      </c>
      <c r="I29" s="66" t="s">
        <v>72</v>
      </c>
    </row>
    <row r="30" spans="1:9" ht="15" customHeight="1">
      <c r="A30" s="79" t="s">
        <v>202</v>
      </c>
      <c r="B30" s="86" t="s">
        <v>52</v>
      </c>
      <c r="C30" s="87">
        <v>0.1111</v>
      </c>
      <c r="D30" s="85">
        <f>($D$25*C30)</f>
        <v>274.24812800000001</v>
      </c>
      <c r="E30" s="23"/>
      <c r="F30" s="79" t="s">
        <v>202</v>
      </c>
      <c r="G30" s="66" t="s">
        <v>56</v>
      </c>
      <c r="H30" s="66" t="s">
        <v>81</v>
      </c>
      <c r="I30" s="66" t="s">
        <v>70</v>
      </c>
    </row>
    <row r="31" spans="1:9" ht="15" customHeight="1">
      <c r="A31" s="79" t="s">
        <v>203</v>
      </c>
      <c r="B31" s="86" t="s">
        <v>101</v>
      </c>
      <c r="C31" s="87">
        <f>C43*(C29+C30)</f>
        <v>7.1539200000000025E-2</v>
      </c>
      <c r="D31" s="85">
        <f>($D$25*C31)</f>
        <v>176.59308441600007</v>
      </c>
      <c r="E31" s="23"/>
      <c r="F31" s="79" t="s">
        <v>203</v>
      </c>
      <c r="G31" s="88" t="s">
        <v>116</v>
      </c>
      <c r="H31" s="88" t="s">
        <v>347</v>
      </c>
      <c r="I31" s="66"/>
    </row>
    <row r="32" spans="1:9" ht="15" customHeight="1">
      <c r="A32" s="307" t="s">
        <v>107</v>
      </c>
      <c r="B32" s="307"/>
      <c r="C32" s="83"/>
      <c r="D32" s="78">
        <f>SUM(D29:D31)</f>
        <v>656.46559641600015</v>
      </c>
      <c r="E32" s="23"/>
      <c r="F32" s="304"/>
      <c r="G32" s="304"/>
      <c r="H32" s="304"/>
      <c r="I32" s="304"/>
    </row>
    <row r="33" spans="1:9" ht="15" customHeight="1">
      <c r="E33" s="23"/>
      <c r="F33" s="23"/>
    </row>
    <row r="34" spans="1:9" ht="15" customHeight="1">
      <c r="A34" s="76" t="s">
        <v>89</v>
      </c>
      <c r="B34" s="77" t="s">
        <v>105</v>
      </c>
      <c r="C34" s="76" t="s">
        <v>11</v>
      </c>
      <c r="D34" s="76" t="s">
        <v>37</v>
      </c>
      <c r="E34" s="23"/>
      <c r="F34" s="76" t="s">
        <v>88</v>
      </c>
      <c r="G34" s="78" t="s">
        <v>0</v>
      </c>
      <c r="H34" s="78" t="s">
        <v>191</v>
      </c>
      <c r="I34" s="78" t="s">
        <v>1</v>
      </c>
    </row>
    <row r="35" spans="1:9" s="25" customFormat="1" ht="15" customHeight="1">
      <c r="A35" s="79" t="s">
        <v>204</v>
      </c>
      <c r="B35" s="86" t="s">
        <v>38</v>
      </c>
      <c r="C35" s="89">
        <v>0.2</v>
      </c>
      <c r="D35" s="85">
        <f>(D25*C35)</f>
        <v>493.69600000000003</v>
      </c>
      <c r="E35" s="23"/>
      <c r="F35" s="79" t="s">
        <v>204</v>
      </c>
      <c r="G35" s="66"/>
      <c r="H35" s="66"/>
      <c r="I35" s="66" t="s">
        <v>2</v>
      </c>
    </row>
    <row r="36" spans="1:9" s="25" customFormat="1" ht="15" customHeight="1">
      <c r="A36" s="79" t="s">
        <v>205</v>
      </c>
      <c r="B36" s="86" t="s">
        <v>39</v>
      </c>
      <c r="C36" s="89">
        <v>0.08</v>
      </c>
      <c r="D36" s="85">
        <f>(D25*C36)</f>
        <v>197.47839999999999</v>
      </c>
      <c r="E36" s="23"/>
      <c r="F36" s="79" t="s">
        <v>205</v>
      </c>
      <c r="G36" s="66"/>
      <c r="H36" s="66"/>
      <c r="I36" s="66" t="s">
        <v>47</v>
      </c>
    </row>
    <row r="37" spans="1:9" s="25" customFormat="1" ht="15" customHeight="1">
      <c r="A37" s="79" t="s">
        <v>206</v>
      </c>
      <c r="B37" s="86" t="s">
        <v>40</v>
      </c>
      <c r="C37" s="89">
        <v>1.4999999999999999E-2</v>
      </c>
      <c r="D37" s="85">
        <f>(D25*C37)</f>
        <v>37.027200000000001</v>
      </c>
      <c r="E37" s="23"/>
      <c r="F37" s="79" t="s">
        <v>206</v>
      </c>
      <c r="G37" s="66"/>
      <c r="H37" s="66"/>
      <c r="I37" s="66" t="s">
        <v>3</v>
      </c>
    </row>
    <row r="38" spans="1:9" s="25" customFormat="1" ht="15" customHeight="1">
      <c r="A38" s="79" t="s">
        <v>207</v>
      </c>
      <c r="B38" s="86" t="s">
        <v>41</v>
      </c>
      <c r="C38" s="89">
        <v>0.01</v>
      </c>
      <c r="D38" s="85">
        <f>(D25*C38)</f>
        <v>24.684799999999999</v>
      </c>
      <c r="E38" s="23"/>
      <c r="F38" s="79" t="s">
        <v>207</v>
      </c>
      <c r="G38" s="66"/>
      <c r="H38" s="66"/>
      <c r="I38" s="66" t="s">
        <v>4</v>
      </c>
    </row>
    <row r="39" spans="1:9" s="25" customFormat="1" ht="15" customHeight="1">
      <c r="A39" s="79" t="s">
        <v>208</v>
      </c>
      <c r="B39" s="86" t="s">
        <v>42</v>
      </c>
      <c r="C39" s="89">
        <v>6.0000000000000001E-3</v>
      </c>
      <c r="D39" s="85">
        <f>(D25*C39)</f>
        <v>14.810880000000001</v>
      </c>
      <c r="E39" s="23"/>
      <c r="F39" s="79" t="s">
        <v>208</v>
      </c>
      <c r="G39" s="66"/>
      <c r="H39" s="66"/>
      <c r="I39" s="66" t="s">
        <v>6</v>
      </c>
    </row>
    <row r="40" spans="1:9" s="25" customFormat="1" ht="15" customHeight="1">
      <c r="A40" s="79" t="s">
        <v>209</v>
      </c>
      <c r="B40" s="86" t="s">
        <v>43</v>
      </c>
      <c r="C40" s="89">
        <v>2E-3</v>
      </c>
      <c r="D40" s="85">
        <f>(D25*C40)</f>
        <v>4.93696</v>
      </c>
      <c r="E40" s="23"/>
      <c r="F40" s="79" t="s">
        <v>209</v>
      </c>
      <c r="G40" s="66"/>
      <c r="H40" s="66"/>
      <c r="I40" s="66" t="s">
        <v>5</v>
      </c>
    </row>
    <row r="41" spans="1:9" s="25" customFormat="1" ht="15" customHeight="1">
      <c r="A41" s="79" t="s">
        <v>210</v>
      </c>
      <c r="B41" s="86" t="s">
        <v>44</v>
      </c>
      <c r="C41" s="89">
        <v>2.5000000000000001E-2</v>
      </c>
      <c r="D41" s="85">
        <f>(D25*C41)</f>
        <v>61.712000000000003</v>
      </c>
      <c r="E41" s="23"/>
      <c r="F41" s="79" t="s">
        <v>210</v>
      </c>
      <c r="G41" s="66"/>
      <c r="H41" s="66"/>
      <c r="I41" s="66" t="s">
        <v>7</v>
      </c>
    </row>
    <row r="42" spans="1:9" s="25" customFormat="1" ht="15" customHeight="1">
      <c r="A42" s="79" t="s">
        <v>211</v>
      </c>
      <c r="B42" s="86" t="s">
        <v>102</v>
      </c>
      <c r="C42" s="89">
        <v>0.03</v>
      </c>
      <c r="D42" s="85">
        <f>(D25*C42)</f>
        <v>74.054400000000001</v>
      </c>
      <c r="E42" s="23"/>
      <c r="F42" s="79" t="s">
        <v>211</v>
      </c>
      <c r="G42" s="66"/>
      <c r="H42" s="66"/>
      <c r="I42" s="66" t="s">
        <v>55</v>
      </c>
    </row>
    <row r="43" spans="1:9" ht="15" customHeight="1">
      <c r="A43" s="307" t="s">
        <v>107</v>
      </c>
      <c r="B43" s="307"/>
      <c r="C43" s="83">
        <f>SUM(C35:C42)</f>
        <v>0.3680000000000001</v>
      </c>
      <c r="D43" s="78">
        <f>SUM(D35:D42)</f>
        <v>908.40063999999995</v>
      </c>
      <c r="E43" s="23"/>
      <c r="F43" s="304"/>
      <c r="G43" s="304"/>
      <c r="H43" s="304"/>
      <c r="I43" s="304"/>
    </row>
    <row r="44" spans="1:9" ht="15" customHeight="1">
      <c r="E44" s="23"/>
      <c r="F44" s="23"/>
    </row>
    <row r="45" spans="1:9" ht="15" customHeight="1">
      <c r="A45" s="76" t="s">
        <v>90</v>
      </c>
      <c r="B45" s="77" t="s">
        <v>106</v>
      </c>
      <c r="C45" s="76"/>
      <c r="D45" s="78" t="s">
        <v>21</v>
      </c>
      <c r="E45" s="23"/>
      <c r="F45" s="76" t="s">
        <v>90</v>
      </c>
      <c r="G45" s="78" t="s">
        <v>0</v>
      </c>
      <c r="H45" s="78" t="s">
        <v>191</v>
      </c>
      <c r="I45" s="78" t="s">
        <v>1</v>
      </c>
    </row>
    <row r="46" spans="1:9" ht="15" customHeight="1">
      <c r="A46" s="79" t="s">
        <v>212</v>
      </c>
      <c r="B46" s="66" t="s">
        <v>30</v>
      </c>
      <c r="C46" s="90">
        <v>6.25</v>
      </c>
      <c r="D46" s="81">
        <f>(C46*50.16)-(6%*D15)</f>
        <v>165.3912</v>
      </c>
      <c r="E46" s="23"/>
      <c r="F46" s="79" t="s">
        <v>212</v>
      </c>
      <c r="G46" s="66" t="s">
        <v>344</v>
      </c>
      <c r="H46" s="66" t="s">
        <v>342</v>
      </c>
      <c r="I46" s="66" t="s">
        <v>213</v>
      </c>
    </row>
    <row r="47" spans="1:9" ht="15" customHeight="1">
      <c r="A47" s="79" t="s">
        <v>214</v>
      </c>
      <c r="B47" s="66" t="s">
        <v>31</v>
      </c>
      <c r="C47" s="90"/>
      <c r="D47" s="81"/>
      <c r="E47" s="23"/>
      <c r="F47" s="79" t="s">
        <v>214</v>
      </c>
      <c r="G47" s="66"/>
      <c r="H47" s="66"/>
      <c r="I47" s="66"/>
    </row>
    <row r="48" spans="1:9" ht="15" customHeight="1">
      <c r="A48" s="79" t="s">
        <v>216</v>
      </c>
      <c r="B48" s="66" t="s">
        <v>32</v>
      </c>
      <c r="C48" s="90"/>
      <c r="D48" s="81"/>
      <c r="E48" s="23"/>
      <c r="F48" s="79" t="s">
        <v>216</v>
      </c>
      <c r="G48" s="66"/>
      <c r="H48" s="66"/>
      <c r="I48" s="66"/>
    </row>
    <row r="49" spans="1:15" ht="15" customHeight="1">
      <c r="A49" s="79" t="s">
        <v>217</v>
      </c>
      <c r="B49" s="66" t="s">
        <v>33</v>
      </c>
      <c r="C49" s="90"/>
      <c r="D49" s="81"/>
      <c r="E49" s="23"/>
      <c r="F49" s="79" t="s">
        <v>217</v>
      </c>
      <c r="G49" s="66"/>
      <c r="H49" s="66"/>
      <c r="I49" s="66"/>
    </row>
    <row r="50" spans="1:15" ht="15" customHeight="1">
      <c r="A50" s="79" t="s">
        <v>218</v>
      </c>
      <c r="B50" s="66" t="s">
        <v>34</v>
      </c>
      <c r="C50" s="90"/>
      <c r="D50" s="81"/>
      <c r="E50" s="23"/>
      <c r="F50" s="79" t="s">
        <v>218</v>
      </c>
      <c r="G50" s="66"/>
      <c r="H50" s="66"/>
      <c r="I50" s="66"/>
    </row>
    <row r="51" spans="1:15" ht="15" customHeight="1">
      <c r="A51" s="79" t="s">
        <v>219</v>
      </c>
      <c r="B51" s="66" t="s">
        <v>35</v>
      </c>
      <c r="C51" s="90"/>
      <c r="D51" s="81"/>
      <c r="E51" s="23"/>
      <c r="F51" s="79" t="s">
        <v>219</v>
      </c>
      <c r="G51" s="351"/>
      <c r="H51" s="351"/>
      <c r="I51" s="351"/>
    </row>
    <row r="52" spans="1:15" ht="15" customHeight="1">
      <c r="A52" s="79" t="s">
        <v>220</v>
      </c>
      <c r="B52" s="66" t="s">
        <v>221</v>
      </c>
      <c r="C52" s="90"/>
      <c r="D52" s="81"/>
      <c r="E52" s="23"/>
      <c r="F52" s="79" t="s">
        <v>220</v>
      </c>
      <c r="G52" s="66"/>
      <c r="H52" s="66"/>
      <c r="I52" s="66"/>
    </row>
    <row r="53" spans="1:15" ht="15" customHeight="1">
      <c r="A53" s="79" t="s">
        <v>223</v>
      </c>
      <c r="B53" s="66" t="s">
        <v>224</v>
      </c>
      <c r="C53" s="90"/>
      <c r="D53" s="81"/>
      <c r="E53" s="23"/>
      <c r="F53" s="79"/>
      <c r="G53" s="66"/>
      <c r="H53" s="66"/>
      <c r="I53" s="66"/>
    </row>
    <row r="54" spans="1:15" ht="15" customHeight="1">
      <c r="A54" s="79" t="s">
        <v>225</v>
      </c>
      <c r="B54" s="66" t="s">
        <v>226</v>
      </c>
      <c r="C54" s="91">
        <v>9.2499999999999999E-2</v>
      </c>
      <c r="D54" s="92">
        <f>-(D46+D47+D52)*C54</f>
        <v>-15.298686</v>
      </c>
      <c r="E54" s="23"/>
      <c r="F54" s="79" t="s">
        <v>223</v>
      </c>
      <c r="G54" s="93" t="s">
        <v>343</v>
      </c>
      <c r="H54" s="66"/>
      <c r="I54" s="66" t="s">
        <v>227</v>
      </c>
    </row>
    <row r="55" spans="1:15" ht="15" customHeight="1">
      <c r="A55" s="307" t="s">
        <v>107</v>
      </c>
      <c r="B55" s="307"/>
      <c r="C55" s="83"/>
      <c r="D55" s="78">
        <f>SUM(D46:D54)</f>
        <v>150.09251399999999</v>
      </c>
      <c r="E55" s="23"/>
      <c r="F55" s="304"/>
      <c r="G55" s="304"/>
      <c r="H55" s="304"/>
      <c r="I55" s="304"/>
    </row>
    <row r="56" spans="1:15" ht="15" customHeight="1">
      <c r="E56" s="23"/>
      <c r="F56" s="23"/>
    </row>
    <row r="57" spans="1:15" ht="15" customHeight="1">
      <c r="A57" s="304" t="s">
        <v>93</v>
      </c>
      <c r="B57" s="304"/>
      <c r="C57" s="304"/>
      <c r="D57" s="304"/>
      <c r="F57" s="23"/>
    </row>
    <row r="58" spans="1:15" ht="15" customHeight="1">
      <c r="A58" s="79" t="s">
        <v>88</v>
      </c>
      <c r="B58" s="66" t="s">
        <v>92</v>
      </c>
      <c r="C58" s="302">
        <f>D32</f>
        <v>656.46559641600015</v>
      </c>
      <c r="D58" s="302"/>
    </row>
    <row r="59" spans="1:15" ht="15" customHeight="1">
      <c r="A59" s="79" t="s">
        <v>89</v>
      </c>
      <c r="B59" s="66" t="s">
        <v>94</v>
      </c>
      <c r="C59" s="302">
        <f>D43</f>
        <v>908.40063999999995</v>
      </c>
      <c r="D59" s="302"/>
    </row>
    <row r="60" spans="1:15" ht="15" customHeight="1">
      <c r="A60" s="79" t="s">
        <v>90</v>
      </c>
      <c r="B60" s="66" t="s">
        <v>91</v>
      </c>
      <c r="C60" s="308">
        <f>D55</f>
        <v>150.09251399999999</v>
      </c>
      <c r="D60" s="308"/>
    </row>
    <row r="61" spans="1:15" ht="15" customHeight="1">
      <c r="A61" s="304" t="s">
        <v>95</v>
      </c>
      <c r="B61" s="304"/>
      <c r="C61" s="305">
        <f>SUM(C58:D60)</f>
        <v>1714.9587504159999</v>
      </c>
      <c r="D61" s="305"/>
    </row>
    <row r="62" spans="1:15" ht="15" customHeight="1">
      <c r="E62" s="23"/>
    </row>
    <row r="63" spans="1:15" s="25" customFormat="1" ht="15" customHeight="1">
      <c r="A63" s="306" t="s">
        <v>96</v>
      </c>
      <c r="B63" s="306"/>
      <c r="C63" s="306"/>
      <c r="D63" s="306"/>
      <c r="E63" s="74"/>
      <c r="F63" s="306" t="s">
        <v>96</v>
      </c>
      <c r="G63" s="306"/>
      <c r="H63" s="306"/>
      <c r="I63" s="306"/>
    </row>
    <row r="64" spans="1:15" ht="15" customHeight="1">
      <c r="A64" s="76">
        <v>3</v>
      </c>
      <c r="B64" s="77" t="s">
        <v>98</v>
      </c>
      <c r="C64" s="94" t="s">
        <v>11</v>
      </c>
      <c r="D64" s="76" t="s">
        <v>37</v>
      </c>
      <c r="E64" s="95"/>
      <c r="F64" s="76">
        <v>3</v>
      </c>
      <c r="G64" s="78" t="s">
        <v>0</v>
      </c>
      <c r="H64" s="78" t="s">
        <v>191</v>
      </c>
      <c r="I64" s="78" t="s">
        <v>1</v>
      </c>
      <c r="J64" s="9"/>
      <c r="K64" s="9"/>
      <c r="L64" s="9"/>
      <c r="M64" s="9"/>
      <c r="N64" s="9"/>
      <c r="O64" s="9"/>
    </row>
    <row r="65" spans="1:15" s="25" customFormat="1" ht="15" customHeight="1">
      <c r="A65" s="79" t="s">
        <v>131</v>
      </c>
      <c r="B65" s="96" t="s">
        <v>51</v>
      </c>
      <c r="C65" s="97">
        <v>4.1700000000000001E-3</v>
      </c>
      <c r="D65" s="85">
        <f t="shared" ref="D65:D70" si="0">($D$25*C65)</f>
        <v>10.2935616</v>
      </c>
      <c r="E65" s="23"/>
      <c r="F65" s="79" t="s">
        <v>131</v>
      </c>
      <c r="G65" s="66" t="s">
        <v>228</v>
      </c>
      <c r="H65" s="66" t="s">
        <v>229</v>
      </c>
      <c r="I65" s="66" t="s">
        <v>230</v>
      </c>
      <c r="J65" s="10"/>
      <c r="K65" s="10"/>
      <c r="L65" s="10"/>
      <c r="M65" s="10"/>
      <c r="N65" s="10"/>
      <c r="O65" s="10"/>
    </row>
    <row r="66" spans="1:15" s="25" customFormat="1" ht="15" customHeight="1">
      <c r="A66" s="79" t="s">
        <v>176</v>
      </c>
      <c r="B66" s="96" t="s">
        <v>53</v>
      </c>
      <c r="C66" s="97">
        <v>3.3E-4</v>
      </c>
      <c r="D66" s="85">
        <f t="shared" si="0"/>
        <v>0.81459840000000006</v>
      </c>
      <c r="E66" s="23"/>
      <c r="F66" s="79" t="s">
        <v>176</v>
      </c>
      <c r="G66" s="66" t="s">
        <v>117</v>
      </c>
      <c r="H66" s="66" t="s">
        <v>231</v>
      </c>
      <c r="I66" s="66" t="s">
        <v>232</v>
      </c>
      <c r="J66" s="10"/>
      <c r="K66" s="10"/>
      <c r="L66" s="10"/>
      <c r="M66" s="10"/>
      <c r="N66" s="10"/>
      <c r="O66" s="10"/>
    </row>
    <row r="67" spans="1:15" s="25" customFormat="1" ht="30.6" customHeight="1">
      <c r="A67" s="79" t="s">
        <v>233</v>
      </c>
      <c r="B67" s="96" t="s">
        <v>54</v>
      </c>
      <c r="C67" s="97"/>
      <c r="D67" s="85">
        <f t="shared" si="0"/>
        <v>0</v>
      </c>
      <c r="E67" s="23"/>
      <c r="F67" s="79" t="s">
        <v>233</v>
      </c>
      <c r="G67" s="66"/>
      <c r="H67" s="66" t="s">
        <v>234</v>
      </c>
      <c r="I67" s="66" t="s">
        <v>235</v>
      </c>
      <c r="J67" s="10"/>
      <c r="K67" s="10"/>
      <c r="L67" s="10"/>
      <c r="M67" s="10"/>
      <c r="N67" s="10"/>
      <c r="O67" s="10"/>
    </row>
    <row r="68" spans="1:15" s="25" customFormat="1" ht="15" customHeight="1">
      <c r="A68" s="79" t="s">
        <v>236</v>
      </c>
      <c r="B68" s="96" t="s">
        <v>46</v>
      </c>
      <c r="C68" s="97">
        <v>1.9439999999999999E-2</v>
      </c>
      <c r="D68" s="85">
        <f t="shared" si="0"/>
        <v>47.987251199999996</v>
      </c>
      <c r="E68" s="23"/>
      <c r="F68" s="79" t="s">
        <v>236</v>
      </c>
      <c r="G68" s="66" t="s">
        <v>237</v>
      </c>
      <c r="H68" s="66" t="s">
        <v>76</v>
      </c>
      <c r="I68" s="66" t="s">
        <v>238</v>
      </c>
    </row>
    <row r="69" spans="1:15" ht="15" customHeight="1">
      <c r="A69" s="79" t="s">
        <v>239</v>
      </c>
      <c r="B69" s="96" t="s">
        <v>97</v>
      </c>
      <c r="C69" s="97">
        <f>C43*C68</f>
        <v>7.153920000000002E-3</v>
      </c>
      <c r="D69" s="85">
        <f t="shared" si="0"/>
        <v>17.659308441600004</v>
      </c>
      <c r="E69" s="23"/>
      <c r="F69" s="79" t="s">
        <v>239</v>
      </c>
      <c r="G69" s="66" t="s">
        <v>240</v>
      </c>
      <c r="H69" s="98"/>
      <c r="I69" s="66" t="s">
        <v>241</v>
      </c>
    </row>
    <row r="70" spans="1:15" s="25" customFormat="1" ht="15" customHeight="1">
      <c r="A70" s="79" t="s">
        <v>242</v>
      </c>
      <c r="B70" s="86" t="s">
        <v>243</v>
      </c>
      <c r="C70" s="97">
        <v>3.4389999999999997E-2</v>
      </c>
      <c r="D70" s="85">
        <f t="shared" si="0"/>
        <v>84.891027199999996</v>
      </c>
      <c r="E70" s="23"/>
      <c r="F70" s="79" t="s">
        <v>242</v>
      </c>
      <c r="G70" s="66" t="s">
        <v>244</v>
      </c>
      <c r="H70" s="66" t="s">
        <v>245</v>
      </c>
      <c r="I70" s="66" t="s">
        <v>246</v>
      </c>
      <c r="J70" s="10"/>
      <c r="K70" s="10"/>
      <c r="L70" s="10"/>
      <c r="M70" s="10"/>
      <c r="N70" s="10"/>
      <c r="O70" s="10"/>
    </row>
    <row r="71" spans="1:15" ht="15" customHeight="1">
      <c r="A71" s="309" t="s">
        <v>107</v>
      </c>
      <c r="B71" s="309"/>
      <c r="C71" s="99">
        <f>SUM(C65:C70)</f>
        <v>6.5483920000000001E-2</v>
      </c>
      <c r="D71" s="100">
        <f>SUM(D65:D70)</f>
        <v>161.64574684159999</v>
      </c>
      <c r="E71" s="23"/>
      <c r="F71" s="304"/>
      <c r="G71" s="304"/>
      <c r="H71" s="304"/>
      <c r="I71" s="304"/>
    </row>
    <row r="72" spans="1:15" ht="15" customHeight="1">
      <c r="E72" s="23"/>
      <c r="F72" s="23"/>
    </row>
    <row r="73" spans="1:15" s="25" customFormat="1" ht="15" customHeight="1">
      <c r="A73" s="306" t="s">
        <v>99</v>
      </c>
      <c r="B73" s="306"/>
      <c r="C73" s="306"/>
      <c r="D73" s="306"/>
      <c r="E73" s="74"/>
      <c r="F73" s="306" t="s">
        <v>99</v>
      </c>
      <c r="G73" s="306"/>
      <c r="H73" s="306"/>
      <c r="I73" s="306"/>
    </row>
    <row r="74" spans="1:15" ht="15" customHeight="1">
      <c r="A74" s="76" t="s">
        <v>103</v>
      </c>
      <c r="B74" s="77" t="s">
        <v>247</v>
      </c>
      <c r="C74" s="94" t="s">
        <v>11</v>
      </c>
      <c r="D74" s="76" t="s">
        <v>37</v>
      </c>
      <c r="E74" s="23"/>
      <c r="F74" s="76" t="s">
        <v>103</v>
      </c>
      <c r="G74" s="78" t="s">
        <v>0</v>
      </c>
      <c r="H74" s="78" t="s">
        <v>191</v>
      </c>
      <c r="I74" s="78" t="s">
        <v>1</v>
      </c>
    </row>
    <row r="75" spans="1:15" s="25" customFormat="1" ht="15" customHeight="1">
      <c r="A75" s="79" t="s">
        <v>248</v>
      </c>
      <c r="B75" s="66" t="s">
        <v>249</v>
      </c>
      <c r="C75" s="84">
        <v>4.15E-3</v>
      </c>
      <c r="D75" s="85">
        <f>($D$25*C75)</f>
        <v>10.244192</v>
      </c>
      <c r="E75" s="23"/>
      <c r="F75" s="79" t="s">
        <v>248</v>
      </c>
      <c r="G75" s="66" t="s">
        <v>118</v>
      </c>
      <c r="H75" s="66" t="s">
        <v>49</v>
      </c>
      <c r="I75" s="66" t="s">
        <v>250</v>
      </c>
      <c r="J75" s="26"/>
      <c r="K75" s="26"/>
      <c r="L75" s="26"/>
    </row>
    <row r="76" spans="1:15" s="25" customFormat="1" ht="15" customHeight="1">
      <c r="A76" s="79" t="s">
        <v>251</v>
      </c>
      <c r="B76" s="66" t="s">
        <v>252</v>
      </c>
      <c r="C76" s="84">
        <v>2.0000000000000001E-4</v>
      </c>
      <c r="D76" s="85">
        <f>($D$25*C76)</f>
        <v>0.49369600000000002</v>
      </c>
      <c r="E76" s="23"/>
      <c r="F76" s="79" t="s">
        <v>251</v>
      </c>
      <c r="G76" s="66" t="s">
        <v>119</v>
      </c>
      <c r="H76" s="66" t="s">
        <v>74</v>
      </c>
      <c r="I76" s="66" t="s">
        <v>66</v>
      </c>
      <c r="J76" s="26"/>
      <c r="K76" s="26"/>
      <c r="L76" s="26"/>
    </row>
    <row r="77" spans="1:15" s="25" customFormat="1" ht="15" customHeight="1">
      <c r="A77" s="79" t="s">
        <v>253</v>
      </c>
      <c r="B77" s="66" t="s">
        <v>254</v>
      </c>
      <c r="C77" s="84">
        <v>5.1000000000000004E-4</v>
      </c>
      <c r="D77" s="85">
        <f>($D$25*C77)</f>
        <v>1.2589248000000002</v>
      </c>
      <c r="E77" s="23"/>
      <c r="F77" s="79" t="s">
        <v>253</v>
      </c>
      <c r="G77" s="66" t="s">
        <v>48</v>
      </c>
      <c r="H77" s="66" t="s">
        <v>73</v>
      </c>
      <c r="I77" s="66" t="s">
        <v>67</v>
      </c>
      <c r="J77" s="26"/>
      <c r="K77" s="26"/>
      <c r="L77" s="26"/>
    </row>
    <row r="78" spans="1:15" s="25" customFormat="1" ht="15" customHeight="1">
      <c r="A78" s="79" t="s">
        <v>255</v>
      </c>
      <c r="B78" s="66" t="s">
        <v>256</v>
      </c>
      <c r="C78" s="84">
        <v>3.8999999999999999E-4</v>
      </c>
      <c r="D78" s="85">
        <f>($D$25*C78)</f>
        <v>0.96270719999999999</v>
      </c>
      <c r="E78" s="23"/>
      <c r="F78" s="79" t="s">
        <v>255</v>
      </c>
      <c r="G78" s="66" t="s">
        <v>69</v>
      </c>
      <c r="H78" s="66" t="s">
        <v>50</v>
      </c>
      <c r="I78" s="66" t="s">
        <v>71</v>
      </c>
      <c r="J78" s="26"/>
      <c r="K78" s="26"/>
      <c r="L78" s="26"/>
    </row>
    <row r="79" spans="1:15" s="25" customFormat="1" ht="15" customHeight="1">
      <c r="A79" s="79" t="s">
        <v>257</v>
      </c>
      <c r="B79" s="66" t="s">
        <v>100</v>
      </c>
      <c r="C79" s="84"/>
      <c r="D79" s="85"/>
      <c r="E79" s="23"/>
      <c r="F79" s="79" t="s">
        <v>257</v>
      </c>
      <c r="G79" s="66"/>
      <c r="H79" s="66"/>
      <c r="I79" s="66"/>
      <c r="J79" s="26"/>
      <c r="K79" s="26"/>
      <c r="L79" s="26"/>
    </row>
    <row r="80" spans="1:15" ht="15" customHeight="1">
      <c r="A80" s="307" t="s">
        <v>107</v>
      </c>
      <c r="B80" s="307"/>
      <c r="C80" s="83">
        <f>SUM(C75:C79)</f>
        <v>5.2499999999999995E-3</v>
      </c>
      <c r="D80" s="78">
        <f>SUM(D75:D79)</f>
        <v>12.959520000000001</v>
      </c>
      <c r="E80" s="23"/>
      <c r="F80" s="304"/>
      <c r="G80" s="304"/>
      <c r="H80" s="304"/>
      <c r="I80" s="304"/>
    </row>
    <row r="81" spans="1:9" ht="15" customHeight="1">
      <c r="E81" s="25"/>
      <c r="F81" s="23"/>
    </row>
    <row r="82" spans="1:9" ht="15" customHeight="1">
      <c r="A82" s="304" t="s">
        <v>258</v>
      </c>
      <c r="B82" s="304"/>
      <c r="C82" s="304"/>
      <c r="D82" s="304"/>
      <c r="E82" s="23"/>
      <c r="F82" s="23"/>
    </row>
    <row r="83" spans="1:9" ht="15" customHeight="1">
      <c r="A83" s="79" t="s">
        <v>103</v>
      </c>
      <c r="B83" s="66" t="s">
        <v>111</v>
      </c>
      <c r="C83" s="302">
        <f>D80</f>
        <v>12.959520000000001</v>
      </c>
      <c r="D83" s="302"/>
      <c r="E83" s="25"/>
      <c r="F83" s="23"/>
    </row>
    <row r="84" spans="1:9" ht="15" customHeight="1">
      <c r="A84" s="76" t="s">
        <v>95</v>
      </c>
      <c r="B84" s="76" t="s">
        <v>95</v>
      </c>
      <c r="C84" s="305">
        <f>SUM(C83:D83)</f>
        <v>12.959520000000001</v>
      </c>
      <c r="D84" s="305"/>
      <c r="E84" s="23"/>
      <c r="F84" s="23"/>
    </row>
    <row r="85" spans="1:9" ht="15" customHeight="1">
      <c r="E85" s="23"/>
      <c r="F85" s="23"/>
    </row>
    <row r="86" spans="1:9" s="25" customFormat="1" ht="15" customHeight="1">
      <c r="A86" s="306" t="s">
        <v>108</v>
      </c>
      <c r="B86" s="306"/>
      <c r="C86" s="306"/>
      <c r="D86" s="306"/>
      <c r="E86" s="74"/>
      <c r="F86" s="306" t="s">
        <v>108</v>
      </c>
      <c r="G86" s="306"/>
      <c r="H86" s="306"/>
      <c r="I86" s="306"/>
    </row>
    <row r="87" spans="1:9" ht="15" customHeight="1">
      <c r="A87" s="76">
        <v>5</v>
      </c>
      <c r="B87" s="77" t="s">
        <v>109</v>
      </c>
      <c r="C87" s="76"/>
      <c r="D87" s="78" t="s">
        <v>21</v>
      </c>
      <c r="E87" s="23"/>
      <c r="F87" s="76">
        <v>5</v>
      </c>
      <c r="G87" s="78" t="s">
        <v>0</v>
      </c>
      <c r="H87" s="78" t="s">
        <v>191</v>
      </c>
      <c r="I87" s="78" t="s">
        <v>1</v>
      </c>
    </row>
    <row r="88" spans="1:9" ht="15" customHeight="1">
      <c r="A88" s="79" t="s">
        <v>133</v>
      </c>
      <c r="B88" s="66" t="s">
        <v>120</v>
      </c>
      <c r="C88" s="92"/>
      <c r="D88" s="81">
        <v>61.115000000000002</v>
      </c>
      <c r="E88" s="23"/>
      <c r="F88" s="79" t="s">
        <v>133</v>
      </c>
      <c r="G88" s="66"/>
      <c r="H88" s="66" t="s">
        <v>78</v>
      </c>
      <c r="I88" s="66"/>
    </row>
    <row r="89" spans="1:9" ht="15" customHeight="1">
      <c r="A89" s="79" t="s">
        <v>178</v>
      </c>
      <c r="B89" s="66" t="s">
        <v>121</v>
      </c>
      <c r="C89" s="92"/>
      <c r="D89" s="81">
        <v>76.39</v>
      </c>
      <c r="E89" s="23"/>
      <c r="F89" s="79" t="s">
        <v>178</v>
      </c>
      <c r="G89" s="66"/>
      <c r="H89" s="66" t="s">
        <v>78</v>
      </c>
      <c r="I89" s="66"/>
    </row>
    <row r="90" spans="1:9" ht="15" customHeight="1">
      <c r="A90" s="79" t="s">
        <v>259</v>
      </c>
      <c r="B90" s="66" t="s">
        <v>226</v>
      </c>
      <c r="C90" s="91">
        <v>9.2499999999999999E-2</v>
      </c>
      <c r="D90" s="81">
        <f>-(D88+D89)*C90</f>
        <v>-12.719212499999999</v>
      </c>
      <c r="F90" s="79" t="s">
        <v>259</v>
      </c>
      <c r="G90" s="66" t="s">
        <v>345</v>
      </c>
      <c r="H90" s="66"/>
      <c r="I90" s="66" t="s">
        <v>227</v>
      </c>
    </row>
    <row r="91" spans="1:9" ht="15" customHeight="1">
      <c r="A91" s="307"/>
      <c r="B91" s="307" t="s">
        <v>36</v>
      </c>
      <c r="C91" s="83"/>
      <c r="D91" s="78">
        <f>SUM(D88:D90)</f>
        <v>124.7857875</v>
      </c>
      <c r="E91" s="23"/>
      <c r="F91" s="304"/>
      <c r="G91" s="304"/>
      <c r="H91" s="304"/>
      <c r="I91" s="304"/>
    </row>
    <row r="92" spans="1:9" ht="15" customHeight="1"/>
    <row r="93" spans="1:9" ht="15" customHeight="1">
      <c r="A93" s="304" t="s">
        <v>110</v>
      </c>
      <c r="B93" s="304"/>
      <c r="C93" s="304"/>
      <c r="D93" s="304"/>
    </row>
    <row r="94" spans="1:9" ht="15" customHeight="1">
      <c r="A94" s="79">
        <v>1</v>
      </c>
      <c r="B94" s="66" t="s">
        <v>86</v>
      </c>
      <c r="C94" s="323">
        <f>D25</f>
        <v>2468.48</v>
      </c>
      <c r="D94" s="324"/>
    </row>
    <row r="95" spans="1:9" ht="30.6" customHeight="1">
      <c r="A95" s="79">
        <v>2</v>
      </c>
      <c r="B95" s="66" t="s">
        <v>87</v>
      </c>
      <c r="C95" s="323">
        <f>C61</f>
        <v>1714.9587504159999</v>
      </c>
      <c r="D95" s="324"/>
    </row>
    <row r="96" spans="1:9" ht="15" customHeight="1">
      <c r="A96" s="79">
        <v>3</v>
      </c>
      <c r="B96" s="66" t="s">
        <v>96</v>
      </c>
      <c r="C96" s="302">
        <f>D71</f>
        <v>161.64574684159999</v>
      </c>
      <c r="D96" s="303"/>
    </row>
    <row r="97" spans="1:9" ht="31.15" customHeight="1">
      <c r="A97" s="79">
        <v>4</v>
      </c>
      <c r="B97" s="66" t="s">
        <v>99</v>
      </c>
      <c r="C97" s="302">
        <f>C84</f>
        <v>12.959520000000001</v>
      </c>
      <c r="D97" s="303"/>
    </row>
    <row r="98" spans="1:9" ht="15" customHeight="1">
      <c r="A98" s="79">
        <v>5</v>
      </c>
      <c r="B98" s="66" t="s">
        <v>108</v>
      </c>
      <c r="C98" s="302">
        <f>D91</f>
        <v>124.7857875</v>
      </c>
      <c r="D98" s="303"/>
      <c r="E98" s="6"/>
    </row>
    <row r="99" spans="1:9" ht="15" customHeight="1">
      <c r="A99" s="304" t="s">
        <v>95</v>
      </c>
      <c r="B99" s="304" t="s">
        <v>95</v>
      </c>
      <c r="C99" s="305">
        <f>SUM(C94:D98)</f>
        <v>4482.8298047576009</v>
      </c>
      <c r="D99" s="305">
        <f>SUM(D94:D98)</f>
        <v>0</v>
      </c>
      <c r="E99" s="28"/>
      <c r="F99" s="6"/>
    </row>
    <row r="100" spans="1:9">
      <c r="E100" s="6"/>
      <c r="F100" s="28"/>
    </row>
    <row r="101" spans="1:9" s="6" customFormat="1" ht="100.15" customHeight="1">
      <c r="A101" s="301" t="s">
        <v>260</v>
      </c>
      <c r="B101" s="301"/>
      <c r="C101" s="301"/>
      <c r="D101" s="301"/>
    </row>
    <row r="102" spans="1:9" s="6" customFormat="1" ht="27.95" customHeight="1">
      <c r="A102" s="181"/>
      <c r="B102" s="181"/>
      <c r="C102" s="182"/>
      <c r="D102" s="181"/>
      <c r="E102" s="28"/>
      <c r="F102" s="28"/>
      <c r="G102" s="28"/>
    </row>
    <row r="103" spans="1:9" s="6" customFormat="1" ht="145.9" customHeight="1">
      <c r="A103" s="301" t="s">
        <v>261</v>
      </c>
      <c r="B103" s="301"/>
      <c r="C103" s="301"/>
      <c r="D103" s="301"/>
    </row>
    <row r="104" spans="1:9" s="6" customFormat="1" ht="15.95" customHeight="1">
      <c r="A104" s="181"/>
      <c r="B104" s="181"/>
      <c r="C104" s="182"/>
      <c r="D104" s="181"/>
      <c r="E104" s="28"/>
      <c r="F104" s="28"/>
      <c r="G104" s="28"/>
    </row>
    <row r="105" spans="1:9" s="6" customFormat="1" ht="235.5" customHeight="1">
      <c r="A105" s="301" t="s">
        <v>262</v>
      </c>
      <c r="B105" s="301"/>
      <c r="C105" s="301"/>
      <c r="D105" s="301"/>
    </row>
    <row r="106" spans="1:9">
      <c r="C106" s="23"/>
      <c r="G106" s="23"/>
      <c r="H106" s="23"/>
      <c r="I106" s="23"/>
    </row>
    <row r="107" spans="1:9">
      <c r="C107" s="23"/>
      <c r="G107" s="23"/>
      <c r="H107" s="23"/>
      <c r="I107" s="23"/>
    </row>
    <row r="108" spans="1:9">
      <c r="C108" s="23"/>
      <c r="G108" s="23"/>
      <c r="H108" s="23"/>
      <c r="I108" s="23"/>
    </row>
    <row r="109" spans="1:9">
      <c r="C109" s="23"/>
      <c r="G109" s="23"/>
      <c r="H109" s="23"/>
      <c r="I109" s="23"/>
    </row>
    <row r="110" spans="1:9">
      <c r="C110" s="23"/>
      <c r="G110" s="23"/>
      <c r="H110" s="23"/>
      <c r="I110" s="23"/>
    </row>
    <row r="111" spans="1:9">
      <c r="C111" s="23"/>
      <c r="G111" s="23"/>
      <c r="H111" s="23"/>
      <c r="I111" s="23"/>
    </row>
    <row r="112" spans="1:9">
      <c r="C112" s="23"/>
      <c r="G112" s="23"/>
      <c r="H112" s="23"/>
      <c r="I112" s="23"/>
    </row>
    <row r="113" spans="5:6" s="23" customFormat="1">
      <c r="E113" s="24"/>
      <c r="F113" s="24"/>
    </row>
    <row r="114" spans="5:6" s="23" customFormat="1">
      <c r="E114" s="24"/>
      <c r="F114" s="24"/>
    </row>
  </sheetData>
  <mergeCells count="63">
    <mergeCell ref="A1:D1"/>
    <mergeCell ref="A2:D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A10:B10"/>
    <mergeCell ref="C10:D10"/>
    <mergeCell ref="A11:B11"/>
    <mergeCell ref="C11:D11"/>
    <mergeCell ref="A55:B55"/>
    <mergeCell ref="F55:I55"/>
    <mergeCell ref="A13:D13"/>
    <mergeCell ref="F13:I13"/>
    <mergeCell ref="A25:B25"/>
    <mergeCell ref="F25:I25"/>
    <mergeCell ref="A27:D27"/>
    <mergeCell ref="F27:I27"/>
    <mergeCell ref="A32:B32"/>
    <mergeCell ref="F32:I32"/>
    <mergeCell ref="A43:B43"/>
    <mergeCell ref="F43:I43"/>
    <mergeCell ref="G51:I51"/>
    <mergeCell ref="A57:D57"/>
    <mergeCell ref="C58:D58"/>
    <mergeCell ref="C59:D59"/>
    <mergeCell ref="C60:D60"/>
    <mergeCell ref="A61:B61"/>
    <mergeCell ref="C61:D61"/>
    <mergeCell ref="A63:D63"/>
    <mergeCell ref="F63:I63"/>
    <mergeCell ref="A71:B71"/>
    <mergeCell ref="F71:I71"/>
    <mergeCell ref="A73:D73"/>
    <mergeCell ref="F73:I73"/>
    <mergeCell ref="C96:D96"/>
    <mergeCell ref="A80:B80"/>
    <mergeCell ref="F80:I80"/>
    <mergeCell ref="A82:D82"/>
    <mergeCell ref="C83:D83"/>
    <mergeCell ref="C84:D84"/>
    <mergeCell ref="A86:D86"/>
    <mergeCell ref="F86:I86"/>
    <mergeCell ref="A91:B91"/>
    <mergeCell ref="F91:I91"/>
    <mergeCell ref="A93:D93"/>
    <mergeCell ref="C94:D94"/>
    <mergeCell ref="C95:D95"/>
    <mergeCell ref="A105:D105"/>
    <mergeCell ref="C97:D97"/>
    <mergeCell ref="C98:D98"/>
    <mergeCell ref="A99:B99"/>
    <mergeCell ref="C99:D99"/>
    <mergeCell ref="A101:D101"/>
    <mergeCell ref="A103:D103"/>
  </mergeCells>
  <pageMargins left="0.511811024" right="0.511811024" top="0.78740157499999996" bottom="0.78740157499999996" header="0.31496062000000002" footer="0.31496062000000002"/>
  <pageSetup paperSize="9" orientation="portrait" r:id="rId1"/>
  <rowBreaks count="2" manualBreakCount="2">
    <brk id="44" max="16383" man="1"/>
    <brk id="8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O114"/>
  <sheetViews>
    <sheetView showGridLines="0" zoomScaleNormal="100" workbookViewId="0">
      <selection activeCell="C7" sqref="C7:D7"/>
    </sheetView>
  </sheetViews>
  <sheetFormatPr defaultColWidth="8.75" defaultRowHeight="15"/>
  <cols>
    <col min="1" max="1" width="5.75" style="23" customWidth="1"/>
    <col min="2" max="2" width="46.75" style="23" customWidth="1"/>
    <col min="3" max="3" width="11" style="22" bestFit="1" customWidth="1"/>
    <col min="4" max="4" width="15.5" style="23" bestFit="1" customWidth="1"/>
    <col min="5" max="5" width="3.75" style="24" customWidth="1"/>
    <col min="6" max="6" width="5.25" style="24" hidden="1" customWidth="1"/>
    <col min="7" max="7" width="44.375" style="24" hidden="1" customWidth="1"/>
    <col min="8" max="8" width="37.75" style="24" hidden="1" customWidth="1"/>
    <col min="9" max="9" width="47.75" style="24" hidden="1" customWidth="1"/>
    <col min="10" max="258" width="8.75" style="23"/>
    <col min="259" max="259" width="5.75" style="23" customWidth="1"/>
    <col min="260" max="260" width="82.5" style="23" customWidth="1"/>
    <col min="261" max="261" width="13.5" style="23" customWidth="1"/>
    <col min="262" max="262" width="24" style="23" customWidth="1"/>
    <col min="263" max="263" width="10.25" style="23" customWidth="1"/>
    <col min="264" max="265" width="0" style="23" hidden="1" customWidth="1"/>
    <col min="266" max="514" width="8.75" style="23"/>
    <col min="515" max="515" width="5.75" style="23" customWidth="1"/>
    <col min="516" max="516" width="82.5" style="23" customWidth="1"/>
    <col min="517" max="517" width="13.5" style="23" customWidth="1"/>
    <col min="518" max="518" width="24" style="23" customWidth="1"/>
    <col min="519" max="519" width="10.25" style="23" customWidth="1"/>
    <col min="520" max="521" width="0" style="23" hidden="1" customWidth="1"/>
    <col min="522" max="770" width="8.75" style="23"/>
    <col min="771" max="771" width="5.75" style="23" customWidth="1"/>
    <col min="772" max="772" width="82.5" style="23" customWidth="1"/>
    <col min="773" max="773" width="13.5" style="23" customWidth="1"/>
    <col min="774" max="774" width="24" style="23" customWidth="1"/>
    <col min="775" max="775" width="10.25" style="23" customWidth="1"/>
    <col min="776" max="777" width="0" style="23" hidden="1" customWidth="1"/>
    <col min="778" max="1026" width="8.75" style="23"/>
    <col min="1027" max="1027" width="5.75" style="23" customWidth="1"/>
    <col min="1028" max="1028" width="82.5" style="23" customWidth="1"/>
    <col min="1029" max="1029" width="13.5" style="23" customWidth="1"/>
    <col min="1030" max="1030" width="24" style="23" customWidth="1"/>
    <col min="1031" max="1031" width="10.25" style="23" customWidth="1"/>
    <col min="1032" max="1033" width="0" style="23" hidden="1" customWidth="1"/>
    <col min="1034" max="1282" width="8.75" style="23"/>
    <col min="1283" max="1283" width="5.75" style="23" customWidth="1"/>
    <col min="1284" max="1284" width="82.5" style="23" customWidth="1"/>
    <col min="1285" max="1285" width="13.5" style="23" customWidth="1"/>
    <col min="1286" max="1286" width="24" style="23" customWidth="1"/>
    <col min="1287" max="1287" width="10.25" style="23" customWidth="1"/>
    <col min="1288" max="1289" width="0" style="23" hidden="1" customWidth="1"/>
    <col min="1290" max="1538" width="8.75" style="23"/>
    <col min="1539" max="1539" width="5.75" style="23" customWidth="1"/>
    <col min="1540" max="1540" width="82.5" style="23" customWidth="1"/>
    <col min="1541" max="1541" width="13.5" style="23" customWidth="1"/>
    <col min="1542" max="1542" width="24" style="23" customWidth="1"/>
    <col min="1543" max="1543" width="10.25" style="23" customWidth="1"/>
    <col min="1544" max="1545" width="0" style="23" hidden="1" customWidth="1"/>
    <col min="1546" max="1794" width="8.75" style="23"/>
    <col min="1795" max="1795" width="5.75" style="23" customWidth="1"/>
    <col min="1796" max="1796" width="82.5" style="23" customWidth="1"/>
    <col min="1797" max="1797" width="13.5" style="23" customWidth="1"/>
    <col min="1798" max="1798" width="24" style="23" customWidth="1"/>
    <col min="1799" max="1799" width="10.25" style="23" customWidth="1"/>
    <col min="1800" max="1801" width="0" style="23" hidden="1" customWidth="1"/>
    <col min="1802" max="2050" width="8.75" style="23"/>
    <col min="2051" max="2051" width="5.75" style="23" customWidth="1"/>
    <col min="2052" max="2052" width="82.5" style="23" customWidth="1"/>
    <col min="2053" max="2053" width="13.5" style="23" customWidth="1"/>
    <col min="2054" max="2054" width="24" style="23" customWidth="1"/>
    <col min="2055" max="2055" width="10.25" style="23" customWidth="1"/>
    <col min="2056" max="2057" width="0" style="23" hidden="1" customWidth="1"/>
    <col min="2058" max="2306" width="8.75" style="23"/>
    <col min="2307" max="2307" width="5.75" style="23" customWidth="1"/>
    <col min="2308" max="2308" width="82.5" style="23" customWidth="1"/>
    <col min="2309" max="2309" width="13.5" style="23" customWidth="1"/>
    <col min="2310" max="2310" width="24" style="23" customWidth="1"/>
    <col min="2311" max="2311" width="10.25" style="23" customWidth="1"/>
    <col min="2312" max="2313" width="0" style="23" hidden="1" customWidth="1"/>
    <col min="2314" max="2562" width="8.75" style="23"/>
    <col min="2563" max="2563" width="5.75" style="23" customWidth="1"/>
    <col min="2564" max="2564" width="82.5" style="23" customWidth="1"/>
    <col min="2565" max="2565" width="13.5" style="23" customWidth="1"/>
    <col min="2566" max="2566" width="24" style="23" customWidth="1"/>
    <col min="2567" max="2567" width="10.25" style="23" customWidth="1"/>
    <col min="2568" max="2569" width="0" style="23" hidden="1" customWidth="1"/>
    <col min="2570" max="2818" width="8.75" style="23"/>
    <col min="2819" max="2819" width="5.75" style="23" customWidth="1"/>
    <col min="2820" max="2820" width="82.5" style="23" customWidth="1"/>
    <col min="2821" max="2821" width="13.5" style="23" customWidth="1"/>
    <col min="2822" max="2822" width="24" style="23" customWidth="1"/>
    <col min="2823" max="2823" width="10.25" style="23" customWidth="1"/>
    <col min="2824" max="2825" width="0" style="23" hidden="1" customWidth="1"/>
    <col min="2826" max="3074" width="8.75" style="23"/>
    <col min="3075" max="3075" width="5.75" style="23" customWidth="1"/>
    <col min="3076" max="3076" width="82.5" style="23" customWidth="1"/>
    <col min="3077" max="3077" width="13.5" style="23" customWidth="1"/>
    <col min="3078" max="3078" width="24" style="23" customWidth="1"/>
    <col min="3079" max="3079" width="10.25" style="23" customWidth="1"/>
    <col min="3080" max="3081" width="0" style="23" hidden="1" customWidth="1"/>
    <col min="3082" max="3330" width="8.75" style="23"/>
    <col min="3331" max="3331" width="5.75" style="23" customWidth="1"/>
    <col min="3332" max="3332" width="82.5" style="23" customWidth="1"/>
    <col min="3333" max="3333" width="13.5" style="23" customWidth="1"/>
    <col min="3334" max="3334" width="24" style="23" customWidth="1"/>
    <col min="3335" max="3335" width="10.25" style="23" customWidth="1"/>
    <col min="3336" max="3337" width="0" style="23" hidden="1" customWidth="1"/>
    <col min="3338" max="3586" width="8.75" style="23"/>
    <col min="3587" max="3587" width="5.75" style="23" customWidth="1"/>
    <col min="3588" max="3588" width="82.5" style="23" customWidth="1"/>
    <col min="3589" max="3589" width="13.5" style="23" customWidth="1"/>
    <col min="3590" max="3590" width="24" style="23" customWidth="1"/>
    <col min="3591" max="3591" width="10.25" style="23" customWidth="1"/>
    <col min="3592" max="3593" width="0" style="23" hidden="1" customWidth="1"/>
    <col min="3594" max="3842" width="8.75" style="23"/>
    <col min="3843" max="3843" width="5.75" style="23" customWidth="1"/>
    <col min="3844" max="3844" width="82.5" style="23" customWidth="1"/>
    <col min="3845" max="3845" width="13.5" style="23" customWidth="1"/>
    <col min="3846" max="3846" width="24" style="23" customWidth="1"/>
    <col min="3847" max="3847" width="10.25" style="23" customWidth="1"/>
    <col min="3848" max="3849" width="0" style="23" hidden="1" customWidth="1"/>
    <col min="3850" max="4098" width="8.75" style="23"/>
    <col min="4099" max="4099" width="5.75" style="23" customWidth="1"/>
    <col min="4100" max="4100" width="82.5" style="23" customWidth="1"/>
    <col min="4101" max="4101" width="13.5" style="23" customWidth="1"/>
    <col min="4102" max="4102" width="24" style="23" customWidth="1"/>
    <col min="4103" max="4103" width="10.25" style="23" customWidth="1"/>
    <col min="4104" max="4105" width="0" style="23" hidden="1" customWidth="1"/>
    <col min="4106" max="4354" width="8.75" style="23"/>
    <col min="4355" max="4355" width="5.75" style="23" customWidth="1"/>
    <col min="4356" max="4356" width="82.5" style="23" customWidth="1"/>
    <col min="4357" max="4357" width="13.5" style="23" customWidth="1"/>
    <col min="4358" max="4358" width="24" style="23" customWidth="1"/>
    <col min="4359" max="4359" width="10.25" style="23" customWidth="1"/>
    <col min="4360" max="4361" width="0" style="23" hidden="1" customWidth="1"/>
    <col min="4362" max="4610" width="8.75" style="23"/>
    <col min="4611" max="4611" width="5.75" style="23" customWidth="1"/>
    <col min="4612" max="4612" width="82.5" style="23" customWidth="1"/>
    <col min="4613" max="4613" width="13.5" style="23" customWidth="1"/>
    <col min="4614" max="4614" width="24" style="23" customWidth="1"/>
    <col min="4615" max="4615" width="10.25" style="23" customWidth="1"/>
    <col min="4616" max="4617" width="0" style="23" hidden="1" customWidth="1"/>
    <col min="4618" max="4866" width="8.75" style="23"/>
    <col min="4867" max="4867" width="5.75" style="23" customWidth="1"/>
    <col min="4868" max="4868" width="82.5" style="23" customWidth="1"/>
    <col min="4869" max="4869" width="13.5" style="23" customWidth="1"/>
    <col min="4870" max="4870" width="24" style="23" customWidth="1"/>
    <col min="4871" max="4871" width="10.25" style="23" customWidth="1"/>
    <col min="4872" max="4873" width="0" style="23" hidden="1" customWidth="1"/>
    <col min="4874" max="5122" width="8.75" style="23"/>
    <col min="5123" max="5123" width="5.75" style="23" customWidth="1"/>
    <col min="5124" max="5124" width="82.5" style="23" customWidth="1"/>
    <col min="5125" max="5125" width="13.5" style="23" customWidth="1"/>
    <col min="5126" max="5126" width="24" style="23" customWidth="1"/>
    <col min="5127" max="5127" width="10.25" style="23" customWidth="1"/>
    <col min="5128" max="5129" width="0" style="23" hidden="1" customWidth="1"/>
    <col min="5130" max="5378" width="8.75" style="23"/>
    <col min="5379" max="5379" width="5.75" style="23" customWidth="1"/>
    <col min="5380" max="5380" width="82.5" style="23" customWidth="1"/>
    <col min="5381" max="5381" width="13.5" style="23" customWidth="1"/>
    <col min="5382" max="5382" width="24" style="23" customWidth="1"/>
    <col min="5383" max="5383" width="10.25" style="23" customWidth="1"/>
    <col min="5384" max="5385" width="0" style="23" hidden="1" customWidth="1"/>
    <col min="5386" max="5634" width="8.75" style="23"/>
    <col min="5635" max="5635" width="5.75" style="23" customWidth="1"/>
    <col min="5636" max="5636" width="82.5" style="23" customWidth="1"/>
    <col min="5637" max="5637" width="13.5" style="23" customWidth="1"/>
    <col min="5638" max="5638" width="24" style="23" customWidth="1"/>
    <col min="5639" max="5639" width="10.25" style="23" customWidth="1"/>
    <col min="5640" max="5641" width="0" style="23" hidden="1" customWidth="1"/>
    <col min="5642" max="5890" width="8.75" style="23"/>
    <col min="5891" max="5891" width="5.75" style="23" customWidth="1"/>
    <col min="5892" max="5892" width="82.5" style="23" customWidth="1"/>
    <col min="5893" max="5893" width="13.5" style="23" customWidth="1"/>
    <col min="5894" max="5894" width="24" style="23" customWidth="1"/>
    <col min="5895" max="5895" width="10.25" style="23" customWidth="1"/>
    <col min="5896" max="5897" width="0" style="23" hidden="1" customWidth="1"/>
    <col min="5898" max="6146" width="8.75" style="23"/>
    <col min="6147" max="6147" width="5.75" style="23" customWidth="1"/>
    <col min="6148" max="6148" width="82.5" style="23" customWidth="1"/>
    <col min="6149" max="6149" width="13.5" style="23" customWidth="1"/>
    <col min="6150" max="6150" width="24" style="23" customWidth="1"/>
    <col min="6151" max="6151" width="10.25" style="23" customWidth="1"/>
    <col min="6152" max="6153" width="0" style="23" hidden="1" customWidth="1"/>
    <col min="6154" max="6402" width="8.75" style="23"/>
    <col min="6403" max="6403" width="5.75" style="23" customWidth="1"/>
    <col min="6404" max="6404" width="82.5" style="23" customWidth="1"/>
    <col min="6405" max="6405" width="13.5" style="23" customWidth="1"/>
    <col min="6406" max="6406" width="24" style="23" customWidth="1"/>
    <col min="6407" max="6407" width="10.25" style="23" customWidth="1"/>
    <col min="6408" max="6409" width="0" style="23" hidden="1" customWidth="1"/>
    <col min="6410" max="6658" width="8.75" style="23"/>
    <col min="6659" max="6659" width="5.75" style="23" customWidth="1"/>
    <col min="6660" max="6660" width="82.5" style="23" customWidth="1"/>
    <col min="6661" max="6661" width="13.5" style="23" customWidth="1"/>
    <col min="6662" max="6662" width="24" style="23" customWidth="1"/>
    <col min="6663" max="6663" width="10.25" style="23" customWidth="1"/>
    <col min="6664" max="6665" width="0" style="23" hidden="1" customWidth="1"/>
    <col min="6666" max="6914" width="8.75" style="23"/>
    <col min="6915" max="6915" width="5.75" style="23" customWidth="1"/>
    <col min="6916" max="6916" width="82.5" style="23" customWidth="1"/>
    <col min="6917" max="6917" width="13.5" style="23" customWidth="1"/>
    <col min="6918" max="6918" width="24" style="23" customWidth="1"/>
    <col min="6919" max="6919" width="10.25" style="23" customWidth="1"/>
    <col min="6920" max="6921" width="0" style="23" hidden="1" customWidth="1"/>
    <col min="6922" max="7170" width="8.75" style="23"/>
    <col min="7171" max="7171" width="5.75" style="23" customWidth="1"/>
    <col min="7172" max="7172" width="82.5" style="23" customWidth="1"/>
    <col min="7173" max="7173" width="13.5" style="23" customWidth="1"/>
    <col min="7174" max="7174" width="24" style="23" customWidth="1"/>
    <col min="7175" max="7175" width="10.25" style="23" customWidth="1"/>
    <col min="7176" max="7177" width="0" style="23" hidden="1" customWidth="1"/>
    <col min="7178" max="7426" width="8.75" style="23"/>
    <col min="7427" max="7427" width="5.75" style="23" customWidth="1"/>
    <col min="7428" max="7428" width="82.5" style="23" customWidth="1"/>
    <col min="7429" max="7429" width="13.5" style="23" customWidth="1"/>
    <col min="7430" max="7430" width="24" style="23" customWidth="1"/>
    <col min="7431" max="7431" width="10.25" style="23" customWidth="1"/>
    <col min="7432" max="7433" width="0" style="23" hidden="1" customWidth="1"/>
    <col min="7434" max="7682" width="8.75" style="23"/>
    <col min="7683" max="7683" width="5.75" style="23" customWidth="1"/>
    <col min="7684" max="7684" width="82.5" style="23" customWidth="1"/>
    <col min="7685" max="7685" width="13.5" style="23" customWidth="1"/>
    <col min="7686" max="7686" width="24" style="23" customWidth="1"/>
    <col min="7687" max="7687" width="10.25" style="23" customWidth="1"/>
    <col min="7688" max="7689" width="0" style="23" hidden="1" customWidth="1"/>
    <col min="7690" max="7938" width="8.75" style="23"/>
    <col min="7939" max="7939" width="5.75" style="23" customWidth="1"/>
    <col min="7940" max="7940" width="82.5" style="23" customWidth="1"/>
    <col min="7941" max="7941" width="13.5" style="23" customWidth="1"/>
    <col min="7942" max="7942" width="24" style="23" customWidth="1"/>
    <col min="7943" max="7943" width="10.25" style="23" customWidth="1"/>
    <col min="7944" max="7945" width="0" style="23" hidden="1" customWidth="1"/>
    <col min="7946" max="8194" width="8.75" style="23"/>
    <col min="8195" max="8195" width="5.75" style="23" customWidth="1"/>
    <col min="8196" max="8196" width="82.5" style="23" customWidth="1"/>
    <col min="8197" max="8197" width="13.5" style="23" customWidth="1"/>
    <col min="8198" max="8198" width="24" style="23" customWidth="1"/>
    <col min="8199" max="8199" width="10.25" style="23" customWidth="1"/>
    <col min="8200" max="8201" width="0" style="23" hidden="1" customWidth="1"/>
    <col min="8202" max="8450" width="8.75" style="23"/>
    <col min="8451" max="8451" width="5.75" style="23" customWidth="1"/>
    <col min="8452" max="8452" width="82.5" style="23" customWidth="1"/>
    <col min="8453" max="8453" width="13.5" style="23" customWidth="1"/>
    <col min="8454" max="8454" width="24" style="23" customWidth="1"/>
    <col min="8455" max="8455" width="10.25" style="23" customWidth="1"/>
    <col min="8456" max="8457" width="0" style="23" hidden="1" customWidth="1"/>
    <col min="8458" max="8706" width="8.75" style="23"/>
    <col min="8707" max="8707" width="5.75" style="23" customWidth="1"/>
    <col min="8708" max="8708" width="82.5" style="23" customWidth="1"/>
    <col min="8709" max="8709" width="13.5" style="23" customWidth="1"/>
    <col min="8710" max="8710" width="24" style="23" customWidth="1"/>
    <col min="8711" max="8711" width="10.25" style="23" customWidth="1"/>
    <col min="8712" max="8713" width="0" style="23" hidden="1" customWidth="1"/>
    <col min="8714" max="8962" width="8.75" style="23"/>
    <col min="8963" max="8963" width="5.75" style="23" customWidth="1"/>
    <col min="8964" max="8964" width="82.5" style="23" customWidth="1"/>
    <col min="8965" max="8965" width="13.5" style="23" customWidth="1"/>
    <col min="8966" max="8966" width="24" style="23" customWidth="1"/>
    <col min="8967" max="8967" width="10.25" style="23" customWidth="1"/>
    <col min="8968" max="8969" width="0" style="23" hidden="1" customWidth="1"/>
    <col min="8970" max="9218" width="8.75" style="23"/>
    <col min="9219" max="9219" width="5.75" style="23" customWidth="1"/>
    <col min="9220" max="9220" width="82.5" style="23" customWidth="1"/>
    <col min="9221" max="9221" width="13.5" style="23" customWidth="1"/>
    <col min="9222" max="9222" width="24" style="23" customWidth="1"/>
    <col min="9223" max="9223" width="10.25" style="23" customWidth="1"/>
    <col min="9224" max="9225" width="0" style="23" hidden="1" customWidth="1"/>
    <col min="9226" max="9474" width="8.75" style="23"/>
    <col min="9475" max="9475" width="5.75" style="23" customWidth="1"/>
    <col min="9476" max="9476" width="82.5" style="23" customWidth="1"/>
    <col min="9477" max="9477" width="13.5" style="23" customWidth="1"/>
    <col min="9478" max="9478" width="24" style="23" customWidth="1"/>
    <col min="9479" max="9479" width="10.25" style="23" customWidth="1"/>
    <col min="9480" max="9481" width="0" style="23" hidden="1" customWidth="1"/>
    <col min="9482" max="9730" width="8.75" style="23"/>
    <col min="9731" max="9731" width="5.75" style="23" customWidth="1"/>
    <col min="9732" max="9732" width="82.5" style="23" customWidth="1"/>
    <col min="9733" max="9733" width="13.5" style="23" customWidth="1"/>
    <col min="9734" max="9734" width="24" style="23" customWidth="1"/>
    <col min="9735" max="9735" width="10.25" style="23" customWidth="1"/>
    <col min="9736" max="9737" width="0" style="23" hidden="1" customWidth="1"/>
    <col min="9738" max="9986" width="8.75" style="23"/>
    <col min="9987" max="9987" width="5.75" style="23" customWidth="1"/>
    <col min="9988" max="9988" width="82.5" style="23" customWidth="1"/>
    <col min="9989" max="9989" width="13.5" style="23" customWidth="1"/>
    <col min="9990" max="9990" width="24" style="23" customWidth="1"/>
    <col min="9991" max="9991" width="10.25" style="23" customWidth="1"/>
    <col min="9992" max="9993" width="0" style="23" hidden="1" customWidth="1"/>
    <col min="9994" max="10242" width="8.75" style="23"/>
    <col min="10243" max="10243" width="5.75" style="23" customWidth="1"/>
    <col min="10244" max="10244" width="82.5" style="23" customWidth="1"/>
    <col min="10245" max="10245" width="13.5" style="23" customWidth="1"/>
    <col min="10246" max="10246" width="24" style="23" customWidth="1"/>
    <col min="10247" max="10247" width="10.25" style="23" customWidth="1"/>
    <col min="10248" max="10249" width="0" style="23" hidden="1" customWidth="1"/>
    <col min="10250" max="10498" width="8.75" style="23"/>
    <col min="10499" max="10499" width="5.75" style="23" customWidth="1"/>
    <col min="10500" max="10500" width="82.5" style="23" customWidth="1"/>
    <col min="10501" max="10501" width="13.5" style="23" customWidth="1"/>
    <col min="10502" max="10502" width="24" style="23" customWidth="1"/>
    <col min="10503" max="10503" width="10.25" style="23" customWidth="1"/>
    <col min="10504" max="10505" width="0" style="23" hidden="1" customWidth="1"/>
    <col min="10506" max="10754" width="8.75" style="23"/>
    <col min="10755" max="10755" width="5.75" style="23" customWidth="1"/>
    <col min="10756" max="10756" width="82.5" style="23" customWidth="1"/>
    <col min="10757" max="10757" width="13.5" style="23" customWidth="1"/>
    <col min="10758" max="10758" width="24" style="23" customWidth="1"/>
    <col min="10759" max="10759" width="10.25" style="23" customWidth="1"/>
    <col min="10760" max="10761" width="0" style="23" hidden="1" customWidth="1"/>
    <col min="10762" max="11010" width="8.75" style="23"/>
    <col min="11011" max="11011" width="5.75" style="23" customWidth="1"/>
    <col min="11012" max="11012" width="82.5" style="23" customWidth="1"/>
    <col min="11013" max="11013" width="13.5" style="23" customWidth="1"/>
    <col min="11014" max="11014" width="24" style="23" customWidth="1"/>
    <col min="11015" max="11015" width="10.25" style="23" customWidth="1"/>
    <col min="11016" max="11017" width="0" style="23" hidden="1" customWidth="1"/>
    <col min="11018" max="11266" width="8.75" style="23"/>
    <col min="11267" max="11267" width="5.75" style="23" customWidth="1"/>
    <col min="11268" max="11268" width="82.5" style="23" customWidth="1"/>
    <col min="11269" max="11269" width="13.5" style="23" customWidth="1"/>
    <col min="11270" max="11270" width="24" style="23" customWidth="1"/>
    <col min="11271" max="11271" width="10.25" style="23" customWidth="1"/>
    <col min="11272" max="11273" width="0" style="23" hidden="1" customWidth="1"/>
    <col min="11274" max="11522" width="8.75" style="23"/>
    <col min="11523" max="11523" width="5.75" style="23" customWidth="1"/>
    <col min="11524" max="11524" width="82.5" style="23" customWidth="1"/>
    <col min="11525" max="11525" width="13.5" style="23" customWidth="1"/>
    <col min="11526" max="11526" width="24" style="23" customWidth="1"/>
    <col min="11527" max="11527" width="10.25" style="23" customWidth="1"/>
    <col min="11528" max="11529" width="0" style="23" hidden="1" customWidth="1"/>
    <col min="11530" max="11778" width="8.75" style="23"/>
    <col min="11779" max="11779" width="5.75" style="23" customWidth="1"/>
    <col min="11780" max="11780" width="82.5" style="23" customWidth="1"/>
    <col min="11781" max="11781" width="13.5" style="23" customWidth="1"/>
    <col min="11782" max="11782" width="24" style="23" customWidth="1"/>
    <col min="11783" max="11783" width="10.25" style="23" customWidth="1"/>
    <col min="11784" max="11785" width="0" style="23" hidden="1" customWidth="1"/>
    <col min="11786" max="12034" width="8.75" style="23"/>
    <col min="12035" max="12035" width="5.75" style="23" customWidth="1"/>
    <col min="12036" max="12036" width="82.5" style="23" customWidth="1"/>
    <col min="12037" max="12037" width="13.5" style="23" customWidth="1"/>
    <col min="12038" max="12038" width="24" style="23" customWidth="1"/>
    <col min="12039" max="12039" width="10.25" style="23" customWidth="1"/>
    <col min="12040" max="12041" width="0" style="23" hidden="1" customWidth="1"/>
    <col min="12042" max="12290" width="8.75" style="23"/>
    <col min="12291" max="12291" width="5.75" style="23" customWidth="1"/>
    <col min="12292" max="12292" width="82.5" style="23" customWidth="1"/>
    <col min="12293" max="12293" width="13.5" style="23" customWidth="1"/>
    <col min="12294" max="12294" width="24" style="23" customWidth="1"/>
    <col min="12295" max="12295" width="10.25" style="23" customWidth="1"/>
    <col min="12296" max="12297" width="0" style="23" hidden="1" customWidth="1"/>
    <col min="12298" max="12546" width="8.75" style="23"/>
    <col min="12547" max="12547" width="5.75" style="23" customWidth="1"/>
    <col min="12548" max="12548" width="82.5" style="23" customWidth="1"/>
    <col min="12549" max="12549" width="13.5" style="23" customWidth="1"/>
    <col min="12550" max="12550" width="24" style="23" customWidth="1"/>
    <col min="12551" max="12551" width="10.25" style="23" customWidth="1"/>
    <col min="12552" max="12553" width="0" style="23" hidden="1" customWidth="1"/>
    <col min="12554" max="12802" width="8.75" style="23"/>
    <col min="12803" max="12803" width="5.75" style="23" customWidth="1"/>
    <col min="12804" max="12804" width="82.5" style="23" customWidth="1"/>
    <col min="12805" max="12805" width="13.5" style="23" customWidth="1"/>
    <col min="12806" max="12806" width="24" style="23" customWidth="1"/>
    <col min="12807" max="12807" width="10.25" style="23" customWidth="1"/>
    <col min="12808" max="12809" width="0" style="23" hidden="1" customWidth="1"/>
    <col min="12810" max="13058" width="8.75" style="23"/>
    <col min="13059" max="13059" width="5.75" style="23" customWidth="1"/>
    <col min="13060" max="13060" width="82.5" style="23" customWidth="1"/>
    <col min="13061" max="13061" width="13.5" style="23" customWidth="1"/>
    <col min="13062" max="13062" width="24" style="23" customWidth="1"/>
    <col min="13063" max="13063" width="10.25" style="23" customWidth="1"/>
    <col min="13064" max="13065" width="0" style="23" hidden="1" customWidth="1"/>
    <col min="13066" max="13314" width="8.75" style="23"/>
    <col min="13315" max="13315" width="5.75" style="23" customWidth="1"/>
    <col min="13316" max="13316" width="82.5" style="23" customWidth="1"/>
    <col min="13317" max="13317" width="13.5" style="23" customWidth="1"/>
    <col min="13318" max="13318" width="24" style="23" customWidth="1"/>
    <col min="13319" max="13319" width="10.25" style="23" customWidth="1"/>
    <col min="13320" max="13321" width="0" style="23" hidden="1" customWidth="1"/>
    <col min="13322" max="13570" width="8.75" style="23"/>
    <col min="13571" max="13571" width="5.75" style="23" customWidth="1"/>
    <col min="13572" max="13572" width="82.5" style="23" customWidth="1"/>
    <col min="13573" max="13573" width="13.5" style="23" customWidth="1"/>
    <col min="13574" max="13574" width="24" style="23" customWidth="1"/>
    <col min="13575" max="13575" width="10.25" style="23" customWidth="1"/>
    <col min="13576" max="13577" width="0" style="23" hidden="1" customWidth="1"/>
    <col min="13578" max="13826" width="8.75" style="23"/>
    <col min="13827" max="13827" width="5.75" style="23" customWidth="1"/>
    <col min="13828" max="13828" width="82.5" style="23" customWidth="1"/>
    <col min="13829" max="13829" width="13.5" style="23" customWidth="1"/>
    <col min="13830" max="13830" width="24" style="23" customWidth="1"/>
    <col min="13831" max="13831" width="10.25" style="23" customWidth="1"/>
    <col min="13832" max="13833" width="0" style="23" hidden="1" customWidth="1"/>
    <col min="13834" max="14082" width="8.75" style="23"/>
    <col min="14083" max="14083" width="5.75" style="23" customWidth="1"/>
    <col min="14084" max="14084" width="82.5" style="23" customWidth="1"/>
    <col min="14085" max="14085" width="13.5" style="23" customWidth="1"/>
    <col min="14086" max="14086" width="24" style="23" customWidth="1"/>
    <col min="14087" max="14087" width="10.25" style="23" customWidth="1"/>
    <col min="14088" max="14089" width="0" style="23" hidden="1" customWidth="1"/>
    <col min="14090" max="14338" width="8.75" style="23"/>
    <col min="14339" max="14339" width="5.75" style="23" customWidth="1"/>
    <col min="14340" max="14340" width="82.5" style="23" customWidth="1"/>
    <col min="14341" max="14341" width="13.5" style="23" customWidth="1"/>
    <col min="14342" max="14342" width="24" style="23" customWidth="1"/>
    <col min="14343" max="14343" width="10.25" style="23" customWidth="1"/>
    <col min="14344" max="14345" width="0" style="23" hidden="1" customWidth="1"/>
    <col min="14346" max="14594" width="8.75" style="23"/>
    <col min="14595" max="14595" width="5.75" style="23" customWidth="1"/>
    <col min="14596" max="14596" width="82.5" style="23" customWidth="1"/>
    <col min="14597" max="14597" width="13.5" style="23" customWidth="1"/>
    <col min="14598" max="14598" width="24" style="23" customWidth="1"/>
    <col min="14599" max="14599" width="10.25" style="23" customWidth="1"/>
    <col min="14600" max="14601" width="0" style="23" hidden="1" customWidth="1"/>
    <col min="14602" max="14850" width="8.75" style="23"/>
    <col min="14851" max="14851" width="5.75" style="23" customWidth="1"/>
    <col min="14852" max="14852" width="82.5" style="23" customWidth="1"/>
    <col min="14853" max="14853" width="13.5" style="23" customWidth="1"/>
    <col min="14854" max="14854" width="24" style="23" customWidth="1"/>
    <col min="14855" max="14855" width="10.25" style="23" customWidth="1"/>
    <col min="14856" max="14857" width="0" style="23" hidden="1" customWidth="1"/>
    <col min="14858" max="15106" width="8.75" style="23"/>
    <col min="15107" max="15107" width="5.75" style="23" customWidth="1"/>
    <col min="15108" max="15108" width="82.5" style="23" customWidth="1"/>
    <col min="15109" max="15109" width="13.5" style="23" customWidth="1"/>
    <col min="15110" max="15110" width="24" style="23" customWidth="1"/>
    <col min="15111" max="15111" width="10.25" style="23" customWidth="1"/>
    <col min="15112" max="15113" width="0" style="23" hidden="1" customWidth="1"/>
    <col min="15114" max="15362" width="8.75" style="23"/>
    <col min="15363" max="15363" width="5.75" style="23" customWidth="1"/>
    <col min="15364" max="15364" width="82.5" style="23" customWidth="1"/>
    <col min="15365" max="15365" width="13.5" style="23" customWidth="1"/>
    <col min="15366" max="15366" width="24" style="23" customWidth="1"/>
    <col min="15367" max="15367" width="10.25" style="23" customWidth="1"/>
    <col min="15368" max="15369" width="0" style="23" hidden="1" customWidth="1"/>
    <col min="15370" max="15618" width="8.75" style="23"/>
    <col min="15619" max="15619" width="5.75" style="23" customWidth="1"/>
    <col min="15620" max="15620" width="82.5" style="23" customWidth="1"/>
    <col min="15621" max="15621" width="13.5" style="23" customWidth="1"/>
    <col min="15622" max="15622" width="24" style="23" customWidth="1"/>
    <col min="15623" max="15623" width="10.25" style="23" customWidth="1"/>
    <col min="15624" max="15625" width="0" style="23" hidden="1" customWidth="1"/>
    <col min="15626" max="15874" width="8.75" style="23"/>
    <col min="15875" max="15875" width="5.75" style="23" customWidth="1"/>
    <col min="15876" max="15876" width="82.5" style="23" customWidth="1"/>
    <col min="15877" max="15877" width="13.5" style="23" customWidth="1"/>
    <col min="15878" max="15878" width="24" style="23" customWidth="1"/>
    <col min="15879" max="15879" width="10.25" style="23" customWidth="1"/>
    <col min="15880" max="15881" width="0" style="23" hidden="1" customWidth="1"/>
    <col min="15882" max="16130" width="8.75" style="23"/>
    <col min="16131" max="16131" width="5.75" style="23" customWidth="1"/>
    <col min="16132" max="16132" width="82.5" style="23" customWidth="1"/>
    <col min="16133" max="16133" width="13.5" style="23" customWidth="1"/>
    <col min="16134" max="16134" width="24" style="23" customWidth="1"/>
    <col min="16135" max="16135" width="10.25" style="23" customWidth="1"/>
    <col min="16136" max="16137" width="0" style="23" hidden="1" customWidth="1"/>
    <col min="16138" max="16384" width="8.75" style="23"/>
  </cols>
  <sheetData>
    <row r="1" spans="1:9" ht="15" customHeight="1" thickBot="1">
      <c r="A1" s="289" t="s">
        <v>9</v>
      </c>
      <c r="B1" s="289"/>
      <c r="C1" s="289"/>
      <c r="D1" s="289"/>
      <c r="E1" s="4"/>
      <c r="F1" s="4"/>
      <c r="G1" s="4"/>
      <c r="H1" s="4"/>
      <c r="I1" s="4"/>
    </row>
    <row r="2" spans="1:9" s="25" customFormat="1" ht="15" customHeight="1" thickBot="1">
      <c r="A2" s="310" t="s">
        <v>12</v>
      </c>
      <c r="B2" s="311"/>
      <c r="C2" s="311"/>
      <c r="D2" s="312"/>
    </row>
    <row r="3" spans="1:9" s="25" customFormat="1" ht="15" customHeight="1">
      <c r="A3" s="287"/>
      <c r="B3" s="287"/>
      <c r="C3" s="313"/>
      <c r="D3" s="313"/>
    </row>
    <row r="4" spans="1:9" s="25" customFormat="1" ht="15" customHeight="1">
      <c r="A4" s="314" t="s">
        <v>13</v>
      </c>
      <c r="B4" s="314"/>
      <c r="C4" s="315" t="s">
        <v>490</v>
      </c>
      <c r="D4" s="315"/>
    </row>
    <row r="5" spans="1:9" s="25" customFormat="1" ht="15" customHeight="1">
      <c r="A5" s="314" t="s">
        <v>14</v>
      </c>
      <c r="B5" s="314"/>
      <c r="C5" s="316" t="s">
        <v>15</v>
      </c>
      <c r="D5" s="316"/>
    </row>
    <row r="6" spans="1:9" s="25" customFormat="1" ht="15" customHeight="1">
      <c r="A6" s="314" t="s">
        <v>16</v>
      </c>
      <c r="B6" s="314"/>
      <c r="C6" s="316" t="s">
        <v>346</v>
      </c>
      <c r="D6" s="316"/>
    </row>
    <row r="7" spans="1:9" s="25" customFormat="1" ht="15" customHeight="1">
      <c r="A7" s="317" t="s">
        <v>17</v>
      </c>
      <c r="B7" s="317"/>
      <c r="C7" s="316" t="s">
        <v>482</v>
      </c>
      <c r="D7" s="316"/>
    </row>
    <row r="8" spans="1:9" s="25" customFormat="1" ht="15" customHeight="1">
      <c r="A8" s="314" t="s">
        <v>18</v>
      </c>
      <c r="B8" s="314"/>
      <c r="C8" s="316">
        <v>12</v>
      </c>
      <c r="D8" s="316"/>
    </row>
    <row r="9" spans="1:9" s="25" customFormat="1" ht="15" customHeight="1">
      <c r="A9" s="39"/>
      <c r="B9" s="39"/>
      <c r="C9" s="6"/>
      <c r="D9" s="6"/>
      <c r="H9" s="74"/>
    </row>
    <row r="10" spans="1:9" s="25" customFormat="1" ht="15" customHeight="1">
      <c r="A10" s="320" t="s">
        <v>19</v>
      </c>
      <c r="B10" s="320"/>
      <c r="C10" s="320" t="s">
        <v>84</v>
      </c>
      <c r="D10" s="320"/>
      <c r="H10" s="74"/>
    </row>
    <row r="11" spans="1:9" s="25" customFormat="1" ht="15" customHeight="1">
      <c r="A11" s="306" t="s">
        <v>386</v>
      </c>
      <c r="B11" s="306"/>
      <c r="C11" s="321" t="s">
        <v>388</v>
      </c>
      <c r="D11" s="306"/>
      <c r="H11" s="75"/>
    </row>
    <row r="12" spans="1:9" s="25" customFormat="1" ht="15" customHeight="1">
      <c r="A12" s="4"/>
      <c r="B12" s="4"/>
      <c r="C12" s="5"/>
      <c r="D12" s="6"/>
    </row>
    <row r="13" spans="1:9" s="25" customFormat="1" ht="15" customHeight="1">
      <c r="A13" s="322" t="s">
        <v>86</v>
      </c>
      <c r="B13" s="322"/>
      <c r="C13" s="322"/>
      <c r="D13" s="322"/>
      <c r="E13" s="74"/>
      <c r="F13" s="322" t="s">
        <v>86</v>
      </c>
      <c r="G13" s="322"/>
      <c r="H13" s="322"/>
      <c r="I13" s="322"/>
    </row>
    <row r="14" spans="1:9" ht="15" customHeight="1">
      <c r="A14" s="76">
        <v>1</v>
      </c>
      <c r="B14" s="77" t="s">
        <v>20</v>
      </c>
      <c r="C14" s="76"/>
      <c r="D14" s="78" t="s">
        <v>21</v>
      </c>
      <c r="E14" s="74"/>
      <c r="F14" s="76">
        <v>1</v>
      </c>
      <c r="G14" s="78" t="s">
        <v>0</v>
      </c>
      <c r="H14" s="78" t="s">
        <v>191</v>
      </c>
      <c r="I14" s="78" t="s">
        <v>1</v>
      </c>
    </row>
    <row r="15" spans="1:9" ht="15" customHeight="1">
      <c r="A15" s="79" t="s">
        <v>128</v>
      </c>
      <c r="B15" s="66" t="s">
        <v>22</v>
      </c>
      <c r="C15" s="80"/>
      <c r="D15" s="81">
        <v>2692.36</v>
      </c>
      <c r="E15" s="23"/>
      <c r="F15" s="79" t="s">
        <v>128</v>
      </c>
      <c r="G15" s="66"/>
      <c r="H15" s="66"/>
      <c r="I15" s="66" t="s">
        <v>83</v>
      </c>
    </row>
    <row r="16" spans="1:9" ht="15" customHeight="1">
      <c r="A16" s="79" t="s">
        <v>130</v>
      </c>
      <c r="B16" s="66" t="s">
        <v>23</v>
      </c>
      <c r="C16" s="80"/>
      <c r="D16" s="81">
        <v>0</v>
      </c>
      <c r="E16" s="23"/>
      <c r="F16" s="79" t="s">
        <v>130</v>
      </c>
      <c r="G16" s="66"/>
      <c r="H16" s="66"/>
      <c r="I16" s="66"/>
    </row>
    <row r="17" spans="1:9" ht="15" customHeight="1">
      <c r="A17" s="79" t="s">
        <v>192</v>
      </c>
      <c r="B17" s="66" t="s">
        <v>24</v>
      </c>
      <c r="C17" s="80"/>
      <c r="D17" s="81">
        <v>0</v>
      </c>
      <c r="E17" s="23"/>
      <c r="F17" s="79" t="s">
        <v>192</v>
      </c>
      <c r="G17" s="66"/>
      <c r="H17" s="66"/>
      <c r="I17" s="66"/>
    </row>
    <row r="18" spans="1:9" ht="15" customHeight="1">
      <c r="A18" s="79" t="s">
        <v>193</v>
      </c>
      <c r="B18" s="66" t="s">
        <v>354</v>
      </c>
      <c r="C18" s="80"/>
      <c r="D18" s="81">
        <f>(D15*C18)</f>
        <v>0</v>
      </c>
      <c r="E18" s="23"/>
      <c r="F18" s="79" t="s">
        <v>193</v>
      </c>
      <c r="G18" s="66"/>
      <c r="H18" s="66"/>
      <c r="I18" s="66"/>
    </row>
    <row r="19" spans="1:9" ht="15" customHeight="1">
      <c r="A19" s="79" t="s">
        <v>194</v>
      </c>
      <c r="B19" s="66" t="s">
        <v>195</v>
      </c>
      <c r="C19" s="80"/>
      <c r="D19" s="81">
        <f>(D16*C19)</f>
        <v>0</v>
      </c>
      <c r="E19" s="23"/>
      <c r="F19" s="79" t="s">
        <v>194</v>
      </c>
      <c r="G19" s="66"/>
      <c r="H19" s="66"/>
      <c r="I19" s="66"/>
    </row>
    <row r="20" spans="1:9" ht="15" customHeight="1">
      <c r="A20" s="79" t="s">
        <v>196</v>
      </c>
      <c r="B20" s="66" t="s">
        <v>25</v>
      </c>
      <c r="C20" s="80"/>
      <c r="D20" s="81">
        <v>0</v>
      </c>
      <c r="E20" s="23"/>
      <c r="F20" s="79" t="s">
        <v>196</v>
      </c>
      <c r="G20" s="66"/>
      <c r="H20" s="66"/>
      <c r="I20" s="66"/>
    </row>
    <row r="21" spans="1:9" ht="15" customHeight="1">
      <c r="A21" s="79" t="s">
        <v>197</v>
      </c>
      <c r="B21" s="66" t="s">
        <v>85</v>
      </c>
      <c r="C21" s="80"/>
      <c r="D21" s="81">
        <v>0</v>
      </c>
      <c r="E21" s="23"/>
      <c r="F21" s="79" t="s">
        <v>197</v>
      </c>
      <c r="G21" s="66"/>
      <c r="H21" s="66"/>
      <c r="I21" s="66"/>
    </row>
    <row r="22" spans="1:9" ht="15" customHeight="1">
      <c r="A22" s="79" t="s">
        <v>198</v>
      </c>
      <c r="B22" s="66" t="s">
        <v>26</v>
      </c>
      <c r="C22" s="80"/>
      <c r="D22" s="81">
        <v>0</v>
      </c>
      <c r="E22" s="23"/>
      <c r="F22" s="79" t="s">
        <v>198</v>
      </c>
      <c r="G22" s="66"/>
      <c r="H22" s="66"/>
      <c r="I22" s="66"/>
    </row>
    <row r="23" spans="1:9" ht="15" customHeight="1">
      <c r="A23" s="79" t="s">
        <v>199</v>
      </c>
      <c r="B23" s="66" t="s">
        <v>27</v>
      </c>
      <c r="C23" s="80"/>
      <c r="D23" s="81">
        <v>0</v>
      </c>
      <c r="E23" s="23"/>
      <c r="F23" s="79" t="s">
        <v>199</v>
      </c>
      <c r="G23" s="66"/>
      <c r="H23" s="66"/>
      <c r="I23" s="66"/>
    </row>
    <row r="24" spans="1:9" ht="15" customHeight="1">
      <c r="A24" s="79" t="s">
        <v>200</v>
      </c>
      <c r="B24" s="66" t="s">
        <v>28</v>
      </c>
      <c r="C24" s="80"/>
      <c r="D24" s="81">
        <f>SUM(D15:D23)*C24</f>
        <v>0</v>
      </c>
      <c r="E24" s="23"/>
      <c r="F24" s="79" t="s">
        <v>200</v>
      </c>
      <c r="G24" s="66"/>
      <c r="H24" s="82"/>
      <c r="I24" s="66"/>
    </row>
    <row r="25" spans="1:9" ht="15" customHeight="1">
      <c r="A25" s="307" t="s">
        <v>29</v>
      </c>
      <c r="B25" s="307"/>
      <c r="C25" s="83"/>
      <c r="D25" s="78">
        <f>SUM(D15:D24)</f>
        <v>2692.36</v>
      </c>
      <c r="E25" s="23"/>
      <c r="F25" s="348"/>
      <c r="G25" s="349"/>
      <c r="H25" s="349"/>
      <c r="I25" s="350"/>
    </row>
    <row r="26" spans="1:9" ht="15" customHeight="1">
      <c r="E26" s="23"/>
      <c r="F26" s="23"/>
    </row>
    <row r="27" spans="1:9" s="25" customFormat="1" ht="15" customHeight="1">
      <c r="A27" s="306" t="s">
        <v>87</v>
      </c>
      <c r="B27" s="306"/>
      <c r="C27" s="306"/>
      <c r="D27" s="306"/>
      <c r="E27" s="74"/>
      <c r="F27" s="306" t="s">
        <v>87</v>
      </c>
      <c r="G27" s="306"/>
      <c r="H27" s="306"/>
      <c r="I27" s="306"/>
    </row>
    <row r="28" spans="1:9" ht="31.9" customHeight="1">
      <c r="A28" s="76" t="s">
        <v>88</v>
      </c>
      <c r="B28" s="77" t="s">
        <v>104</v>
      </c>
      <c r="C28" s="76" t="s">
        <v>11</v>
      </c>
      <c r="D28" s="76" t="s">
        <v>37</v>
      </c>
      <c r="E28" s="23"/>
      <c r="F28" s="76" t="s">
        <v>88</v>
      </c>
      <c r="G28" s="78" t="s">
        <v>0</v>
      </c>
      <c r="H28" s="78" t="s">
        <v>191</v>
      </c>
      <c r="I28" s="78" t="s">
        <v>1</v>
      </c>
    </row>
    <row r="29" spans="1:9" s="25" customFormat="1" ht="15" customHeight="1">
      <c r="A29" s="79" t="s">
        <v>201</v>
      </c>
      <c r="B29" s="66" t="s">
        <v>45</v>
      </c>
      <c r="C29" s="84">
        <v>8.3299999999999999E-2</v>
      </c>
      <c r="D29" s="85">
        <f>($D$25*C29)</f>
        <v>224.27358800000002</v>
      </c>
      <c r="E29" s="23"/>
      <c r="F29" s="79" t="s">
        <v>201</v>
      </c>
      <c r="G29" s="66" t="s">
        <v>8</v>
      </c>
      <c r="H29" s="66" t="s">
        <v>75</v>
      </c>
      <c r="I29" s="66" t="s">
        <v>72</v>
      </c>
    </row>
    <row r="30" spans="1:9" ht="15" customHeight="1">
      <c r="A30" s="79" t="s">
        <v>202</v>
      </c>
      <c r="B30" s="86" t="s">
        <v>52</v>
      </c>
      <c r="C30" s="87">
        <v>0.1111</v>
      </c>
      <c r="D30" s="85">
        <f>($D$25*C30)</f>
        <v>299.121196</v>
      </c>
      <c r="E30" s="23"/>
      <c r="F30" s="79" t="s">
        <v>202</v>
      </c>
      <c r="G30" s="66" t="s">
        <v>56</v>
      </c>
      <c r="H30" s="66" t="s">
        <v>81</v>
      </c>
      <c r="I30" s="66" t="s">
        <v>70</v>
      </c>
    </row>
    <row r="31" spans="1:9" ht="15" customHeight="1">
      <c r="A31" s="79" t="s">
        <v>203</v>
      </c>
      <c r="B31" s="86" t="s">
        <v>101</v>
      </c>
      <c r="C31" s="87">
        <f>C43*(C29+C30)</f>
        <v>7.1539200000000025E-2</v>
      </c>
      <c r="D31" s="85">
        <f>($D$25*C31)</f>
        <v>192.60928051200008</v>
      </c>
      <c r="E31" s="23"/>
      <c r="F31" s="79" t="s">
        <v>203</v>
      </c>
      <c r="G31" s="88" t="s">
        <v>116</v>
      </c>
      <c r="H31" s="88" t="s">
        <v>347</v>
      </c>
      <c r="I31" s="66"/>
    </row>
    <row r="32" spans="1:9" ht="15" customHeight="1">
      <c r="A32" s="307" t="s">
        <v>107</v>
      </c>
      <c r="B32" s="307"/>
      <c r="C32" s="83"/>
      <c r="D32" s="78">
        <f>SUM(D29:D31)</f>
        <v>716.00406451200013</v>
      </c>
      <c r="E32" s="23"/>
      <c r="F32" s="304"/>
      <c r="G32" s="304"/>
      <c r="H32" s="304"/>
      <c r="I32" s="304"/>
    </row>
    <row r="33" spans="1:9" ht="15" customHeight="1">
      <c r="E33" s="23"/>
      <c r="F33" s="23"/>
    </row>
    <row r="34" spans="1:9" ht="15" customHeight="1">
      <c r="A34" s="76" t="s">
        <v>89</v>
      </c>
      <c r="B34" s="77" t="s">
        <v>105</v>
      </c>
      <c r="C34" s="76" t="s">
        <v>11</v>
      </c>
      <c r="D34" s="76" t="s">
        <v>37</v>
      </c>
      <c r="E34" s="23"/>
      <c r="F34" s="76" t="s">
        <v>88</v>
      </c>
      <c r="G34" s="78" t="s">
        <v>0</v>
      </c>
      <c r="H34" s="78" t="s">
        <v>191</v>
      </c>
      <c r="I34" s="78" t="s">
        <v>1</v>
      </c>
    </row>
    <row r="35" spans="1:9" s="25" customFormat="1" ht="15" customHeight="1">
      <c r="A35" s="79" t="s">
        <v>204</v>
      </c>
      <c r="B35" s="86" t="s">
        <v>38</v>
      </c>
      <c r="C35" s="89">
        <v>0.2</v>
      </c>
      <c r="D35" s="85">
        <f>(D25*C35)</f>
        <v>538.47200000000009</v>
      </c>
      <c r="E35" s="23"/>
      <c r="F35" s="79" t="s">
        <v>204</v>
      </c>
      <c r="G35" s="66"/>
      <c r="H35" s="66"/>
      <c r="I35" s="66" t="s">
        <v>2</v>
      </c>
    </row>
    <row r="36" spans="1:9" s="25" customFormat="1" ht="15" customHeight="1">
      <c r="A36" s="79" t="s">
        <v>205</v>
      </c>
      <c r="B36" s="86" t="s">
        <v>39</v>
      </c>
      <c r="C36" s="89">
        <v>0.08</v>
      </c>
      <c r="D36" s="85">
        <f>(D25*C36)</f>
        <v>215.3888</v>
      </c>
      <c r="E36" s="23"/>
      <c r="F36" s="79" t="s">
        <v>205</v>
      </c>
      <c r="G36" s="66"/>
      <c r="H36" s="66"/>
      <c r="I36" s="66" t="s">
        <v>47</v>
      </c>
    </row>
    <row r="37" spans="1:9" s="25" customFormat="1" ht="15" customHeight="1">
      <c r="A37" s="79" t="s">
        <v>206</v>
      </c>
      <c r="B37" s="86" t="s">
        <v>40</v>
      </c>
      <c r="C37" s="89">
        <v>1.4999999999999999E-2</v>
      </c>
      <c r="D37" s="85">
        <f>(D25*C37)</f>
        <v>40.385399999999997</v>
      </c>
      <c r="E37" s="23"/>
      <c r="F37" s="79" t="s">
        <v>206</v>
      </c>
      <c r="G37" s="66"/>
      <c r="H37" s="66"/>
      <c r="I37" s="66" t="s">
        <v>3</v>
      </c>
    </row>
    <row r="38" spans="1:9" s="25" customFormat="1" ht="15" customHeight="1">
      <c r="A38" s="79" t="s">
        <v>207</v>
      </c>
      <c r="B38" s="86" t="s">
        <v>41</v>
      </c>
      <c r="C38" s="89">
        <v>0.01</v>
      </c>
      <c r="D38" s="85">
        <f>(D25*C38)</f>
        <v>26.9236</v>
      </c>
      <c r="E38" s="23"/>
      <c r="F38" s="79" t="s">
        <v>207</v>
      </c>
      <c r="G38" s="66"/>
      <c r="H38" s="66"/>
      <c r="I38" s="66" t="s">
        <v>4</v>
      </c>
    </row>
    <row r="39" spans="1:9" s="25" customFormat="1" ht="15" customHeight="1">
      <c r="A39" s="79" t="s">
        <v>208</v>
      </c>
      <c r="B39" s="86" t="s">
        <v>42</v>
      </c>
      <c r="C39" s="89">
        <v>6.0000000000000001E-3</v>
      </c>
      <c r="D39" s="85">
        <f>(D25*C39)</f>
        <v>16.154160000000001</v>
      </c>
      <c r="E39" s="23"/>
      <c r="F39" s="79" t="s">
        <v>208</v>
      </c>
      <c r="G39" s="66"/>
      <c r="H39" s="66"/>
      <c r="I39" s="66" t="s">
        <v>6</v>
      </c>
    </row>
    <row r="40" spans="1:9" s="25" customFormat="1" ht="15" customHeight="1">
      <c r="A40" s="79" t="s">
        <v>209</v>
      </c>
      <c r="B40" s="86" t="s">
        <v>43</v>
      </c>
      <c r="C40" s="89">
        <v>2E-3</v>
      </c>
      <c r="D40" s="85">
        <f>(D25*C40)</f>
        <v>5.3847200000000006</v>
      </c>
      <c r="E40" s="23"/>
      <c r="F40" s="79" t="s">
        <v>209</v>
      </c>
      <c r="G40" s="66"/>
      <c r="H40" s="66"/>
      <c r="I40" s="66" t="s">
        <v>5</v>
      </c>
    </row>
    <row r="41" spans="1:9" s="25" customFormat="1" ht="15" customHeight="1">
      <c r="A41" s="79" t="s">
        <v>210</v>
      </c>
      <c r="B41" s="86" t="s">
        <v>44</v>
      </c>
      <c r="C41" s="89">
        <v>2.5000000000000001E-2</v>
      </c>
      <c r="D41" s="85">
        <f>(D25*C41)</f>
        <v>67.309000000000012</v>
      </c>
      <c r="E41" s="23"/>
      <c r="F41" s="79" t="s">
        <v>210</v>
      </c>
      <c r="G41" s="66"/>
      <c r="H41" s="66"/>
      <c r="I41" s="66" t="s">
        <v>7</v>
      </c>
    </row>
    <row r="42" spans="1:9" s="25" customFormat="1" ht="15" customHeight="1">
      <c r="A42" s="79" t="s">
        <v>211</v>
      </c>
      <c r="B42" s="86" t="s">
        <v>102</v>
      </c>
      <c r="C42" s="89">
        <v>0.03</v>
      </c>
      <c r="D42" s="85">
        <f>(D25*C42)</f>
        <v>80.770799999999994</v>
      </c>
      <c r="E42" s="23"/>
      <c r="F42" s="79" t="s">
        <v>211</v>
      </c>
      <c r="G42" s="66"/>
      <c r="H42" s="66"/>
      <c r="I42" s="66" t="s">
        <v>55</v>
      </c>
    </row>
    <row r="43" spans="1:9" ht="15" customHeight="1">
      <c r="A43" s="307" t="s">
        <v>107</v>
      </c>
      <c r="B43" s="307"/>
      <c r="C43" s="83">
        <f>SUM(C35:C42)</f>
        <v>0.3680000000000001</v>
      </c>
      <c r="D43" s="78">
        <f>SUM(D35:D42)</f>
        <v>990.78848000000016</v>
      </c>
      <c r="E43" s="23"/>
      <c r="F43" s="304"/>
      <c r="G43" s="304"/>
      <c r="H43" s="304"/>
      <c r="I43" s="304"/>
    </row>
    <row r="44" spans="1:9" ht="15" customHeight="1">
      <c r="E44" s="23"/>
      <c r="F44" s="23"/>
    </row>
    <row r="45" spans="1:9" ht="15" customHeight="1">
      <c r="A45" s="76" t="s">
        <v>90</v>
      </c>
      <c r="B45" s="77" t="s">
        <v>106</v>
      </c>
      <c r="C45" s="76"/>
      <c r="D45" s="78" t="s">
        <v>21</v>
      </c>
      <c r="E45" s="23"/>
      <c r="F45" s="76" t="s">
        <v>90</v>
      </c>
      <c r="G45" s="78" t="s">
        <v>0</v>
      </c>
      <c r="H45" s="78" t="s">
        <v>191</v>
      </c>
      <c r="I45" s="78" t="s">
        <v>1</v>
      </c>
    </row>
    <row r="46" spans="1:9" ht="15" customHeight="1">
      <c r="A46" s="79" t="s">
        <v>212</v>
      </c>
      <c r="B46" s="66" t="s">
        <v>30</v>
      </c>
      <c r="C46" s="90">
        <v>6.25</v>
      </c>
      <c r="D46" s="81">
        <f>(C46*50.16)-(6%*D15)</f>
        <v>151.95840000000001</v>
      </c>
      <c r="E46" s="23"/>
      <c r="F46" s="79" t="s">
        <v>212</v>
      </c>
      <c r="G46" s="66" t="s">
        <v>348</v>
      </c>
      <c r="H46" s="66" t="s">
        <v>342</v>
      </c>
      <c r="I46" s="66" t="s">
        <v>213</v>
      </c>
    </row>
    <row r="47" spans="1:9" ht="15" customHeight="1">
      <c r="A47" s="79" t="s">
        <v>214</v>
      </c>
      <c r="B47" s="66" t="s">
        <v>31</v>
      </c>
      <c r="C47" s="90"/>
      <c r="D47" s="81">
        <f>C47-(C47*0.2)</f>
        <v>0</v>
      </c>
      <c r="E47" s="23"/>
      <c r="F47" s="79" t="s">
        <v>214</v>
      </c>
      <c r="G47" s="66" t="s">
        <v>351</v>
      </c>
      <c r="H47" s="66" t="s">
        <v>349</v>
      </c>
      <c r="I47" s="66" t="s">
        <v>215</v>
      </c>
    </row>
    <row r="48" spans="1:9" ht="15" customHeight="1">
      <c r="A48" s="79" t="s">
        <v>216</v>
      </c>
      <c r="B48" s="66" t="s">
        <v>32</v>
      </c>
      <c r="C48" s="90"/>
      <c r="D48" s="81">
        <f>C48</f>
        <v>0</v>
      </c>
      <c r="E48" s="23"/>
      <c r="F48" s="79" t="s">
        <v>216</v>
      </c>
      <c r="G48" s="66"/>
      <c r="H48" s="66"/>
      <c r="I48" s="66" t="s">
        <v>215</v>
      </c>
    </row>
    <row r="49" spans="1:15" ht="15" customHeight="1">
      <c r="A49" s="79" t="s">
        <v>217</v>
      </c>
      <c r="B49" s="66" t="s">
        <v>33</v>
      </c>
      <c r="C49" s="90"/>
      <c r="D49" s="81">
        <f>C49</f>
        <v>0</v>
      </c>
      <c r="E49" s="23"/>
      <c r="F49" s="79" t="s">
        <v>217</v>
      </c>
      <c r="G49" s="66"/>
      <c r="H49" s="66"/>
      <c r="I49" s="66" t="s">
        <v>215</v>
      </c>
    </row>
    <row r="50" spans="1:15" ht="15" customHeight="1">
      <c r="A50" s="79" t="s">
        <v>218</v>
      </c>
      <c r="B50" s="66" t="s">
        <v>34</v>
      </c>
      <c r="C50" s="90"/>
      <c r="D50" s="81">
        <f>C50</f>
        <v>0</v>
      </c>
      <c r="E50" s="23"/>
      <c r="F50" s="79" t="s">
        <v>218</v>
      </c>
      <c r="G50" s="66"/>
      <c r="H50" s="66"/>
      <c r="I50" s="66"/>
    </row>
    <row r="51" spans="1:15" ht="15" customHeight="1">
      <c r="A51" s="79" t="s">
        <v>219</v>
      </c>
      <c r="B51" s="66" t="s">
        <v>35</v>
      </c>
      <c r="C51" s="90"/>
      <c r="D51" s="81">
        <f>C51</f>
        <v>0</v>
      </c>
      <c r="E51" s="23"/>
      <c r="F51" s="79" t="s">
        <v>219</v>
      </c>
      <c r="G51" s="351"/>
      <c r="H51" s="351"/>
      <c r="I51" s="351"/>
    </row>
    <row r="52" spans="1:15" ht="15" customHeight="1">
      <c r="A52" s="79" t="s">
        <v>220</v>
      </c>
      <c r="B52" s="66" t="s">
        <v>221</v>
      </c>
      <c r="C52" s="90"/>
      <c r="D52" s="81">
        <f>(C52-(C52*0.2))/12</f>
        <v>0</v>
      </c>
      <c r="E52" s="23"/>
      <c r="F52" s="79" t="s">
        <v>220</v>
      </c>
      <c r="G52" s="66" t="s">
        <v>350</v>
      </c>
      <c r="H52" s="66" t="s">
        <v>222</v>
      </c>
      <c r="I52" s="66" t="s">
        <v>215</v>
      </c>
    </row>
    <row r="53" spans="1:15" ht="15" customHeight="1">
      <c r="A53" s="79" t="s">
        <v>223</v>
      </c>
      <c r="B53" s="66" t="s">
        <v>224</v>
      </c>
      <c r="C53" s="90"/>
      <c r="D53" s="81"/>
      <c r="E53" s="23"/>
      <c r="F53" s="79"/>
      <c r="G53" s="66"/>
      <c r="H53" s="66"/>
      <c r="I53" s="66" t="s">
        <v>215</v>
      </c>
    </row>
    <row r="54" spans="1:15" ht="15" customHeight="1">
      <c r="A54" s="79" t="s">
        <v>225</v>
      </c>
      <c r="B54" s="66" t="s">
        <v>226</v>
      </c>
      <c r="C54" s="91">
        <v>9.2499999999999999E-2</v>
      </c>
      <c r="D54" s="92">
        <f>-(D46+D47+D52)*C54</f>
        <v>-14.056152000000001</v>
      </c>
      <c r="E54" s="23"/>
      <c r="F54" s="79" t="s">
        <v>223</v>
      </c>
      <c r="G54" s="93" t="s">
        <v>352</v>
      </c>
      <c r="H54" s="66"/>
      <c r="I54" s="66" t="s">
        <v>227</v>
      </c>
    </row>
    <row r="55" spans="1:15" ht="15" customHeight="1">
      <c r="A55" s="307" t="s">
        <v>107</v>
      </c>
      <c r="B55" s="307"/>
      <c r="C55" s="83"/>
      <c r="D55" s="78">
        <f>SUM(D46:D54)</f>
        <v>137.90224800000001</v>
      </c>
      <c r="E55" s="23"/>
      <c r="F55" s="304"/>
      <c r="G55" s="304"/>
      <c r="H55" s="304"/>
      <c r="I55" s="304"/>
    </row>
    <row r="56" spans="1:15" ht="15" customHeight="1">
      <c r="E56" s="23"/>
      <c r="F56" s="23"/>
    </row>
    <row r="57" spans="1:15" ht="15" customHeight="1">
      <c r="A57" s="304" t="s">
        <v>93</v>
      </c>
      <c r="B57" s="304"/>
      <c r="C57" s="304"/>
      <c r="D57" s="304"/>
      <c r="F57" s="23"/>
    </row>
    <row r="58" spans="1:15" ht="15" customHeight="1">
      <c r="A58" s="79" t="s">
        <v>88</v>
      </c>
      <c r="B58" s="66" t="s">
        <v>92</v>
      </c>
      <c r="C58" s="302">
        <f>D32</f>
        <v>716.00406451200013</v>
      </c>
      <c r="D58" s="302"/>
    </row>
    <row r="59" spans="1:15" ht="15" customHeight="1">
      <c r="A59" s="79" t="s">
        <v>89</v>
      </c>
      <c r="B59" s="66" t="s">
        <v>94</v>
      </c>
      <c r="C59" s="302">
        <f>D43</f>
        <v>990.78848000000016</v>
      </c>
      <c r="D59" s="302"/>
    </row>
    <row r="60" spans="1:15" ht="15" customHeight="1">
      <c r="A60" s="79" t="s">
        <v>90</v>
      </c>
      <c r="B60" s="66" t="s">
        <v>91</v>
      </c>
      <c r="C60" s="308">
        <f>D55</f>
        <v>137.90224800000001</v>
      </c>
      <c r="D60" s="308"/>
    </row>
    <row r="61" spans="1:15" ht="15" customHeight="1">
      <c r="A61" s="304" t="s">
        <v>95</v>
      </c>
      <c r="B61" s="304"/>
      <c r="C61" s="305">
        <f>SUM(C58:D60)</f>
        <v>1844.6947925120005</v>
      </c>
      <c r="D61" s="305"/>
    </row>
    <row r="62" spans="1:15" ht="15" customHeight="1">
      <c r="E62" s="23"/>
    </row>
    <row r="63" spans="1:15" s="25" customFormat="1" ht="15" customHeight="1">
      <c r="A63" s="306" t="s">
        <v>96</v>
      </c>
      <c r="B63" s="306"/>
      <c r="C63" s="306"/>
      <c r="D63" s="306"/>
      <c r="E63" s="74"/>
      <c r="F63" s="306" t="s">
        <v>96</v>
      </c>
      <c r="G63" s="306"/>
      <c r="H63" s="306"/>
      <c r="I63" s="306"/>
    </row>
    <row r="64" spans="1:15" ht="15" customHeight="1">
      <c r="A64" s="76">
        <v>3</v>
      </c>
      <c r="B64" s="77" t="s">
        <v>98</v>
      </c>
      <c r="C64" s="94" t="s">
        <v>11</v>
      </c>
      <c r="D64" s="76" t="s">
        <v>37</v>
      </c>
      <c r="E64" s="95"/>
      <c r="F64" s="76">
        <v>3</v>
      </c>
      <c r="G64" s="78" t="s">
        <v>0</v>
      </c>
      <c r="H64" s="78" t="s">
        <v>191</v>
      </c>
      <c r="I64" s="78" t="s">
        <v>1</v>
      </c>
      <c r="J64" s="9"/>
      <c r="K64" s="9"/>
      <c r="L64" s="9"/>
      <c r="M64" s="9"/>
      <c r="N64" s="9"/>
      <c r="O64" s="9"/>
    </row>
    <row r="65" spans="1:15" s="25" customFormat="1" ht="15" customHeight="1">
      <c r="A65" s="79" t="s">
        <v>131</v>
      </c>
      <c r="B65" s="96" t="s">
        <v>51</v>
      </c>
      <c r="C65" s="97">
        <v>4.1700000000000001E-3</v>
      </c>
      <c r="D65" s="85">
        <f t="shared" ref="D65:D70" si="0">($D$25*C65)</f>
        <v>11.2271412</v>
      </c>
      <c r="E65" s="23"/>
      <c r="F65" s="79" t="s">
        <v>131</v>
      </c>
      <c r="G65" s="66" t="s">
        <v>228</v>
      </c>
      <c r="H65" s="66" t="s">
        <v>229</v>
      </c>
      <c r="I65" s="66" t="s">
        <v>230</v>
      </c>
      <c r="J65" s="10"/>
      <c r="K65" s="10"/>
      <c r="L65" s="10"/>
      <c r="M65" s="10"/>
      <c r="N65" s="10"/>
      <c r="O65" s="10"/>
    </row>
    <row r="66" spans="1:15" s="25" customFormat="1" ht="15" customHeight="1">
      <c r="A66" s="79" t="s">
        <v>176</v>
      </c>
      <c r="B66" s="96" t="s">
        <v>53</v>
      </c>
      <c r="C66" s="97">
        <v>3.3E-4</v>
      </c>
      <c r="D66" s="85">
        <f t="shared" si="0"/>
        <v>0.88847880000000001</v>
      </c>
      <c r="E66" s="23"/>
      <c r="F66" s="79" t="s">
        <v>176</v>
      </c>
      <c r="G66" s="66" t="s">
        <v>117</v>
      </c>
      <c r="H66" s="66" t="s">
        <v>231</v>
      </c>
      <c r="I66" s="66" t="s">
        <v>232</v>
      </c>
      <c r="J66" s="10"/>
      <c r="K66" s="10"/>
      <c r="L66" s="10"/>
      <c r="M66" s="10"/>
      <c r="N66" s="10"/>
      <c r="O66" s="10"/>
    </row>
    <row r="67" spans="1:15" s="25" customFormat="1" ht="30" customHeight="1">
      <c r="A67" s="79" t="s">
        <v>233</v>
      </c>
      <c r="B67" s="96" t="s">
        <v>54</v>
      </c>
      <c r="C67" s="97"/>
      <c r="D67" s="85">
        <f t="shared" si="0"/>
        <v>0</v>
      </c>
      <c r="E67" s="23"/>
      <c r="F67" s="79" t="s">
        <v>233</v>
      </c>
      <c r="G67" s="66"/>
      <c r="H67" s="66" t="s">
        <v>234</v>
      </c>
      <c r="I67" s="66" t="s">
        <v>235</v>
      </c>
      <c r="J67" s="10"/>
      <c r="K67" s="10"/>
      <c r="L67" s="10"/>
      <c r="M67" s="10"/>
      <c r="N67" s="10"/>
      <c r="O67" s="10"/>
    </row>
    <row r="68" spans="1:15" s="25" customFormat="1" ht="15" customHeight="1">
      <c r="A68" s="79" t="s">
        <v>236</v>
      </c>
      <c r="B68" s="96" t="s">
        <v>46</v>
      </c>
      <c r="C68" s="97">
        <v>1.9439999999999999E-2</v>
      </c>
      <c r="D68" s="85">
        <f t="shared" si="0"/>
        <v>52.339478399999997</v>
      </c>
      <c r="E68" s="23"/>
      <c r="F68" s="79" t="s">
        <v>236</v>
      </c>
      <c r="G68" s="66" t="s">
        <v>237</v>
      </c>
      <c r="H68" s="66" t="s">
        <v>76</v>
      </c>
      <c r="I68" s="66" t="s">
        <v>238</v>
      </c>
    </row>
    <row r="69" spans="1:15" ht="15" customHeight="1">
      <c r="A69" s="79" t="s">
        <v>239</v>
      </c>
      <c r="B69" s="96" t="s">
        <v>97</v>
      </c>
      <c r="C69" s="97">
        <f>C43*C68</f>
        <v>7.153920000000002E-3</v>
      </c>
      <c r="D69" s="85">
        <f t="shared" si="0"/>
        <v>19.260928051200008</v>
      </c>
      <c r="E69" s="23"/>
      <c r="F69" s="79" t="s">
        <v>239</v>
      </c>
      <c r="G69" s="66" t="s">
        <v>240</v>
      </c>
      <c r="H69" s="98"/>
      <c r="I69" s="66" t="s">
        <v>241</v>
      </c>
    </row>
    <row r="70" spans="1:15" s="25" customFormat="1" ht="15" customHeight="1">
      <c r="A70" s="79" t="s">
        <v>242</v>
      </c>
      <c r="B70" s="86" t="s">
        <v>243</v>
      </c>
      <c r="C70" s="97">
        <v>3.4389999999999997E-2</v>
      </c>
      <c r="D70" s="85">
        <f t="shared" si="0"/>
        <v>92.590260399999991</v>
      </c>
      <c r="E70" s="23"/>
      <c r="F70" s="79" t="s">
        <v>242</v>
      </c>
      <c r="G70" s="66" t="s">
        <v>244</v>
      </c>
      <c r="H70" s="66" t="s">
        <v>245</v>
      </c>
      <c r="I70" s="66" t="s">
        <v>246</v>
      </c>
      <c r="J70" s="10"/>
      <c r="K70" s="10"/>
      <c r="L70" s="10"/>
      <c r="M70" s="10"/>
      <c r="N70" s="10"/>
      <c r="O70" s="10"/>
    </row>
    <row r="71" spans="1:15" ht="15" customHeight="1">
      <c r="A71" s="309" t="s">
        <v>107</v>
      </c>
      <c r="B71" s="309"/>
      <c r="C71" s="99">
        <f>SUM(C65:C70)</f>
        <v>6.5483920000000001E-2</v>
      </c>
      <c r="D71" s="100">
        <f>SUM(D65:D70)</f>
        <v>176.30628685120001</v>
      </c>
      <c r="E71" s="23"/>
      <c r="F71" s="304"/>
      <c r="G71" s="304"/>
      <c r="H71" s="304"/>
      <c r="I71" s="304"/>
    </row>
    <row r="72" spans="1:15" ht="15" customHeight="1">
      <c r="E72" s="23"/>
      <c r="F72" s="23"/>
    </row>
    <row r="73" spans="1:15" s="25" customFormat="1" ht="15" customHeight="1">
      <c r="A73" s="306" t="s">
        <v>99</v>
      </c>
      <c r="B73" s="306"/>
      <c r="C73" s="306"/>
      <c r="D73" s="306"/>
      <c r="E73" s="74"/>
      <c r="F73" s="306" t="s">
        <v>99</v>
      </c>
      <c r="G73" s="306"/>
      <c r="H73" s="306"/>
      <c r="I73" s="306"/>
    </row>
    <row r="74" spans="1:15" ht="15" customHeight="1">
      <c r="A74" s="76" t="s">
        <v>103</v>
      </c>
      <c r="B74" s="77" t="s">
        <v>247</v>
      </c>
      <c r="C74" s="94" t="s">
        <v>11</v>
      </c>
      <c r="D74" s="76" t="s">
        <v>37</v>
      </c>
      <c r="E74" s="23"/>
      <c r="F74" s="76" t="s">
        <v>103</v>
      </c>
      <c r="G74" s="78" t="s">
        <v>0</v>
      </c>
      <c r="H74" s="78" t="s">
        <v>191</v>
      </c>
      <c r="I74" s="78" t="s">
        <v>1</v>
      </c>
    </row>
    <row r="75" spans="1:15" s="25" customFormat="1" ht="15" customHeight="1">
      <c r="A75" s="79" t="s">
        <v>248</v>
      </c>
      <c r="B75" s="66" t="s">
        <v>249</v>
      </c>
      <c r="C75" s="84">
        <v>4.15E-3</v>
      </c>
      <c r="D75" s="85">
        <f>($D$25*C75)</f>
        <v>11.173294</v>
      </c>
      <c r="E75" s="23"/>
      <c r="F75" s="79" t="s">
        <v>248</v>
      </c>
      <c r="G75" s="66" t="s">
        <v>118</v>
      </c>
      <c r="H75" s="66" t="s">
        <v>49</v>
      </c>
      <c r="I75" s="66" t="s">
        <v>250</v>
      </c>
      <c r="J75" s="26"/>
      <c r="K75" s="26"/>
      <c r="L75" s="26"/>
    </row>
    <row r="76" spans="1:15" s="25" customFormat="1" ht="15" customHeight="1">
      <c r="A76" s="79" t="s">
        <v>251</v>
      </c>
      <c r="B76" s="66" t="s">
        <v>252</v>
      </c>
      <c r="C76" s="84">
        <v>2.0000000000000001E-4</v>
      </c>
      <c r="D76" s="85">
        <f>($D$25*C76)</f>
        <v>0.53847200000000006</v>
      </c>
      <c r="E76" s="23"/>
      <c r="F76" s="79" t="s">
        <v>251</v>
      </c>
      <c r="G76" s="66" t="s">
        <v>119</v>
      </c>
      <c r="H76" s="66" t="s">
        <v>74</v>
      </c>
      <c r="I76" s="66" t="s">
        <v>66</v>
      </c>
      <c r="J76" s="26"/>
      <c r="K76" s="26"/>
      <c r="L76" s="26"/>
    </row>
    <row r="77" spans="1:15" s="25" customFormat="1" ht="15" customHeight="1">
      <c r="A77" s="79" t="s">
        <v>253</v>
      </c>
      <c r="B77" s="66" t="s">
        <v>254</v>
      </c>
      <c r="C77" s="84">
        <v>5.1000000000000004E-4</v>
      </c>
      <c r="D77" s="85">
        <f>($D$25*C77)</f>
        <v>1.3731036000000001</v>
      </c>
      <c r="E77" s="23"/>
      <c r="F77" s="79" t="s">
        <v>253</v>
      </c>
      <c r="G77" s="66" t="s">
        <v>48</v>
      </c>
      <c r="H77" s="66" t="s">
        <v>73</v>
      </c>
      <c r="I77" s="66" t="s">
        <v>67</v>
      </c>
      <c r="J77" s="26"/>
      <c r="K77" s="26"/>
      <c r="L77" s="26"/>
    </row>
    <row r="78" spans="1:15" s="25" customFormat="1" ht="15" customHeight="1">
      <c r="A78" s="79" t="s">
        <v>255</v>
      </c>
      <c r="B78" s="66" t="s">
        <v>256</v>
      </c>
      <c r="C78" s="84">
        <v>3.8999999999999999E-4</v>
      </c>
      <c r="D78" s="85">
        <f>($D$25*C78)</f>
        <v>1.0500204</v>
      </c>
      <c r="E78" s="23"/>
      <c r="F78" s="79" t="s">
        <v>255</v>
      </c>
      <c r="G78" s="66" t="s">
        <v>69</v>
      </c>
      <c r="H78" s="66" t="s">
        <v>50</v>
      </c>
      <c r="I78" s="66" t="s">
        <v>71</v>
      </c>
      <c r="J78" s="26"/>
      <c r="K78" s="26"/>
      <c r="L78" s="26"/>
    </row>
    <row r="79" spans="1:15" s="25" customFormat="1" ht="15" customHeight="1">
      <c r="A79" s="79" t="s">
        <v>257</v>
      </c>
      <c r="B79" s="66" t="s">
        <v>100</v>
      </c>
      <c r="C79" s="84"/>
      <c r="D79" s="85"/>
      <c r="E79" s="23"/>
      <c r="F79" s="79" t="s">
        <v>257</v>
      </c>
      <c r="G79" s="66"/>
      <c r="H79" s="66"/>
      <c r="I79" s="66"/>
      <c r="J79" s="26"/>
      <c r="K79" s="26"/>
      <c r="L79" s="26"/>
    </row>
    <row r="80" spans="1:15" ht="15" customHeight="1">
      <c r="A80" s="307" t="s">
        <v>107</v>
      </c>
      <c r="B80" s="307"/>
      <c r="C80" s="83">
        <f>SUM(C75:C79)</f>
        <v>5.2499999999999995E-3</v>
      </c>
      <c r="D80" s="78">
        <f>SUM(D75:D79)</f>
        <v>14.13489</v>
      </c>
      <c r="E80" s="23"/>
      <c r="F80" s="304"/>
      <c r="G80" s="304"/>
      <c r="H80" s="304"/>
      <c r="I80" s="304"/>
    </row>
    <row r="81" spans="1:9" ht="15" customHeight="1">
      <c r="E81" s="25"/>
      <c r="F81" s="23"/>
    </row>
    <row r="82" spans="1:9" ht="15" customHeight="1">
      <c r="A82" s="304" t="s">
        <v>258</v>
      </c>
      <c r="B82" s="304"/>
      <c r="C82" s="304"/>
      <c r="D82" s="304"/>
      <c r="E82" s="23"/>
      <c r="F82" s="23"/>
    </row>
    <row r="83" spans="1:9" ht="15" customHeight="1">
      <c r="A83" s="79" t="s">
        <v>103</v>
      </c>
      <c r="B83" s="66" t="s">
        <v>111</v>
      </c>
      <c r="C83" s="302">
        <f>D80</f>
        <v>14.13489</v>
      </c>
      <c r="D83" s="302"/>
      <c r="E83" s="25"/>
      <c r="F83" s="23"/>
    </row>
    <row r="84" spans="1:9" ht="15" customHeight="1">
      <c r="A84" s="76" t="s">
        <v>95</v>
      </c>
      <c r="B84" s="76" t="s">
        <v>95</v>
      </c>
      <c r="C84" s="305">
        <f>SUM(C83:D83)</f>
        <v>14.13489</v>
      </c>
      <c r="D84" s="305"/>
      <c r="E84" s="23"/>
      <c r="F84" s="23"/>
    </row>
    <row r="85" spans="1:9" ht="15" customHeight="1">
      <c r="E85" s="23"/>
      <c r="F85" s="23"/>
    </row>
    <row r="86" spans="1:9" s="25" customFormat="1" ht="15" customHeight="1">
      <c r="A86" s="306" t="s">
        <v>108</v>
      </c>
      <c r="B86" s="306"/>
      <c r="C86" s="306"/>
      <c r="D86" s="306"/>
      <c r="E86" s="74"/>
      <c r="F86" s="306" t="s">
        <v>108</v>
      </c>
      <c r="G86" s="306"/>
      <c r="H86" s="306"/>
      <c r="I86" s="306"/>
    </row>
    <row r="87" spans="1:9" ht="15" customHeight="1">
      <c r="A87" s="76">
        <v>5</v>
      </c>
      <c r="B87" s="77" t="s">
        <v>109</v>
      </c>
      <c r="C87" s="76"/>
      <c r="D87" s="78" t="s">
        <v>21</v>
      </c>
      <c r="E87" s="23"/>
      <c r="F87" s="76">
        <v>5</v>
      </c>
      <c r="G87" s="78" t="s">
        <v>0</v>
      </c>
      <c r="H87" s="78" t="s">
        <v>191</v>
      </c>
      <c r="I87" s="78" t="s">
        <v>1</v>
      </c>
    </row>
    <row r="88" spans="1:9" ht="15" customHeight="1">
      <c r="A88" s="79" t="s">
        <v>133</v>
      </c>
      <c r="B88" s="66" t="s">
        <v>120</v>
      </c>
      <c r="C88" s="92"/>
      <c r="D88" s="81">
        <v>61.115000000000002</v>
      </c>
      <c r="E88" s="23"/>
      <c r="F88" s="79" t="s">
        <v>133</v>
      </c>
      <c r="G88" s="66"/>
      <c r="H88" s="66" t="s">
        <v>78</v>
      </c>
      <c r="I88" s="66"/>
    </row>
    <row r="89" spans="1:9" ht="15" customHeight="1">
      <c r="A89" s="79" t="s">
        <v>178</v>
      </c>
      <c r="B89" s="66" t="s">
        <v>121</v>
      </c>
      <c r="C89" s="92"/>
      <c r="D89" s="81">
        <v>67.64</v>
      </c>
      <c r="E89" s="23"/>
      <c r="F89" s="79" t="s">
        <v>178</v>
      </c>
      <c r="G89" s="66"/>
      <c r="H89" s="66" t="s">
        <v>78</v>
      </c>
      <c r="I89" s="66"/>
    </row>
    <row r="90" spans="1:9" ht="15" customHeight="1">
      <c r="A90" s="79" t="s">
        <v>259</v>
      </c>
      <c r="B90" s="66" t="s">
        <v>226</v>
      </c>
      <c r="C90" s="91">
        <v>9.2499999999999999E-2</v>
      </c>
      <c r="D90" s="81">
        <f>-(D88+D89)*C90</f>
        <v>-11.9098375</v>
      </c>
      <c r="F90" s="79" t="s">
        <v>259</v>
      </c>
      <c r="G90" s="66" t="s">
        <v>353</v>
      </c>
      <c r="H90" s="66"/>
      <c r="I90" s="66" t="s">
        <v>227</v>
      </c>
    </row>
    <row r="91" spans="1:9" ht="15" customHeight="1">
      <c r="A91" s="307"/>
      <c r="B91" s="307" t="s">
        <v>36</v>
      </c>
      <c r="C91" s="83"/>
      <c r="D91" s="78">
        <f>SUM(D88:D90)</f>
        <v>116.8451625</v>
      </c>
      <c r="E91" s="23"/>
      <c r="F91" s="304"/>
      <c r="G91" s="304"/>
      <c r="H91" s="304"/>
      <c r="I91" s="304"/>
    </row>
    <row r="92" spans="1:9" ht="15" customHeight="1"/>
    <row r="93" spans="1:9" ht="15" customHeight="1">
      <c r="A93" s="304" t="s">
        <v>110</v>
      </c>
      <c r="B93" s="304"/>
      <c r="C93" s="304"/>
      <c r="D93" s="304"/>
    </row>
    <row r="94" spans="1:9" ht="15" customHeight="1">
      <c r="A94" s="79">
        <v>1</v>
      </c>
      <c r="B94" s="66" t="s">
        <v>86</v>
      </c>
      <c r="C94" s="302">
        <f>D25</f>
        <v>2692.36</v>
      </c>
      <c r="D94" s="303"/>
    </row>
    <row r="95" spans="1:9" ht="27.6" customHeight="1">
      <c r="A95" s="79">
        <v>2</v>
      </c>
      <c r="B95" s="66" t="s">
        <v>87</v>
      </c>
      <c r="C95" s="302">
        <f>C61</f>
        <v>1844.6947925120005</v>
      </c>
      <c r="D95" s="303"/>
    </row>
    <row r="96" spans="1:9" ht="15" customHeight="1">
      <c r="A96" s="79">
        <v>3</v>
      </c>
      <c r="B96" s="66" t="s">
        <v>96</v>
      </c>
      <c r="C96" s="302">
        <f>D71</f>
        <v>176.30628685120001</v>
      </c>
      <c r="D96" s="303"/>
    </row>
    <row r="97" spans="1:9" ht="28.15" customHeight="1">
      <c r="A97" s="79">
        <v>4</v>
      </c>
      <c r="B97" s="66" t="s">
        <v>99</v>
      </c>
      <c r="C97" s="302">
        <f>C84</f>
        <v>14.13489</v>
      </c>
      <c r="D97" s="303"/>
    </row>
    <row r="98" spans="1:9" ht="15" customHeight="1">
      <c r="A98" s="79">
        <v>5</v>
      </c>
      <c r="B98" s="66" t="s">
        <v>108</v>
      </c>
      <c r="C98" s="302">
        <f>D91</f>
        <v>116.8451625</v>
      </c>
      <c r="D98" s="303"/>
      <c r="E98" s="6"/>
    </row>
    <row r="99" spans="1:9" ht="15" customHeight="1">
      <c r="A99" s="304" t="s">
        <v>95</v>
      </c>
      <c r="B99" s="304" t="s">
        <v>95</v>
      </c>
      <c r="C99" s="305">
        <f>SUM(C94:D98)</f>
        <v>4844.3411318632006</v>
      </c>
      <c r="D99" s="305">
        <f>SUM(D94:D98)</f>
        <v>0</v>
      </c>
      <c r="E99" s="28"/>
      <c r="F99" s="6"/>
    </row>
    <row r="100" spans="1:9" ht="30" customHeight="1">
      <c r="E100" s="6"/>
      <c r="F100" s="28"/>
    </row>
    <row r="101" spans="1:9" s="6" customFormat="1" ht="100.15" customHeight="1">
      <c r="A101" s="301" t="s">
        <v>260</v>
      </c>
      <c r="B101" s="301"/>
      <c r="C101" s="301"/>
      <c r="D101" s="301"/>
    </row>
    <row r="102" spans="1:9" s="6" customFormat="1" ht="27.95" customHeight="1">
      <c r="A102" s="181"/>
      <c r="B102" s="181"/>
      <c r="C102" s="182"/>
      <c r="D102" s="181"/>
      <c r="E102" s="28"/>
      <c r="F102" s="28"/>
      <c r="G102" s="28"/>
    </row>
    <row r="103" spans="1:9" s="6" customFormat="1" ht="145.9" customHeight="1">
      <c r="A103" s="301" t="s">
        <v>261</v>
      </c>
      <c r="B103" s="301"/>
      <c r="C103" s="301"/>
      <c r="D103" s="301"/>
    </row>
    <row r="104" spans="1:9" s="6" customFormat="1" ht="15.95" customHeight="1">
      <c r="A104" s="181"/>
      <c r="B104" s="181"/>
      <c r="C104" s="182"/>
      <c r="D104" s="181"/>
      <c r="E104" s="28"/>
      <c r="F104" s="28"/>
      <c r="G104" s="28"/>
    </row>
    <row r="105" spans="1:9" s="6" customFormat="1" ht="297" customHeight="1">
      <c r="A105" s="301" t="s">
        <v>262</v>
      </c>
      <c r="B105" s="301"/>
      <c r="C105" s="301"/>
      <c r="D105" s="301"/>
    </row>
    <row r="106" spans="1:9" ht="38.25" customHeight="1">
      <c r="A106" s="183"/>
      <c r="B106" s="183"/>
      <c r="C106" s="183"/>
      <c r="D106" s="183"/>
      <c r="G106" s="23"/>
      <c r="H106" s="23"/>
      <c r="I106" s="23"/>
    </row>
    <row r="107" spans="1:9">
      <c r="C107" s="23"/>
      <c r="G107" s="23"/>
      <c r="H107" s="23"/>
      <c r="I107" s="23"/>
    </row>
    <row r="108" spans="1:9" ht="18" customHeight="1">
      <c r="C108" s="23"/>
      <c r="G108" s="23"/>
      <c r="H108" s="23"/>
      <c r="I108" s="23"/>
    </row>
    <row r="109" spans="1:9" ht="45.95" customHeight="1">
      <c r="C109" s="23"/>
      <c r="G109" s="23"/>
      <c r="H109" s="23"/>
      <c r="I109" s="23"/>
    </row>
    <row r="110" spans="1:9" ht="45.95" customHeight="1">
      <c r="C110" s="23"/>
      <c r="G110" s="23"/>
      <c r="H110" s="23"/>
      <c r="I110" s="23"/>
    </row>
    <row r="111" spans="1:9" ht="45.95" customHeight="1">
      <c r="C111" s="23"/>
      <c r="G111" s="23"/>
      <c r="H111" s="23"/>
      <c r="I111" s="23"/>
    </row>
    <row r="112" spans="1:9" ht="45.95" customHeight="1">
      <c r="C112" s="23"/>
      <c r="G112" s="23"/>
      <c r="H112" s="23"/>
      <c r="I112" s="23"/>
    </row>
    <row r="113" spans="5:6" s="23" customFormat="1">
      <c r="E113" s="24"/>
      <c r="F113" s="24"/>
    </row>
    <row r="114" spans="5:6" s="23" customFormat="1">
      <c r="E114" s="24"/>
      <c r="F114" s="24"/>
    </row>
  </sheetData>
  <mergeCells count="63">
    <mergeCell ref="G51:I51"/>
    <mergeCell ref="A25:B25"/>
    <mergeCell ref="A32:B32"/>
    <mergeCell ref="A43:B43"/>
    <mergeCell ref="A13:D13"/>
    <mergeCell ref="F13:I13"/>
    <mergeCell ref="F25:I25"/>
    <mergeCell ref="A27:D27"/>
    <mergeCell ref="F27:I27"/>
    <mergeCell ref="F32:I32"/>
    <mergeCell ref="F43:I43"/>
    <mergeCell ref="C8:D8"/>
    <mergeCell ref="A10:B10"/>
    <mergeCell ref="C10:D10"/>
    <mergeCell ref="A11:B11"/>
    <mergeCell ref="C11:D11"/>
    <mergeCell ref="F63:I63"/>
    <mergeCell ref="A71:B71"/>
    <mergeCell ref="F71:I71"/>
    <mergeCell ref="A1:D1"/>
    <mergeCell ref="A2:D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A55:B55"/>
    <mergeCell ref="F55:I55"/>
    <mergeCell ref="A57:D57"/>
    <mergeCell ref="C60:D60"/>
    <mergeCell ref="A61:B61"/>
    <mergeCell ref="C61:D61"/>
    <mergeCell ref="C97:D97"/>
    <mergeCell ref="C98:D98"/>
    <mergeCell ref="A99:B99"/>
    <mergeCell ref="C99:D99"/>
    <mergeCell ref="C58:D58"/>
    <mergeCell ref="C59:D59"/>
    <mergeCell ref="C95:D95"/>
    <mergeCell ref="C94:D94"/>
    <mergeCell ref="A63:D63"/>
    <mergeCell ref="A101:D101"/>
    <mergeCell ref="A103:D103"/>
    <mergeCell ref="A105:D105"/>
    <mergeCell ref="A73:D73"/>
    <mergeCell ref="F73:I73"/>
    <mergeCell ref="A80:B80"/>
    <mergeCell ref="F80:I80"/>
    <mergeCell ref="A82:D82"/>
    <mergeCell ref="C83:D83"/>
    <mergeCell ref="C84:D84"/>
    <mergeCell ref="A86:D86"/>
    <mergeCell ref="F86:I86"/>
    <mergeCell ref="A91:B91"/>
    <mergeCell ref="F91:I91"/>
    <mergeCell ref="A93:D93"/>
    <mergeCell ref="C96:D96"/>
  </mergeCells>
  <phoneticPr fontId="14" type="noConversion"/>
  <pageMargins left="0.7" right="0.7" top="0.75" bottom="0.75" header="0.3" footer="0.3"/>
  <pageSetup paperSize="9" orientation="portrait" r:id="rId1"/>
  <rowBreaks count="2" manualBreakCount="2">
    <brk id="43" max="16383" man="1"/>
    <brk id="84" max="16383" man="1"/>
  </rowBreaks>
  <colBreaks count="1" manualBreakCount="1">
    <brk id="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1:E114"/>
  <sheetViews>
    <sheetView showGridLines="0" zoomScaleNormal="100" workbookViewId="0">
      <selection activeCell="C5" sqref="C5:D5"/>
    </sheetView>
  </sheetViews>
  <sheetFormatPr defaultColWidth="8.75" defaultRowHeight="15"/>
  <cols>
    <col min="1" max="1" width="5.75" style="23" customWidth="1"/>
    <col min="2" max="2" width="46.75" style="23" customWidth="1"/>
    <col min="3" max="3" width="11" style="22" bestFit="1" customWidth="1"/>
    <col min="4" max="4" width="14.25" style="23" bestFit="1" customWidth="1"/>
    <col min="5" max="247" width="8.75" style="23"/>
    <col min="248" max="248" width="5.75" style="23" customWidth="1"/>
    <col min="249" max="249" width="82.5" style="23" customWidth="1"/>
    <col min="250" max="250" width="13.5" style="23" customWidth="1"/>
    <col min="251" max="251" width="24" style="23" customWidth="1"/>
    <col min="252" max="252" width="10.25" style="23" customWidth="1"/>
    <col min="253" max="254" width="0" style="23" hidden="1" customWidth="1"/>
    <col min="255" max="503" width="8.75" style="23"/>
    <col min="504" max="504" width="5.75" style="23" customWidth="1"/>
    <col min="505" max="505" width="82.5" style="23" customWidth="1"/>
    <col min="506" max="506" width="13.5" style="23" customWidth="1"/>
    <col min="507" max="507" width="24" style="23" customWidth="1"/>
    <col min="508" max="508" width="10.25" style="23" customWidth="1"/>
    <col min="509" max="510" width="0" style="23" hidden="1" customWidth="1"/>
    <col min="511" max="759" width="8.75" style="23"/>
    <col min="760" max="760" width="5.75" style="23" customWidth="1"/>
    <col min="761" max="761" width="82.5" style="23" customWidth="1"/>
    <col min="762" max="762" width="13.5" style="23" customWidth="1"/>
    <col min="763" max="763" width="24" style="23" customWidth="1"/>
    <col min="764" max="764" width="10.25" style="23" customWidth="1"/>
    <col min="765" max="766" width="0" style="23" hidden="1" customWidth="1"/>
    <col min="767" max="1015" width="8.75" style="23"/>
    <col min="1016" max="1016" width="5.75" style="23" customWidth="1"/>
    <col min="1017" max="1017" width="82.5" style="23" customWidth="1"/>
    <col min="1018" max="1018" width="13.5" style="23" customWidth="1"/>
    <col min="1019" max="1019" width="24" style="23" customWidth="1"/>
    <col min="1020" max="1020" width="10.25" style="23" customWidth="1"/>
    <col min="1021" max="1022" width="0" style="23" hidden="1" customWidth="1"/>
    <col min="1023" max="1271" width="8.75" style="23"/>
    <col min="1272" max="1272" width="5.75" style="23" customWidth="1"/>
    <col min="1273" max="1273" width="82.5" style="23" customWidth="1"/>
    <col min="1274" max="1274" width="13.5" style="23" customWidth="1"/>
    <col min="1275" max="1275" width="24" style="23" customWidth="1"/>
    <col min="1276" max="1276" width="10.25" style="23" customWidth="1"/>
    <col min="1277" max="1278" width="0" style="23" hidden="1" customWidth="1"/>
    <col min="1279" max="1527" width="8.75" style="23"/>
    <col min="1528" max="1528" width="5.75" style="23" customWidth="1"/>
    <col min="1529" max="1529" width="82.5" style="23" customWidth="1"/>
    <col min="1530" max="1530" width="13.5" style="23" customWidth="1"/>
    <col min="1531" max="1531" width="24" style="23" customWidth="1"/>
    <col min="1532" max="1532" width="10.25" style="23" customWidth="1"/>
    <col min="1533" max="1534" width="0" style="23" hidden="1" customWidth="1"/>
    <col min="1535" max="1783" width="8.75" style="23"/>
    <col min="1784" max="1784" width="5.75" style="23" customWidth="1"/>
    <col min="1785" max="1785" width="82.5" style="23" customWidth="1"/>
    <col min="1786" max="1786" width="13.5" style="23" customWidth="1"/>
    <col min="1787" max="1787" width="24" style="23" customWidth="1"/>
    <col min="1788" max="1788" width="10.25" style="23" customWidth="1"/>
    <col min="1789" max="1790" width="0" style="23" hidden="1" customWidth="1"/>
    <col min="1791" max="2039" width="8.75" style="23"/>
    <col min="2040" max="2040" width="5.75" style="23" customWidth="1"/>
    <col min="2041" max="2041" width="82.5" style="23" customWidth="1"/>
    <col min="2042" max="2042" width="13.5" style="23" customWidth="1"/>
    <col min="2043" max="2043" width="24" style="23" customWidth="1"/>
    <col min="2044" max="2044" width="10.25" style="23" customWidth="1"/>
    <col min="2045" max="2046" width="0" style="23" hidden="1" customWidth="1"/>
    <col min="2047" max="2295" width="8.75" style="23"/>
    <col min="2296" max="2296" width="5.75" style="23" customWidth="1"/>
    <col min="2297" max="2297" width="82.5" style="23" customWidth="1"/>
    <col min="2298" max="2298" width="13.5" style="23" customWidth="1"/>
    <col min="2299" max="2299" width="24" style="23" customWidth="1"/>
    <col min="2300" max="2300" width="10.25" style="23" customWidth="1"/>
    <col min="2301" max="2302" width="0" style="23" hidden="1" customWidth="1"/>
    <col min="2303" max="2551" width="8.75" style="23"/>
    <col min="2552" max="2552" width="5.75" style="23" customWidth="1"/>
    <col min="2553" max="2553" width="82.5" style="23" customWidth="1"/>
    <col min="2554" max="2554" width="13.5" style="23" customWidth="1"/>
    <col min="2555" max="2555" width="24" style="23" customWidth="1"/>
    <col min="2556" max="2556" width="10.25" style="23" customWidth="1"/>
    <col min="2557" max="2558" width="0" style="23" hidden="1" customWidth="1"/>
    <col min="2559" max="2807" width="8.75" style="23"/>
    <col min="2808" max="2808" width="5.75" style="23" customWidth="1"/>
    <col min="2809" max="2809" width="82.5" style="23" customWidth="1"/>
    <col min="2810" max="2810" width="13.5" style="23" customWidth="1"/>
    <col min="2811" max="2811" width="24" style="23" customWidth="1"/>
    <col min="2812" max="2812" width="10.25" style="23" customWidth="1"/>
    <col min="2813" max="2814" width="0" style="23" hidden="1" customWidth="1"/>
    <col min="2815" max="3063" width="8.75" style="23"/>
    <col min="3064" max="3064" width="5.75" style="23" customWidth="1"/>
    <col min="3065" max="3065" width="82.5" style="23" customWidth="1"/>
    <col min="3066" max="3066" width="13.5" style="23" customWidth="1"/>
    <col min="3067" max="3067" width="24" style="23" customWidth="1"/>
    <col min="3068" max="3068" width="10.25" style="23" customWidth="1"/>
    <col min="3069" max="3070" width="0" style="23" hidden="1" customWidth="1"/>
    <col min="3071" max="3319" width="8.75" style="23"/>
    <col min="3320" max="3320" width="5.75" style="23" customWidth="1"/>
    <col min="3321" max="3321" width="82.5" style="23" customWidth="1"/>
    <col min="3322" max="3322" width="13.5" style="23" customWidth="1"/>
    <col min="3323" max="3323" width="24" style="23" customWidth="1"/>
    <col min="3324" max="3324" width="10.25" style="23" customWidth="1"/>
    <col min="3325" max="3326" width="0" style="23" hidden="1" customWidth="1"/>
    <col min="3327" max="3575" width="8.75" style="23"/>
    <col min="3576" max="3576" width="5.75" style="23" customWidth="1"/>
    <col min="3577" max="3577" width="82.5" style="23" customWidth="1"/>
    <col min="3578" max="3578" width="13.5" style="23" customWidth="1"/>
    <col min="3579" max="3579" width="24" style="23" customWidth="1"/>
    <col min="3580" max="3580" width="10.25" style="23" customWidth="1"/>
    <col min="3581" max="3582" width="0" style="23" hidden="1" customWidth="1"/>
    <col min="3583" max="3831" width="8.75" style="23"/>
    <col min="3832" max="3832" width="5.75" style="23" customWidth="1"/>
    <col min="3833" max="3833" width="82.5" style="23" customWidth="1"/>
    <col min="3834" max="3834" width="13.5" style="23" customWidth="1"/>
    <col min="3835" max="3835" width="24" style="23" customWidth="1"/>
    <col min="3836" max="3836" width="10.25" style="23" customWidth="1"/>
    <col min="3837" max="3838" width="0" style="23" hidden="1" customWidth="1"/>
    <col min="3839" max="4087" width="8.75" style="23"/>
    <col min="4088" max="4088" width="5.75" style="23" customWidth="1"/>
    <col min="4089" max="4089" width="82.5" style="23" customWidth="1"/>
    <col min="4090" max="4090" width="13.5" style="23" customWidth="1"/>
    <col min="4091" max="4091" width="24" style="23" customWidth="1"/>
    <col min="4092" max="4092" width="10.25" style="23" customWidth="1"/>
    <col min="4093" max="4094" width="0" style="23" hidden="1" customWidth="1"/>
    <col min="4095" max="4343" width="8.75" style="23"/>
    <col min="4344" max="4344" width="5.75" style="23" customWidth="1"/>
    <col min="4345" max="4345" width="82.5" style="23" customWidth="1"/>
    <col min="4346" max="4346" width="13.5" style="23" customWidth="1"/>
    <col min="4347" max="4347" width="24" style="23" customWidth="1"/>
    <col min="4348" max="4348" width="10.25" style="23" customWidth="1"/>
    <col min="4349" max="4350" width="0" style="23" hidden="1" customWidth="1"/>
    <col min="4351" max="4599" width="8.75" style="23"/>
    <col min="4600" max="4600" width="5.75" style="23" customWidth="1"/>
    <col min="4601" max="4601" width="82.5" style="23" customWidth="1"/>
    <col min="4602" max="4602" width="13.5" style="23" customWidth="1"/>
    <col min="4603" max="4603" width="24" style="23" customWidth="1"/>
    <col min="4604" max="4604" width="10.25" style="23" customWidth="1"/>
    <col min="4605" max="4606" width="0" style="23" hidden="1" customWidth="1"/>
    <col min="4607" max="4855" width="8.75" style="23"/>
    <col min="4856" max="4856" width="5.75" style="23" customWidth="1"/>
    <col min="4857" max="4857" width="82.5" style="23" customWidth="1"/>
    <col min="4858" max="4858" width="13.5" style="23" customWidth="1"/>
    <col min="4859" max="4859" width="24" style="23" customWidth="1"/>
    <col min="4860" max="4860" width="10.25" style="23" customWidth="1"/>
    <col min="4861" max="4862" width="0" style="23" hidden="1" customWidth="1"/>
    <col min="4863" max="5111" width="8.75" style="23"/>
    <col min="5112" max="5112" width="5.75" style="23" customWidth="1"/>
    <col min="5113" max="5113" width="82.5" style="23" customWidth="1"/>
    <col min="5114" max="5114" width="13.5" style="23" customWidth="1"/>
    <col min="5115" max="5115" width="24" style="23" customWidth="1"/>
    <col min="5116" max="5116" width="10.25" style="23" customWidth="1"/>
    <col min="5117" max="5118" width="0" style="23" hidden="1" customWidth="1"/>
    <col min="5119" max="5367" width="8.75" style="23"/>
    <col min="5368" max="5368" width="5.75" style="23" customWidth="1"/>
    <col min="5369" max="5369" width="82.5" style="23" customWidth="1"/>
    <col min="5370" max="5370" width="13.5" style="23" customWidth="1"/>
    <col min="5371" max="5371" width="24" style="23" customWidth="1"/>
    <col min="5372" max="5372" width="10.25" style="23" customWidth="1"/>
    <col min="5373" max="5374" width="0" style="23" hidden="1" customWidth="1"/>
    <col min="5375" max="5623" width="8.75" style="23"/>
    <col min="5624" max="5624" width="5.75" style="23" customWidth="1"/>
    <col min="5625" max="5625" width="82.5" style="23" customWidth="1"/>
    <col min="5626" max="5626" width="13.5" style="23" customWidth="1"/>
    <col min="5627" max="5627" width="24" style="23" customWidth="1"/>
    <col min="5628" max="5628" width="10.25" style="23" customWidth="1"/>
    <col min="5629" max="5630" width="0" style="23" hidden="1" customWidth="1"/>
    <col min="5631" max="5879" width="8.75" style="23"/>
    <col min="5880" max="5880" width="5.75" style="23" customWidth="1"/>
    <col min="5881" max="5881" width="82.5" style="23" customWidth="1"/>
    <col min="5882" max="5882" width="13.5" style="23" customWidth="1"/>
    <col min="5883" max="5883" width="24" style="23" customWidth="1"/>
    <col min="5884" max="5884" width="10.25" style="23" customWidth="1"/>
    <col min="5885" max="5886" width="0" style="23" hidden="1" customWidth="1"/>
    <col min="5887" max="6135" width="8.75" style="23"/>
    <col min="6136" max="6136" width="5.75" style="23" customWidth="1"/>
    <col min="6137" max="6137" width="82.5" style="23" customWidth="1"/>
    <col min="6138" max="6138" width="13.5" style="23" customWidth="1"/>
    <col min="6139" max="6139" width="24" style="23" customWidth="1"/>
    <col min="6140" max="6140" width="10.25" style="23" customWidth="1"/>
    <col min="6141" max="6142" width="0" style="23" hidden="1" customWidth="1"/>
    <col min="6143" max="6391" width="8.75" style="23"/>
    <col min="6392" max="6392" width="5.75" style="23" customWidth="1"/>
    <col min="6393" max="6393" width="82.5" style="23" customWidth="1"/>
    <col min="6394" max="6394" width="13.5" style="23" customWidth="1"/>
    <col min="6395" max="6395" width="24" style="23" customWidth="1"/>
    <col min="6396" max="6396" width="10.25" style="23" customWidth="1"/>
    <col min="6397" max="6398" width="0" style="23" hidden="1" customWidth="1"/>
    <col min="6399" max="6647" width="8.75" style="23"/>
    <col min="6648" max="6648" width="5.75" style="23" customWidth="1"/>
    <col min="6649" max="6649" width="82.5" style="23" customWidth="1"/>
    <col min="6650" max="6650" width="13.5" style="23" customWidth="1"/>
    <col min="6651" max="6651" width="24" style="23" customWidth="1"/>
    <col min="6652" max="6652" width="10.25" style="23" customWidth="1"/>
    <col min="6653" max="6654" width="0" style="23" hidden="1" customWidth="1"/>
    <col min="6655" max="6903" width="8.75" style="23"/>
    <col min="6904" max="6904" width="5.75" style="23" customWidth="1"/>
    <col min="6905" max="6905" width="82.5" style="23" customWidth="1"/>
    <col min="6906" max="6906" width="13.5" style="23" customWidth="1"/>
    <col min="6907" max="6907" width="24" style="23" customWidth="1"/>
    <col min="6908" max="6908" width="10.25" style="23" customWidth="1"/>
    <col min="6909" max="6910" width="0" style="23" hidden="1" customWidth="1"/>
    <col min="6911" max="7159" width="8.75" style="23"/>
    <col min="7160" max="7160" width="5.75" style="23" customWidth="1"/>
    <col min="7161" max="7161" width="82.5" style="23" customWidth="1"/>
    <col min="7162" max="7162" width="13.5" style="23" customWidth="1"/>
    <col min="7163" max="7163" width="24" style="23" customWidth="1"/>
    <col min="7164" max="7164" width="10.25" style="23" customWidth="1"/>
    <col min="7165" max="7166" width="0" style="23" hidden="1" customWidth="1"/>
    <col min="7167" max="7415" width="8.75" style="23"/>
    <col min="7416" max="7416" width="5.75" style="23" customWidth="1"/>
    <col min="7417" max="7417" width="82.5" style="23" customWidth="1"/>
    <col min="7418" max="7418" width="13.5" style="23" customWidth="1"/>
    <col min="7419" max="7419" width="24" style="23" customWidth="1"/>
    <col min="7420" max="7420" width="10.25" style="23" customWidth="1"/>
    <col min="7421" max="7422" width="0" style="23" hidden="1" customWidth="1"/>
    <col min="7423" max="7671" width="8.75" style="23"/>
    <col min="7672" max="7672" width="5.75" style="23" customWidth="1"/>
    <col min="7673" max="7673" width="82.5" style="23" customWidth="1"/>
    <col min="7674" max="7674" width="13.5" style="23" customWidth="1"/>
    <col min="7675" max="7675" width="24" style="23" customWidth="1"/>
    <col min="7676" max="7676" width="10.25" style="23" customWidth="1"/>
    <col min="7677" max="7678" width="0" style="23" hidden="1" customWidth="1"/>
    <col min="7679" max="7927" width="8.75" style="23"/>
    <col min="7928" max="7928" width="5.75" style="23" customWidth="1"/>
    <col min="7929" max="7929" width="82.5" style="23" customWidth="1"/>
    <col min="7930" max="7930" width="13.5" style="23" customWidth="1"/>
    <col min="7931" max="7931" width="24" style="23" customWidth="1"/>
    <col min="7932" max="7932" width="10.25" style="23" customWidth="1"/>
    <col min="7933" max="7934" width="0" style="23" hidden="1" customWidth="1"/>
    <col min="7935" max="8183" width="8.75" style="23"/>
    <col min="8184" max="8184" width="5.75" style="23" customWidth="1"/>
    <col min="8185" max="8185" width="82.5" style="23" customWidth="1"/>
    <col min="8186" max="8186" width="13.5" style="23" customWidth="1"/>
    <col min="8187" max="8187" width="24" style="23" customWidth="1"/>
    <col min="8188" max="8188" width="10.25" style="23" customWidth="1"/>
    <col min="8189" max="8190" width="0" style="23" hidden="1" customWidth="1"/>
    <col min="8191" max="8439" width="8.75" style="23"/>
    <col min="8440" max="8440" width="5.75" style="23" customWidth="1"/>
    <col min="8441" max="8441" width="82.5" style="23" customWidth="1"/>
    <col min="8442" max="8442" width="13.5" style="23" customWidth="1"/>
    <col min="8443" max="8443" width="24" style="23" customWidth="1"/>
    <col min="8444" max="8444" width="10.25" style="23" customWidth="1"/>
    <col min="8445" max="8446" width="0" style="23" hidden="1" customWidth="1"/>
    <col min="8447" max="8695" width="8.75" style="23"/>
    <col min="8696" max="8696" width="5.75" style="23" customWidth="1"/>
    <col min="8697" max="8697" width="82.5" style="23" customWidth="1"/>
    <col min="8698" max="8698" width="13.5" style="23" customWidth="1"/>
    <col min="8699" max="8699" width="24" style="23" customWidth="1"/>
    <col min="8700" max="8700" width="10.25" style="23" customWidth="1"/>
    <col min="8701" max="8702" width="0" style="23" hidden="1" customWidth="1"/>
    <col min="8703" max="8951" width="8.75" style="23"/>
    <col min="8952" max="8952" width="5.75" style="23" customWidth="1"/>
    <col min="8953" max="8953" width="82.5" style="23" customWidth="1"/>
    <col min="8954" max="8954" width="13.5" style="23" customWidth="1"/>
    <col min="8955" max="8955" width="24" style="23" customWidth="1"/>
    <col min="8956" max="8956" width="10.25" style="23" customWidth="1"/>
    <col min="8957" max="8958" width="0" style="23" hidden="1" customWidth="1"/>
    <col min="8959" max="9207" width="8.75" style="23"/>
    <col min="9208" max="9208" width="5.75" style="23" customWidth="1"/>
    <col min="9209" max="9209" width="82.5" style="23" customWidth="1"/>
    <col min="9210" max="9210" width="13.5" style="23" customWidth="1"/>
    <col min="9211" max="9211" width="24" style="23" customWidth="1"/>
    <col min="9212" max="9212" width="10.25" style="23" customWidth="1"/>
    <col min="9213" max="9214" width="0" style="23" hidden="1" customWidth="1"/>
    <col min="9215" max="9463" width="8.75" style="23"/>
    <col min="9464" max="9464" width="5.75" style="23" customWidth="1"/>
    <col min="9465" max="9465" width="82.5" style="23" customWidth="1"/>
    <col min="9466" max="9466" width="13.5" style="23" customWidth="1"/>
    <col min="9467" max="9467" width="24" style="23" customWidth="1"/>
    <col min="9468" max="9468" width="10.25" style="23" customWidth="1"/>
    <col min="9469" max="9470" width="0" style="23" hidden="1" customWidth="1"/>
    <col min="9471" max="9719" width="8.75" style="23"/>
    <col min="9720" max="9720" width="5.75" style="23" customWidth="1"/>
    <col min="9721" max="9721" width="82.5" style="23" customWidth="1"/>
    <col min="9722" max="9722" width="13.5" style="23" customWidth="1"/>
    <col min="9723" max="9723" width="24" style="23" customWidth="1"/>
    <col min="9724" max="9724" width="10.25" style="23" customWidth="1"/>
    <col min="9725" max="9726" width="0" style="23" hidden="1" customWidth="1"/>
    <col min="9727" max="9975" width="8.75" style="23"/>
    <col min="9976" max="9976" width="5.75" style="23" customWidth="1"/>
    <col min="9977" max="9977" width="82.5" style="23" customWidth="1"/>
    <col min="9978" max="9978" width="13.5" style="23" customWidth="1"/>
    <col min="9979" max="9979" width="24" style="23" customWidth="1"/>
    <col min="9980" max="9980" width="10.25" style="23" customWidth="1"/>
    <col min="9981" max="9982" width="0" style="23" hidden="1" customWidth="1"/>
    <col min="9983" max="10231" width="8.75" style="23"/>
    <col min="10232" max="10232" width="5.75" style="23" customWidth="1"/>
    <col min="10233" max="10233" width="82.5" style="23" customWidth="1"/>
    <col min="10234" max="10234" width="13.5" style="23" customWidth="1"/>
    <col min="10235" max="10235" width="24" style="23" customWidth="1"/>
    <col min="10236" max="10236" width="10.25" style="23" customWidth="1"/>
    <col min="10237" max="10238" width="0" style="23" hidden="1" customWidth="1"/>
    <col min="10239" max="10487" width="8.75" style="23"/>
    <col min="10488" max="10488" width="5.75" style="23" customWidth="1"/>
    <col min="10489" max="10489" width="82.5" style="23" customWidth="1"/>
    <col min="10490" max="10490" width="13.5" style="23" customWidth="1"/>
    <col min="10491" max="10491" width="24" style="23" customWidth="1"/>
    <col min="10492" max="10492" width="10.25" style="23" customWidth="1"/>
    <col min="10493" max="10494" width="0" style="23" hidden="1" customWidth="1"/>
    <col min="10495" max="10743" width="8.75" style="23"/>
    <col min="10744" max="10744" width="5.75" style="23" customWidth="1"/>
    <col min="10745" max="10745" width="82.5" style="23" customWidth="1"/>
    <col min="10746" max="10746" width="13.5" style="23" customWidth="1"/>
    <col min="10747" max="10747" width="24" style="23" customWidth="1"/>
    <col min="10748" max="10748" width="10.25" style="23" customWidth="1"/>
    <col min="10749" max="10750" width="0" style="23" hidden="1" customWidth="1"/>
    <col min="10751" max="10999" width="8.75" style="23"/>
    <col min="11000" max="11000" width="5.75" style="23" customWidth="1"/>
    <col min="11001" max="11001" width="82.5" style="23" customWidth="1"/>
    <col min="11002" max="11002" width="13.5" style="23" customWidth="1"/>
    <col min="11003" max="11003" width="24" style="23" customWidth="1"/>
    <col min="11004" max="11004" width="10.25" style="23" customWidth="1"/>
    <col min="11005" max="11006" width="0" style="23" hidden="1" customWidth="1"/>
    <col min="11007" max="11255" width="8.75" style="23"/>
    <col min="11256" max="11256" width="5.75" style="23" customWidth="1"/>
    <col min="11257" max="11257" width="82.5" style="23" customWidth="1"/>
    <col min="11258" max="11258" width="13.5" style="23" customWidth="1"/>
    <col min="11259" max="11259" width="24" style="23" customWidth="1"/>
    <col min="11260" max="11260" width="10.25" style="23" customWidth="1"/>
    <col min="11261" max="11262" width="0" style="23" hidden="1" customWidth="1"/>
    <col min="11263" max="11511" width="8.75" style="23"/>
    <col min="11512" max="11512" width="5.75" style="23" customWidth="1"/>
    <col min="11513" max="11513" width="82.5" style="23" customWidth="1"/>
    <col min="11514" max="11514" width="13.5" style="23" customWidth="1"/>
    <col min="11515" max="11515" width="24" style="23" customWidth="1"/>
    <col min="11516" max="11516" width="10.25" style="23" customWidth="1"/>
    <col min="11517" max="11518" width="0" style="23" hidden="1" customWidth="1"/>
    <col min="11519" max="11767" width="8.75" style="23"/>
    <col min="11768" max="11768" width="5.75" style="23" customWidth="1"/>
    <col min="11769" max="11769" width="82.5" style="23" customWidth="1"/>
    <col min="11770" max="11770" width="13.5" style="23" customWidth="1"/>
    <col min="11771" max="11771" width="24" style="23" customWidth="1"/>
    <col min="11772" max="11772" width="10.25" style="23" customWidth="1"/>
    <col min="11773" max="11774" width="0" style="23" hidden="1" customWidth="1"/>
    <col min="11775" max="12023" width="8.75" style="23"/>
    <col min="12024" max="12024" width="5.75" style="23" customWidth="1"/>
    <col min="12025" max="12025" width="82.5" style="23" customWidth="1"/>
    <col min="12026" max="12026" width="13.5" style="23" customWidth="1"/>
    <col min="12027" max="12027" width="24" style="23" customWidth="1"/>
    <col min="12028" max="12028" width="10.25" style="23" customWidth="1"/>
    <col min="12029" max="12030" width="0" style="23" hidden="1" customWidth="1"/>
    <col min="12031" max="12279" width="8.75" style="23"/>
    <col min="12280" max="12280" width="5.75" style="23" customWidth="1"/>
    <col min="12281" max="12281" width="82.5" style="23" customWidth="1"/>
    <col min="12282" max="12282" width="13.5" style="23" customWidth="1"/>
    <col min="12283" max="12283" width="24" style="23" customWidth="1"/>
    <col min="12284" max="12284" width="10.25" style="23" customWidth="1"/>
    <col min="12285" max="12286" width="0" style="23" hidden="1" customWidth="1"/>
    <col min="12287" max="12535" width="8.75" style="23"/>
    <col min="12536" max="12536" width="5.75" style="23" customWidth="1"/>
    <col min="12537" max="12537" width="82.5" style="23" customWidth="1"/>
    <col min="12538" max="12538" width="13.5" style="23" customWidth="1"/>
    <col min="12539" max="12539" width="24" style="23" customWidth="1"/>
    <col min="12540" max="12540" width="10.25" style="23" customWidth="1"/>
    <col min="12541" max="12542" width="0" style="23" hidden="1" customWidth="1"/>
    <col min="12543" max="12791" width="8.75" style="23"/>
    <col min="12792" max="12792" width="5.75" style="23" customWidth="1"/>
    <col min="12793" max="12793" width="82.5" style="23" customWidth="1"/>
    <col min="12794" max="12794" width="13.5" style="23" customWidth="1"/>
    <col min="12795" max="12795" width="24" style="23" customWidth="1"/>
    <col min="12796" max="12796" width="10.25" style="23" customWidth="1"/>
    <col min="12797" max="12798" width="0" style="23" hidden="1" customWidth="1"/>
    <col min="12799" max="13047" width="8.75" style="23"/>
    <col min="13048" max="13048" width="5.75" style="23" customWidth="1"/>
    <col min="13049" max="13049" width="82.5" style="23" customWidth="1"/>
    <col min="13050" max="13050" width="13.5" style="23" customWidth="1"/>
    <col min="13051" max="13051" width="24" style="23" customWidth="1"/>
    <col min="13052" max="13052" width="10.25" style="23" customWidth="1"/>
    <col min="13053" max="13054" width="0" style="23" hidden="1" customWidth="1"/>
    <col min="13055" max="13303" width="8.75" style="23"/>
    <col min="13304" max="13304" width="5.75" style="23" customWidth="1"/>
    <col min="13305" max="13305" width="82.5" style="23" customWidth="1"/>
    <col min="13306" max="13306" width="13.5" style="23" customWidth="1"/>
    <col min="13307" max="13307" width="24" style="23" customWidth="1"/>
    <col min="13308" max="13308" width="10.25" style="23" customWidth="1"/>
    <col min="13309" max="13310" width="0" style="23" hidden="1" customWidth="1"/>
    <col min="13311" max="13559" width="8.75" style="23"/>
    <col min="13560" max="13560" width="5.75" style="23" customWidth="1"/>
    <col min="13561" max="13561" width="82.5" style="23" customWidth="1"/>
    <col min="13562" max="13562" width="13.5" style="23" customWidth="1"/>
    <col min="13563" max="13563" width="24" style="23" customWidth="1"/>
    <col min="13564" max="13564" width="10.25" style="23" customWidth="1"/>
    <col min="13565" max="13566" width="0" style="23" hidden="1" customWidth="1"/>
    <col min="13567" max="13815" width="8.75" style="23"/>
    <col min="13816" max="13816" width="5.75" style="23" customWidth="1"/>
    <col min="13817" max="13817" width="82.5" style="23" customWidth="1"/>
    <col min="13818" max="13818" width="13.5" style="23" customWidth="1"/>
    <col min="13819" max="13819" width="24" style="23" customWidth="1"/>
    <col min="13820" max="13820" width="10.25" style="23" customWidth="1"/>
    <col min="13821" max="13822" width="0" style="23" hidden="1" customWidth="1"/>
    <col min="13823" max="14071" width="8.75" style="23"/>
    <col min="14072" max="14072" width="5.75" style="23" customWidth="1"/>
    <col min="14073" max="14073" width="82.5" style="23" customWidth="1"/>
    <col min="14074" max="14074" width="13.5" style="23" customWidth="1"/>
    <col min="14075" max="14075" width="24" style="23" customWidth="1"/>
    <col min="14076" max="14076" width="10.25" style="23" customWidth="1"/>
    <col min="14077" max="14078" width="0" style="23" hidden="1" customWidth="1"/>
    <col min="14079" max="14327" width="8.75" style="23"/>
    <col min="14328" max="14328" width="5.75" style="23" customWidth="1"/>
    <col min="14329" max="14329" width="82.5" style="23" customWidth="1"/>
    <col min="14330" max="14330" width="13.5" style="23" customWidth="1"/>
    <col min="14331" max="14331" width="24" style="23" customWidth="1"/>
    <col min="14332" max="14332" width="10.25" style="23" customWidth="1"/>
    <col min="14333" max="14334" width="0" style="23" hidden="1" customWidth="1"/>
    <col min="14335" max="14583" width="8.75" style="23"/>
    <col min="14584" max="14584" width="5.75" style="23" customWidth="1"/>
    <col min="14585" max="14585" width="82.5" style="23" customWidth="1"/>
    <col min="14586" max="14586" width="13.5" style="23" customWidth="1"/>
    <col min="14587" max="14587" width="24" style="23" customWidth="1"/>
    <col min="14588" max="14588" width="10.25" style="23" customWidth="1"/>
    <col min="14589" max="14590" width="0" style="23" hidden="1" customWidth="1"/>
    <col min="14591" max="14839" width="8.75" style="23"/>
    <col min="14840" max="14840" width="5.75" style="23" customWidth="1"/>
    <col min="14841" max="14841" width="82.5" style="23" customWidth="1"/>
    <col min="14842" max="14842" width="13.5" style="23" customWidth="1"/>
    <col min="14843" max="14843" width="24" style="23" customWidth="1"/>
    <col min="14844" max="14844" width="10.25" style="23" customWidth="1"/>
    <col min="14845" max="14846" width="0" style="23" hidden="1" customWidth="1"/>
    <col min="14847" max="15095" width="8.75" style="23"/>
    <col min="15096" max="15096" width="5.75" style="23" customWidth="1"/>
    <col min="15097" max="15097" width="82.5" style="23" customWidth="1"/>
    <col min="15098" max="15098" width="13.5" style="23" customWidth="1"/>
    <col min="15099" max="15099" width="24" style="23" customWidth="1"/>
    <col min="15100" max="15100" width="10.25" style="23" customWidth="1"/>
    <col min="15101" max="15102" width="0" style="23" hidden="1" customWidth="1"/>
    <col min="15103" max="15351" width="8.75" style="23"/>
    <col min="15352" max="15352" width="5.75" style="23" customWidth="1"/>
    <col min="15353" max="15353" width="82.5" style="23" customWidth="1"/>
    <col min="15354" max="15354" width="13.5" style="23" customWidth="1"/>
    <col min="15355" max="15355" width="24" style="23" customWidth="1"/>
    <col min="15356" max="15356" width="10.25" style="23" customWidth="1"/>
    <col min="15357" max="15358" width="0" style="23" hidden="1" customWidth="1"/>
    <col min="15359" max="15607" width="8.75" style="23"/>
    <col min="15608" max="15608" width="5.75" style="23" customWidth="1"/>
    <col min="15609" max="15609" width="82.5" style="23" customWidth="1"/>
    <col min="15610" max="15610" width="13.5" style="23" customWidth="1"/>
    <col min="15611" max="15611" width="24" style="23" customWidth="1"/>
    <col min="15612" max="15612" width="10.25" style="23" customWidth="1"/>
    <col min="15613" max="15614" width="0" style="23" hidden="1" customWidth="1"/>
    <col min="15615" max="15863" width="8.75" style="23"/>
    <col min="15864" max="15864" width="5.75" style="23" customWidth="1"/>
    <col min="15865" max="15865" width="82.5" style="23" customWidth="1"/>
    <col min="15866" max="15866" width="13.5" style="23" customWidth="1"/>
    <col min="15867" max="15867" width="24" style="23" customWidth="1"/>
    <col min="15868" max="15868" width="10.25" style="23" customWidth="1"/>
    <col min="15869" max="15870" width="0" style="23" hidden="1" customWidth="1"/>
    <col min="15871" max="16119" width="8.75" style="23"/>
    <col min="16120" max="16120" width="5.75" style="23" customWidth="1"/>
    <col min="16121" max="16121" width="82.5" style="23" customWidth="1"/>
    <col min="16122" max="16122" width="13.5" style="23" customWidth="1"/>
    <col min="16123" max="16123" width="24" style="23" customWidth="1"/>
    <col min="16124" max="16124" width="10.25" style="23" customWidth="1"/>
    <col min="16125" max="16126" width="0" style="23" hidden="1" customWidth="1"/>
    <col min="16127" max="16384" width="8.75" style="23"/>
  </cols>
  <sheetData>
    <row r="1" spans="1:4" ht="15.75" customHeight="1" thickBot="1">
      <c r="A1" s="289" t="s">
        <v>9</v>
      </c>
      <c r="B1" s="289"/>
      <c r="C1" s="289"/>
      <c r="D1" s="289"/>
    </row>
    <row r="2" spans="1:4" s="25" customFormat="1" ht="15.75" customHeight="1" thickBot="1">
      <c r="A2" s="310" t="s">
        <v>12</v>
      </c>
      <c r="B2" s="311"/>
      <c r="C2" s="311"/>
      <c r="D2" s="312"/>
    </row>
    <row r="3" spans="1:4" s="25" customFormat="1">
      <c r="A3" s="287"/>
      <c r="B3" s="287"/>
      <c r="C3" s="313"/>
      <c r="D3" s="313"/>
    </row>
    <row r="4" spans="1:4" s="25" customFormat="1" ht="15" customHeight="1">
      <c r="A4" s="314" t="s">
        <v>13</v>
      </c>
      <c r="B4" s="314"/>
      <c r="C4" s="315" t="s">
        <v>490</v>
      </c>
      <c r="D4" s="315"/>
    </row>
    <row r="5" spans="1:4" s="25" customFormat="1" ht="15" customHeight="1">
      <c r="A5" s="314" t="s">
        <v>14</v>
      </c>
      <c r="B5" s="314"/>
      <c r="C5" s="316" t="s">
        <v>15</v>
      </c>
      <c r="D5" s="316"/>
    </row>
    <row r="6" spans="1:4" s="25" customFormat="1" ht="15" customHeight="1">
      <c r="A6" s="314" t="s">
        <v>16</v>
      </c>
      <c r="B6" s="314"/>
      <c r="C6" s="316" t="s">
        <v>410</v>
      </c>
      <c r="D6" s="316"/>
    </row>
    <row r="7" spans="1:4" s="25" customFormat="1" ht="15" customHeight="1">
      <c r="A7" s="317" t="s">
        <v>17</v>
      </c>
      <c r="B7" s="317"/>
      <c r="C7" s="347" t="s">
        <v>411</v>
      </c>
      <c r="D7" s="347"/>
    </row>
    <row r="8" spans="1:4" s="25" customFormat="1" ht="15" customHeight="1">
      <c r="A8" s="314" t="s">
        <v>18</v>
      </c>
      <c r="B8" s="314"/>
      <c r="C8" s="316">
        <v>12</v>
      </c>
      <c r="D8" s="316"/>
    </row>
    <row r="9" spans="1:4" s="25" customFormat="1">
      <c r="A9" s="39"/>
      <c r="B9" s="39"/>
      <c r="C9" s="6"/>
      <c r="D9" s="6"/>
    </row>
    <row r="10" spans="1:4" s="25" customFormat="1" ht="15" customHeight="1">
      <c r="A10" s="320" t="s">
        <v>19</v>
      </c>
      <c r="B10" s="320"/>
      <c r="C10" s="320" t="s">
        <v>84</v>
      </c>
      <c r="D10" s="320"/>
    </row>
    <row r="11" spans="1:4" s="25" customFormat="1" ht="15" customHeight="1">
      <c r="A11" s="306" t="s">
        <v>430</v>
      </c>
      <c r="B11" s="306"/>
      <c r="C11" s="321" t="s">
        <v>418</v>
      </c>
      <c r="D11" s="306"/>
    </row>
    <row r="12" spans="1:4" s="25" customFormat="1">
      <c r="A12" s="4"/>
      <c r="B12" s="4"/>
      <c r="C12" s="5"/>
      <c r="D12" s="6"/>
    </row>
    <row r="13" spans="1:4" s="25" customFormat="1" ht="15" customHeight="1">
      <c r="A13" s="322" t="s">
        <v>86</v>
      </c>
      <c r="B13" s="322"/>
      <c r="C13" s="322"/>
      <c r="D13" s="322"/>
    </row>
    <row r="14" spans="1:4">
      <c r="A14" s="76">
        <v>1</v>
      </c>
      <c r="B14" s="77" t="s">
        <v>20</v>
      </c>
      <c r="C14" s="76"/>
      <c r="D14" s="78" t="s">
        <v>21</v>
      </c>
    </row>
    <row r="15" spans="1:4">
      <c r="A15" s="79" t="s">
        <v>128</v>
      </c>
      <c r="B15" s="66" t="s">
        <v>22</v>
      </c>
      <c r="C15" s="80"/>
      <c r="D15" s="138">
        <f>220*11.33</f>
        <v>2492.6</v>
      </c>
    </row>
    <row r="16" spans="1:4">
      <c r="A16" s="79" t="s">
        <v>130</v>
      </c>
      <c r="B16" s="66" t="s">
        <v>23</v>
      </c>
      <c r="C16" s="80"/>
      <c r="D16" s="81">
        <v>0</v>
      </c>
    </row>
    <row r="17" spans="1:4">
      <c r="A17" s="79" t="s">
        <v>192</v>
      </c>
      <c r="B17" s="66" t="s">
        <v>24</v>
      </c>
      <c r="C17" s="80"/>
      <c r="D17" s="81">
        <v>0</v>
      </c>
    </row>
    <row r="18" spans="1:4">
      <c r="A18" s="79" t="s">
        <v>193</v>
      </c>
      <c r="B18" s="66" t="s">
        <v>354</v>
      </c>
      <c r="C18" s="80"/>
      <c r="D18" s="81">
        <f>(D15*C18)</f>
        <v>0</v>
      </c>
    </row>
    <row r="19" spans="1:4">
      <c r="A19" s="79" t="s">
        <v>194</v>
      </c>
      <c r="B19" s="66" t="s">
        <v>195</v>
      </c>
      <c r="C19" s="80"/>
      <c r="D19" s="81">
        <f>(D16*C19)</f>
        <v>0</v>
      </c>
    </row>
    <row r="20" spans="1:4">
      <c r="A20" s="79" t="s">
        <v>196</v>
      </c>
      <c r="B20" s="66" t="s">
        <v>25</v>
      </c>
      <c r="C20" s="80"/>
      <c r="D20" s="81">
        <v>0</v>
      </c>
    </row>
    <row r="21" spans="1:4">
      <c r="A21" s="79" t="s">
        <v>197</v>
      </c>
      <c r="B21" s="66" t="s">
        <v>85</v>
      </c>
      <c r="C21" s="80"/>
      <c r="D21" s="81">
        <v>0</v>
      </c>
    </row>
    <row r="22" spans="1:4">
      <c r="A22" s="79" t="s">
        <v>198</v>
      </c>
      <c r="B22" s="66" t="s">
        <v>26</v>
      </c>
      <c r="C22" s="80"/>
      <c r="D22" s="81">
        <v>0</v>
      </c>
    </row>
    <row r="23" spans="1:4">
      <c r="A23" s="79" t="s">
        <v>199</v>
      </c>
      <c r="B23" s="66" t="s">
        <v>27</v>
      </c>
      <c r="C23" s="80"/>
      <c r="D23" s="81">
        <v>0</v>
      </c>
    </row>
    <row r="24" spans="1:4">
      <c r="A24" s="79" t="s">
        <v>200</v>
      </c>
      <c r="B24" s="66" t="s">
        <v>28</v>
      </c>
      <c r="C24" s="80"/>
      <c r="D24" s="81">
        <f>SUM(D15:D23)*C24</f>
        <v>0</v>
      </c>
    </row>
    <row r="25" spans="1:4" ht="15" customHeight="1">
      <c r="A25" s="307" t="s">
        <v>29</v>
      </c>
      <c r="B25" s="307"/>
      <c r="C25" s="83"/>
      <c r="D25" s="78">
        <f>SUM(D15:D24)</f>
        <v>2492.6</v>
      </c>
    </row>
    <row r="27" spans="1:4" s="25" customFormat="1" ht="15" customHeight="1">
      <c r="A27" s="306" t="s">
        <v>87</v>
      </c>
      <c r="B27" s="306"/>
      <c r="C27" s="306"/>
      <c r="D27" s="306"/>
    </row>
    <row r="28" spans="1:4" ht="30">
      <c r="A28" s="76" t="s">
        <v>88</v>
      </c>
      <c r="B28" s="77" t="s">
        <v>104</v>
      </c>
      <c r="C28" s="76" t="s">
        <v>11</v>
      </c>
      <c r="D28" s="76" t="s">
        <v>37</v>
      </c>
    </row>
    <row r="29" spans="1:4" s="25" customFormat="1">
      <c r="A29" s="79" t="s">
        <v>201</v>
      </c>
      <c r="B29" s="66" t="s">
        <v>45</v>
      </c>
      <c r="C29" s="84">
        <v>8.3299999999999999E-2</v>
      </c>
      <c r="D29" s="85">
        <f>($D$25*C29)</f>
        <v>207.63357999999999</v>
      </c>
    </row>
    <row r="30" spans="1:4">
      <c r="A30" s="79" t="s">
        <v>202</v>
      </c>
      <c r="B30" s="86" t="s">
        <v>52</v>
      </c>
      <c r="C30" s="87">
        <v>0.1111</v>
      </c>
      <c r="D30" s="85">
        <f>($D$25*C30)</f>
        <v>276.92786000000001</v>
      </c>
    </row>
    <row r="31" spans="1:4">
      <c r="A31" s="79" t="s">
        <v>203</v>
      </c>
      <c r="B31" s="86" t="s">
        <v>101</v>
      </c>
      <c r="C31" s="87">
        <f>C43*(C29+C30)</f>
        <v>7.1539200000000025E-2</v>
      </c>
      <c r="D31" s="85">
        <f>($D$25*C31)</f>
        <v>178.31860992000006</v>
      </c>
    </row>
    <row r="32" spans="1:4" ht="15" customHeight="1">
      <c r="A32" s="307" t="s">
        <v>107</v>
      </c>
      <c r="B32" s="307"/>
      <c r="C32" s="83"/>
      <c r="D32" s="78">
        <f>SUM(D29:D31)</f>
        <v>662.88004992000003</v>
      </c>
    </row>
    <row r="34" spans="1:5">
      <c r="A34" s="76" t="s">
        <v>89</v>
      </c>
      <c r="B34" s="77" t="s">
        <v>105</v>
      </c>
      <c r="C34" s="76" t="s">
        <v>11</v>
      </c>
      <c r="D34" s="76" t="s">
        <v>37</v>
      </c>
    </row>
    <row r="35" spans="1:5" s="25" customFormat="1">
      <c r="A35" s="79" t="s">
        <v>204</v>
      </c>
      <c r="B35" s="86" t="s">
        <v>38</v>
      </c>
      <c r="C35" s="89">
        <v>0.2</v>
      </c>
      <c r="D35" s="85">
        <f>(D25*C35)</f>
        <v>498.52</v>
      </c>
    </row>
    <row r="36" spans="1:5" s="25" customFormat="1">
      <c r="A36" s="79" t="s">
        <v>205</v>
      </c>
      <c r="B36" s="86" t="s">
        <v>39</v>
      </c>
      <c r="C36" s="89">
        <v>0.08</v>
      </c>
      <c r="D36" s="85">
        <f>(D25*C36)</f>
        <v>199.40799999999999</v>
      </c>
    </row>
    <row r="37" spans="1:5" s="25" customFormat="1">
      <c r="A37" s="79" t="s">
        <v>206</v>
      </c>
      <c r="B37" s="86" t="s">
        <v>40</v>
      </c>
      <c r="C37" s="89">
        <v>1.4999999999999999E-2</v>
      </c>
      <c r="D37" s="85">
        <f>(D25*C37)</f>
        <v>37.388999999999996</v>
      </c>
    </row>
    <row r="38" spans="1:5" s="25" customFormat="1">
      <c r="A38" s="79" t="s">
        <v>207</v>
      </c>
      <c r="B38" s="86" t="s">
        <v>41</v>
      </c>
      <c r="C38" s="89">
        <v>0.01</v>
      </c>
      <c r="D38" s="85">
        <f>(D25*C38)</f>
        <v>24.925999999999998</v>
      </c>
    </row>
    <row r="39" spans="1:5" s="25" customFormat="1">
      <c r="A39" s="79" t="s">
        <v>208</v>
      </c>
      <c r="B39" s="86" t="s">
        <v>42</v>
      </c>
      <c r="C39" s="89">
        <v>6.0000000000000001E-3</v>
      </c>
      <c r="D39" s="85">
        <f>(D25*C39)</f>
        <v>14.9556</v>
      </c>
    </row>
    <row r="40" spans="1:5" s="25" customFormat="1">
      <c r="A40" s="79" t="s">
        <v>209</v>
      </c>
      <c r="B40" s="86" t="s">
        <v>43</v>
      </c>
      <c r="C40" s="89">
        <v>2E-3</v>
      </c>
      <c r="D40" s="85">
        <f>(D25*C40)</f>
        <v>4.9851999999999999</v>
      </c>
    </row>
    <row r="41" spans="1:5" s="25" customFormat="1">
      <c r="A41" s="79" t="s">
        <v>210</v>
      </c>
      <c r="B41" s="86" t="s">
        <v>44</v>
      </c>
      <c r="C41" s="89">
        <v>2.5000000000000001E-2</v>
      </c>
      <c r="D41" s="85">
        <f>(D25*C41)</f>
        <v>62.314999999999998</v>
      </c>
    </row>
    <row r="42" spans="1:5" s="25" customFormat="1">
      <c r="A42" s="79" t="s">
        <v>211</v>
      </c>
      <c r="B42" s="86" t="s">
        <v>102</v>
      </c>
      <c r="C42" s="89">
        <v>0.03</v>
      </c>
      <c r="D42" s="85">
        <f>(D25*C42)</f>
        <v>74.777999999999992</v>
      </c>
    </row>
    <row r="43" spans="1:5" ht="15" customHeight="1">
      <c r="A43" s="307" t="s">
        <v>107</v>
      </c>
      <c r="B43" s="307"/>
      <c r="C43" s="83">
        <f>SUM(C35:C42)</f>
        <v>0.3680000000000001</v>
      </c>
      <c r="D43" s="78">
        <f>SUM(D35:D42)</f>
        <v>917.27680000000009</v>
      </c>
    </row>
    <row r="45" spans="1:5">
      <c r="A45" s="76" t="s">
        <v>90</v>
      </c>
      <c r="B45" s="77" t="s">
        <v>106</v>
      </c>
      <c r="C45" s="76"/>
      <c r="D45" s="78" t="s">
        <v>21</v>
      </c>
    </row>
    <row r="46" spans="1:5">
      <c r="A46" s="79" t="s">
        <v>212</v>
      </c>
      <c r="B46" s="66" t="s">
        <v>30</v>
      </c>
      <c r="C46" s="90">
        <v>6.25</v>
      </c>
      <c r="D46" s="81">
        <f>(C46*50.16)-(3%*D15)</f>
        <v>238.72200000000001</v>
      </c>
      <c r="E46" s="167"/>
    </row>
    <row r="47" spans="1:5">
      <c r="A47" s="79" t="s">
        <v>214</v>
      </c>
      <c r="B47" s="66" t="s">
        <v>31</v>
      </c>
      <c r="C47" s="90">
        <v>400</v>
      </c>
      <c r="D47" s="81">
        <f>C47</f>
        <v>400</v>
      </c>
    </row>
    <row r="48" spans="1:5">
      <c r="A48" s="79" t="s">
        <v>216</v>
      </c>
      <c r="B48" s="66" t="s">
        <v>32</v>
      </c>
      <c r="C48" s="90"/>
      <c r="D48" s="81">
        <f>C48</f>
        <v>0</v>
      </c>
    </row>
    <row r="49" spans="1:4">
      <c r="A49" s="79" t="s">
        <v>217</v>
      </c>
      <c r="B49" s="66" t="s">
        <v>33</v>
      </c>
      <c r="C49" s="90"/>
      <c r="D49" s="81">
        <f>C49</f>
        <v>0</v>
      </c>
    </row>
    <row r="50" spans="1:4">
      <c r="A50" s="79" t="s">
        <v>218</v>
      </c>
      <c r="B50" s="66" t="s">
        <v>34</v>
      </c>
      <c r="C50" s="90"/>
      <c r="D50" s="81">
        <v>17.329999999999998</v>
      </c>
    </row>
    <row r="51" spans="1:4">
      <c r="A51" s="79" t="s">
        <v>219</v>
      </c>
      <c r="B51" s="66" t="s">
        <v>35</v>
      </c>
      <c r="C51" s="90"/>
      <c r="D51" s="81">
        <f>C51</f>
        <v>0</v>
      </c>
    </row>
    <row r="52" spans="1:4">
      <c r="A52" s="79" t="s">
        <v>220</v>
      </c>
      <c r="B52" s="66" t="s">
        <v>221</v>
      </c>
      <c r="C52" s="90">
        <v>400</v>
      </c>
      <c r="D52" s="81">
        <f>C52/12</f>
        <v>33.333333333333336</v>
      </c>
    </row>
    <row r="53" spans="1:4">
      <c r="A53" s="79" t="s">
        <v>223</v>
      </c>
      <c r="B53" s="66" t="s">
        <v>378</v>
      </c>
      <c r="C53" s="90">
        <v>28</v>
      </c>
      <c r="D53" s="81">
        <f>(C53*25.08)*0.8</f>
        <v>561.79200000000003</v>
      </c>
    </row>
    <row r="54" spans="1:4">
      <c r="A54" s="79" t="s">
        <v>225</v>
      </c>
      <c r="B54" s="66" t="s">
        <v>226</v>
      </c>
      <c r="C54" s="156">
        <v>9.2499999999999999E-2</v>
      </c>
      <c r="D54" s="81">
        <f>-(D46+D47+D52)*C54</f>
        <v>-62.165118333333332</v>
      </c>
    </row>
    <row r="55" spans="1:4" ht="15" customHeight="1">
      <c r="A55" s="307" t="s">
        <v>107</v>
      </c>
      <c r="B55" s="307"/>
      <c r="C55" s="83"/>
      <c r="D55" s="78">
        <f>SUM(D46:D54)</f>
        <v>1189.0122150000002</v>
      </c>
    </row>
    <row r="57" spans="1:4" ht="15" customHeight="1">
      <c r="A57" s="304" t="s">
        <v>93</v>
      </c>
      <c r="B57" s="304"/>
      <c r="C57" s="304"/>
      <c r="D57" s="304"/>
    </row>
    <row r="58" spans="1:4">
      <c r="A58" s="79" t="s">
        <v>88</v>
      </c>
      <c r="B58" s="66" t="s">
        <v>92</v>
      </c>
      <c r="C58" s="302">
        <f>D32</f>
        <v>662.88004992000003</v>
      </c>
      <c r="D58" s="302"/>
    </row>
    <row r="59" spans="1:4">
      <c r="A59" s="79" t="s">
        <v>89</v>
      </c>
      <c r="B59" s="66" t="s">
        <v>94</v>
      </c>
      <c r="C59" s="302">
        <f>D43</f>
        <v>917.27680000000009</v>
      </c>
      <c r="D59" s="302"/>
    </row>
    <row r="60" spans="1:4">
      <c r="A60" s="79" t="s">
        <v>90</v>
      </c>
      <c r="B60" s="66" t="s">
        <v>91</v>
      </c>
      <c r="C60" s="308">
        <f>D55</f>
        <v>1189.0122150000002</v>
      </c>
      <c r="D60" s="308"/>
    </row>
    <row r="61" spans="1:4">
      <c r="A61" s="304" t="s">
        <v>95</v>
      </c>
      <c r="B61" s="304"/>
      <c r="C61" s="305">
        <f>SUM(C58:D60)</f>
        <v>2769.1690649200004</v>
      </c>
      <c r="D61" s="305"/>
    </row>
    <row r="63" spans="1:4" s="25" customFormat="1" ht="15" customHeight="1">
      <c r="A63" s="306" t="s">
        <v>96</v>
      </c>
      <c r="B63" s="306"/>
      <c r="C63" s="306"/>
      <c r="D63" s="306"/>
    </row>
    <row r="64" spans="1:4">
      <c r="A64" s="76">
        <v>3</v>
      </c>
      <c r="B64" s="77" t="s">
        <v>98</v>
      </c>
      <c r="C64" s="94" t="s">
        <v>11</v>
      </c>
      <c r="D64" s="76" t="s">
        <v>37</v>
      </c>
    </row>
    <row r="65" spans="1:4" s="25" customFormat="1">
      <c r="A65" s="79" t="s">
        <v>131</v>
      </c>
      <c r="B65" s="96" t="s">
        <v>51</v>
      </c>
      <c r="C65" s="97">
        <v>4.1700000000000001E-3</v>
      </c>
      <c r="D65" s="85">
        <f t="shared" ref="D65:D70" si="0">($D$25*C65)</f>
        <v>10.394142</v>
      </c>
    </row>
    <row r="66" spans="1:4" s="25" customFormat="1">
      <c r="A66" s="79" t="s">
        <v>176</v>
      </c>
      <c r="B66" s="96" t="s">
        <v>53</v>
      </c>
      <c r="C66" s="97">
        <v>3.3E-4</v>
      </c>
      <c r="D66" s="85">
        <f t="shared" si="0"/>
        <v>0.82255800000000001</v>
      </c>
    </row>
    <row r="67" spans="1:4" s="25" customFormat="1" ht="30">
      <c r="A67" s="79" t="s">
        <v>233</v>
      </c>
      <c r="B67" s="96" t="s">
        <v>54</v>
      </c>
      <c r="C67" s="97"/>
      <c r="D67" s="85">
        <f t="shared" si="0"/>
        <v>0</v>
      </c>
    </row>
    <row r="68" spans="1:4" s="25" customFormat="1">
      <c r="A68" s="79" t="s">
        <v>236</v>
      </c>
      <c r="B68" s="96" t="s">
        <v>46</v>
      </c>
      <c r="C68" s="97">
        <v>1.9439999999999999E-2</v>
      </c>
      <c r="D68" s="85">
        <f t="shared" si="0"/>
        <v>48.456143999999995</v>
      </c>
    </row>
    <row r="69" spans="1:4" s="25" customFormat="1" ht="30">
      <c r="A69" s="79" t="s">
        <v>239</v>
      </c>
      <c r="B69" s="96" t="s">
        <v>97</v>
      </c>
      <c r="C69" s="97">
        <f>C43*C68</f>
        <v>7.153920000000002E-3</v>
      </c>
      <c r="D69" s="85">
        <f t="shared" si="0"/>
        <v>17.831860992000003</v>
      </c>
    </row>
    <row r="70" spans="1:4" s="25" customFormat="1">
      <c r="A70" s="79" t="s">
        <v>242</v>
      </c>
      <c r="B70" s="96" t="s">
        <v>243</v>
      </c>
      <c r="C70" s="97">
        <v>3.4389999999999997E-2</v>
      </c>
      <c r="D70" s="85">
        <f t="shared" si="0"/>
        <v>85.720513999999994</v>
      </c>
    </row>
    <row r="71" spans="1:4" ht="15" customHeight="1">
      <c r="A71" s="309" t="s">
        <v>107</v>
      </c>
      <c r="B71" s="309"/>
      <c r="C71" s="99">
        <f>SUM(C65:C70)</f>
        <v>6.5483920000000001E-2</v>
      </c>
      <c r="D71" s="100">
        <f>SUM(D65:D70)</f>
        <v>163.22521899200001</v>
      </c>
    </row>
    <row r="73" spans="1:4" s="25" customFormat="1" ht="15" customHeight="1">
      <c r="A73" s="306" t="s">
        <v>99</v>
      </c>
      <c r="B73" s="306"/>
      <c r="C73" s="306"/>
      <c r="D73" s="306"/>
    </row>
    <row r="74" spans="1:4">
      <c r="A74" s="76" t="s">
        <v>103</v>
      </c>
      <c r="B74" s="77" t="s">
        <v>247</v>
      </c>
      <c r="C74" s="94" t="s">
        <v>11</v>
      </c>
      <c r="D74" s="76" t="s">
        <v>37</v>
      </c>
    </row>
    <row r="75" spans="1:4" s="25" customFormat="1">
      <c r="A75" s="79" t="s">
        <v>248</v>
      </c>
      <c r="B75" s="66" t="s">
        <v>249</v>
      </c>
      <c r="C75" s="84">
        <v>4.15E-3</v>
      </c>
      <c r="D75" s="85">
        <f>($D$25*C75)</f>
        <v>10.344289999999999</v>
      </c>
    </row>
    <row r="76" spans="1:4" s="25" customFormat="1">
      <c r="A76" s="79" t="s">
        <v>251</v>
      </c>
      <c r="B76" s="66" t="s">
        <v>252</v>
      </c>
      <c r="C76" s="84">
        <v>2.0000000000000001E-4</v>
      </c>
      <c r="D76" s="85">
        <f>($D$25*C76)</f>
        <v>0.49852000000000002</v>
      </c>
    </row>
    <row r="77" spans="1:4" s="25" customFormat="1">
      <c r="A77" s="79" t="s">
        <v>253</v>
      </c>
      <c r="B77" s="66" t="s">
        <v>254</v>
      </c>
      <c r="C77" s="84">
        <v>5.1000000000000004E-4</v>
      </c>
      <c r="D77" s="85">
        <f>($D$25*C77)</f>
        <v>1.271226</v>
      </c>
    </row>
    <row r="78" spans="1:4" s="25" customFormat="1" ht="30">
      <c r="A78" s="79" t="s">
        <v>255</v>
      </c>
      <c r="B78" s="66" t="s">
        <v>256</v>
      </c>
      <c r="C78" s="84">
        <v>3.8999999999999999E-4</v>
      </c>
      <c r="D78" s="85">
        <f>($D$25*C78)</f>
        <v>0.97211399999999992</v>
      </c>
    </row>
    <row r="79" spans="1:4" s="25" customFormat="1">
      <c r="A79" s="79" t="s">
        <v>257</v>
      </c>
      <c r="B79" s="66" t="s">
        <v>100</v>
      </c>
      <c r="C79" s="84"/>
      <c r="D79" s="85"/>
    </row>
    <row r="80" spans="1:4" ht="15" customHeight="1">
      <c r="A80" s="307" t="s">
        <v>107</v>
      </c>
      <c r="B80" s="307"/>
      <c r="C80" s="83">
        <f>SUM(C75:C79)</f>
        <v>5.2499999999999995E-3</v>
      </c>
      <c r="D80" s="78">
        <f>SUM(D75:D79)</f>
        <v>13.086149999999998</v>
      </c>
    </row>
    <row r="82" spans="1:4" ht="15" customHeight="1">
      <c r="A82" s="304" t="s">
        <v>258</v>
      </c>
      <c r="B82" s="304"/>
      <c r="C82" s="304"/>
      <c r="D82" s="304"/>
    </row>
    <row r="83" spans="1:4">
      <c r="A83" s="79" t="s">
        <v>103</v>
      </c>
      <c r="B83" s="66" t="s">
        <v>111</v>
      </c>
      <c r="C83" s="302">
        <f>D80</f>
        <v>13.086149999999998</v>
      </c>
      <c r="D83" s="302"/>
    </row>
    <row r="84" spans="1:4">
      <c r="A84" s="76" t="s">
        <v>95</v>
      </c>
      <c r="B84" s="76" t="s">
        <v>95</v>
      </c>
      <c r="C84" s="305">
        <f>SUM(C83:D83)</f>
        <v>13.086149999999998</v>
      </c>
      <c r="D84" s="305"/>
    </row>
    <row r="86" spans="1:4" s="25" customFormat="1" ht="15" customHeight="1">
      <c r="A86" s="306" t="s">
        <v>108</v>
      </c>
      <c r="B86" s="306"/>
      <c r="C86" s="306"/>
      <c r="D86" s="306"/>
    </row>
    <row r="87" spans="1:4">
      <c r="A87" s="76">
        <v>5</v>
      </c>
      <c r="B87" s="77" t="s">
        <v>109</v>
      </c>
      <c r="C87" s="76"/>
      <c r="D87" s="78" t="s">
        <v>21</v>
      </c>
    </row>
    <row r="88" spans="1:4">
      <c r="A88" s="79" t="s">
        <v>133</v>
      </c>
      <c r="B88" s="66" t="s">
        <v>120</v>
      </c>
      <c r="C88" s="92"/>
      <c r="D88" s="81">
        <v>61.15</v>
      </c>
    </row>
    <row r="89" spans="1:4">
      <c r="A89" s="79" t="s">
        <v>178</v>
      </c>
      <c r="B89" s="66" t="s">
        <v>121</v>
      </c>
      <c r="C89" s="92"/>
      <c r="D89" s="81">
        <v>76.39</v>
      </c>
    </row>
    <row r="90" spans="1:4">
      <c r="A90" s="79" t="s">
        <v>259</v>
      </c>
      <c r="B90" s="66" t="s">
        <v>226</v>
      </c>
      <c r="C90" s="91">
        <v>9.2499999999999999E-2</v>
      </c>
      <c r="D90" s="81">
        <f>-(D88+D89)*C90</f>
        <v>-12.722449999999998</v>
      </c>
    </row>
    <row r="91" spans="1:4">
      <c r="A91" s="307"/>
      <c r="B91" s="307" t="s">
        <v>36</v>
      </c>
      <c r="C91" s="83"/>
      <c r="D91" s="78">
        <f>SUM(D88:D90)</f>
        <v>124.81755</v>
      </c>
    </row>
    <row r="93" spans="1:4" ht="15" customHeight="1">
      <c r="A93" s="304" t="s">
        <v>110</v>
      </c>
      <c r="B93" s="304"/>
      <c r="C93" s="304"/>
      <c r="D93" s="304"/>
    </row>
    <row r="94" spans="1:4">
      <c r="A94" s="79">
        <v>1</v>
      </c>
      <c r="B94" s="66" t="s">
        <v>86</v>
      </c>
      <c r="C94" s="177"/>
      <c r="D94" s="184">
        <f>D25</f>
        <v>2492.6</v>
      </c>
    </row>
    <row r="95" spans="1:4" ht="30">
      <c r="A95" s="79">
        <v>2</v>
      </c>
      <c r="B95" s="66" t="s">
        <v>87</v>
      </c>
      <c r="C95" s="177"/>
      <c r="D95" s="184">
        <f>C61</f>
        <v>2769.1690649200004</v>
      </c>
    </row>
    <row r="96" spans="1:4">
      <c r="A96" s="79">
        <v>3</v>
      </c>
      <c r="B96" s="66" t="s">
        <v>96</v>
      </c>
      <c r="C96" s="177"/>
      <c r="D96" s="184">
        <f>D71</f>
        <v>163.22521899200001</v>
      </c>
    </row>
    <row r="97" spans="1:4" ht="30">
      <c r="A97" s="79">
        <v>4</v>
      </c>
      <c r="B97" s="66" t="s">
        <v>99</v>
      </c>
      <c r="C97" s="177"/>
      <c r="D97" s="184">
        <f>C84</f>
        <v>13.086149999999998</v>
      </c>
    </row>
    <row r="98" spans="1:4">
      <c r="A98" s="79">
        <v>5</v>
      </c>
      <c r="B98" s="66" t="s">
        <v>108</v>
      </c>
      <c r="C98" s="177"/>
      <c r="D98" s="184">
        <f>D91</f>
        <v>124.81755</v>
      </c>
    </row>
    <row r="99" spans="1:4">
      <c r="A99" s="304" t="s">
        <v>95</v>
      </c>
      <c r="B99" s="304" t="s">
        <v>95</v>
      </c>
      <c r="C99" s="178"/>
      <c r="D99" s="179">
        <f>SUM(D94:D98)</f>
        <v>5562.8979839120002</v>
      </c>
    </row>
    <row r="101" spans="1:4" s="6" customFormat="1" ht="199.5" customHeight="1">
      <c r="A101" s="301" t="s">
        <v>260</v>
      </c>
      <c r="B101" s="301"/>
      <c r="C101" s="301"/>
      <c r="D101" s="301"/>
    </row>
    <row r="102" spans="1:4" s="6" customFormat="1">
      <c r="A102" s="181"/>
      <c r="B102" s="181"/>
      <c r="C102" s="182"/>
      <c r="D102" s="181"/>
    </row>
    <row r="103" spans="1:4" s="6" customFormat="1" ht="232.5" customHeight="1">
      <c r="A103" s="301" t="s">
        <v>261</v>
      </c>
      <c r="B103" s="301"/>
      <c r="C103" s="301"/>
      <c r="D103" s="301"/>
    </row>
    <row r="104" spans="1:4" s="6" customFormat="1">
      <c r="A104" s="181"/>
      <c r="B104" s="181"/>
      <c r="C104" s="182"/>
      <c r="D104" s="181"/>
    </row>
    <row r="105" spans="1:4" s="6" customFormat="1" ht="197.25" customHeight="1">
      <c r="A105" s="301" t="s">
        <v>262</v>
      </c>
      <c r="B105" s="301"/>
      <c r="C105" s="301"/>
      <c r="D105" s="301"/>
    </row>
    <row r="106" spans="1:4">
      <c r="C106" s="23"/>
    </row>
    <row r="107" spans="1:4">
      <c r="C107" s="23"/>
    </row>
    <row r="108" spans="1:4">
      <c r="C108" s="23"/>
    </row>
    <row r="109" spans="1:4">
      <c r="C109" s="23"/>
    </row>
    <row r="110" spans="1:4">
      <c r="C110" s="23"/>
    </row>
    <row r="111" spans="1:4">
      <c r="C111" s="23"/>
    </row>
    <row r="112" spans="1:4">
      <c r="C112" s="23"/>
    </row>
    <row r="113" spans="3:3">
      <c r="C113" s="23"/>
    </row>
    <row r="114" spans="3:3">
      <c r="C114" s="23"/>
    </row>
  </sheetData>
  <mergeCells count="44">
    <mergeCell ref="A1:D1"/>
    <mergeCell ref="A2:D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55:B55"/>
    <mergeCell ref="A8:B8"/>
    <mergeCell ref="C8:D8"/>
    <mergeCell ref="A10:B10"/>
    <mergeCell ref="C10:D10"/>
    <mergeCell ref="A11:B11"/>
    <mergeCell ref="C11:D11"/>
    <mergeCell ref="A13:D13"/>
    <mergeCell ref="A25:B25"/>
    <mergeCell ref="A27:D27"/>
    <mergeCell ref="A32:B32"/>
    <mergeCell ref="A43:B43"/>
    <mergeCell ref="A57:D57"/>
    <mergeCell ref="C58:D58"/>
    <mergeCell ref="C59:D59"/>
    <mergeCell ref="C60:D60"/>
    <mergeCell ref="A61:B61"/>
    <mergeCell ref="C61:D61"/>
    <mergeCell ref="A63:D63"/>
    <mergeCell ref="A71:B71"/>
    <mergeCell ref="A73:D73"/>
    <mergeCell ref="A80:B80"/>
    <mergeCell ref="A82:D82"/>
    <mergeCell ref="A103:D103"/>
    <mergeCell ref="A105:D105"/>
    <mergeCell ref="A99:B99"/>
    <mergeCell ref="A101:D101"/>
    <mergeCell ref="C83:D83"/>
    <mergeCell ref="C84:D84"/>
    <mergeCell ref="A86:D86"/>
    <mergeCell ref="A91:B91"/>
    <mergeCell ref="A93:D9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</sheetPr>
  <dimension ref="A1:D114"/>
  <sheetViews>
    <sheetView showGridLines="0" zoomScaleNormal="100" workbookViewId="0">
      <selection activeCell="C8" sqref="C8:D8"/>
    </sheetView>
  </sheetViews>
  <sheetFormatPr defaultColWidth="8.75" defaultRowHeight="15"/>
  <cols>
    <col min="1" max="1" width="5.75" style="23" customWidth="1"/>
    <col min="2" max="2" width="46.75" style="23" customWidth="1"/>
    <col min="3" max="3" width="11.125" style="22" bestFit="1" customWidth="1"/>
    <col min="4" max="4" width="15.5" style="23" bestFit="1" customWidth="1"/>
    <col min="5" max="247" width="8.75" style="23"/>
    <col min="248" max="248" width="5.75" style="23" customWidth="1"/>
    <col min="249" max="249" width="82.5" style="23" customWidth="1"/>
    <col min="250" max="250" width="13.5" style="23" customWidth="1"/>
    <col min="251" max="251" width="24" style="23" customWidth="1"/>
    <col min="252" max="252" width="10.25" style="23" customWidth="1"/>
    <col min="253" max="254" width="0" style="23" hidden="1" customWidth="1"/>
    <col min="255" max="503" width="8.75" style="23"/>
    <col min="504" max="504" width="5.75" style="23" customWidth="1"/>
    <col min="505" max="505" width="82.5" style="23" customWidth="1"/>
    <col min="506" max="506" width="13.5" style="23" customWidth="1"/>
    <col min="507" max="507" width="24" style="23" customWidth="1"/>
    <col min="508" max="508" width="10.25" style="23" customWidth="1"/>
    <col min="509" max="510" width="0" style="23" hidden="1" customWidth="1"/>
    <col min="511" max="759" width="8.75" style="23"/>
    <col min="760" max="760" width="5.75" style="23" customWidth="1"/>
    <col min="761" max="761" width="82.5" style="23" customWidth="1"/>
    <col min="762" max="762" width="13.5" style="23" customWidth="1"/>
    <col min="763" max="763" width="24" style="23" customWidth="1"/>
    <col min="764" max="764" width="10.25" style="23" customWidth="1"/>
    <col min="765" max="766" width="0" style="23" hidden="1" customWidth="1"/>
    <col min="767" max="1015" width="8.75" style="23"/>
    <col min="1016" max="1016" width="5.75" style="23" customWidth="1"/>
    <col min="1017" max="1017" width="82.5" style="23" customWidth="1"/>
    <col min="1018" max="1018" width="13.5" style="23" customWidth="1"/>
    <col min="1019" max="1019" width="24" style="23" customWidth="1"/>
    <col min="1020" max="1020" width="10.25" style="23" customWidth="1"/>
    <col min="1021" max="1022" width="0" style="23" hidden="1" customWidth="1"/>
    <col min="1023" max="1271" width="8.75" style="23"/>
    <col min="1272" max="1272" width="5.75" style="23" customWidth="1"/>
    <col min="1273" max="1273" width="82.5" style="23" customWidth="1"/>
    <col min="1274" max="1274" width="13.5" style="23" customWidth="1"/>
    <col min="1275" max="1275" width="24" style="23" customWidth="1"/>
    <col min="1276" max="1276" width="10.25" style="23" customWidth="1"/>
    <col min="1277" max="1278" width="0" style="23" hidden="1" customWidth="1"/>
    <col min="1279" max="1527" width="8.75" style="23"/>
    <col min="1528" max="1528" width="5.75" style="23" customWidth="1"/>
    <col min="1529" max="1529" width="82.5" style="23" customWidth="1"/>
    <col min="1530" max="1530" width="13.5" style="23" customWidth="1"/>
    <col min="1531" max="1531" width="24" style="23" customWidth="1"/>
    <col min="1532" max="1532" width="10.25" style="23" customWidth="1"/>
    <col min="1533" max="1534" width="0" style="23" hidden="1" customWidth="1"/>
    <col min="1535" max="1783" width="8.75" style="23"/>
    <col min="1784" max="1784" width="5.75" style="23" customWidth="1"/>
    <col min="1785" max="1785" width="82.5" style="23" customWidth="1"/>
    <col min="1786" max="1786" width="13.5" style="23" customWidth="1"/>
    <col min="1787" max="1787" width="24" style="23" customWidth="1"/>
    <col min="1788" max="1788" width="10.25" style="23" customWidth="1"/>
    <col min="1789" max="1790" width="0" style="23" hidden="1" customWidth="1"/>
    <col min="1791" max="2039" width="8.75" style="23"/>
    <col min="2040" max="2040" width="5.75" style="23" customWidth="1"/>
    <col min="2041" max="2041" width="82.5" style="23" customWidth="1"/>
    <col min="2042" max="2042" width="13.5" style="23" customWidth="1"/>
    <col min="2043" max="2043" width="24" style="23" customWidth="1"/>
    <col min="2044" max="2044" width="10.25" style="23" customWidth="1"/>
    <col min="2045" max="2046" width="0" style="23" hidden="1" customWidth="1"/>
    <col min="2047" max="2295" width="8.75" style="23"/>
    <col min="2296" max="2296" width="5.75" style="23" customWidth="1"/>
    <col min="2297" max="2297" width="82.5" style="23" customWidth="1"/>
    <col min="2298" max="2298" width="13.5" style="23" customWidth="1"/>
    <col min="2299" max="2299" width="24" style="23" customWidth="1"/>
    <col min="2300" max="2300" width="10.25" style="23" customWidth="1"/>
    <col min="2301" max="2302" width="0" style="23" hidden="1" customWidth="1"/>
    <col min="2303" max="2551" width="8.75" style="23"/>
    <col min="2552" max="2552" width="5.75" style="23" customWidth="1"/>
    <col min="2553" max="2553" width="82.5" style="23" customWidth="1"/>
    <col min="2554" max="2554" width="13.5" style="23" customWidth="1"/>
    <col min="2555" max="2555" width="24" style="23" customWidth="1"/>
    <col min="2556" max="2556" width="10.25" style="23" customWidth="1"/>
    <col min="2557" max="2558" width="0" style="23" hidden="1" customWidth="1"/>
    <col min="2559" max="2807" width="8.75" style="23"/>
    <col min="2808" max="2808" width="5.75" style="23" customWidth="1"/>
    <col min="2809" max="2809" width="82.5" style="23" customWidth="1"/>
    <col min="2810" max="2810" width="13.5" style="23" customWidth="1"/>
    <col min="2811" max="2811" width="24" style="23" customWidth="1"/>
    <col min="2812" max="2812" width="10.25" style="23" customWidth="1"/>
    <col min="2813" max="2814" width="0" style="23" hidden="1" customWidth="1"/>
    <col min="2815" max="3063" width="8.75" style="23"/>
    <col min="3064" max="3064" width="5.75" style="23" customWidth="1"/>
    <col min="3065" max="3065" width="82.5" style="23" customWidth="1"/>
    <col min="3066" max="3066" width="13.5" style="23" customWidth="1"/>
    <col min="3067" max="3067" width="24" style="23" customWidth="1"/>
    <col min="3068" max="3068" width="10.25" style="23" customWidth="1"/>
    <col min="3069" max="3070" width="0" style="23" hidden="1" customWidth="1"/>
    <col min="3071" max="3319" width="8.75" style="23"/>
    <col min="3320" max="3320" width="5.75" style="23" customWidth="1"/>
    <col min="3321" max="3321" width="82.5" style="23" customWidth="1"/>
    <col min="3322" max="3322" width="13.5" style="23" customWidth="1"/>
    <col min="3323" max="3323" width="24" style="23" customWidth="1"/>
    <col min="3324" max="3324" width="10.25" style="23" customWidth="1"/>
    <col min="3325" max="3326" width="0" style="23" hidden="1" customWidth="1"/>
    <col min="3327" max="3575" width="8.75" style="23"/>
    <col min="3576" max="3576" width="5.75" style="23" customWidth="1"/>
    <col min="3577" max="3577" width="82.5" style="23" customWidth="1"/>
    <col min="3578" max="3578" width="13.5" style="23" customWidth="1"/>
    <col min="3579" max="3579" width="24" style="23" customWidth="1"/>
    <col min="3580" max="3580" width="10.25" style="23" customWidth="1"/>
    <col min="3581" max="3582" width="0" style="23" hidden="1" customWidth="1"/>
    <col min="3583" max="3831" width="8.75" style="23"/>
    <col min="3832" max="3832" width="5.75" style="23" customWidth="1"/>
    <col min="3833" max="3833" width="82.5" style="23" customWidth="1"/>
    <col min="3834" max="3834" width="13.5" style="23" customWidth="1"/>
    <col min="3835" max="3835" width="24" style="23" customWidth="1"/>
    <col min="3836" max="3836" width="10.25" style="23" customWidth="1"/>
    <col min="3837" max="3838" width="0" style="23" hidden="1" customWidth="1"/>
    <col min="3839" max="4087" width="8.75" style="23"/>
    <col min="4088" max="4088" width="5.75" style="23" customWidth="1"/>
    <col min="4089" max="4089" width="82.5" style="23" customWidth="1"/>
    <col min="4090" max="4090" width="13.5" style="23" customWidth="1"/>
    <col min="4091" max="4091" width="24" style="23" customWidth="1"/>
    <col min="4092" max="4092" width="10.25" style="23" customWidth="1"/>
    <col min="4093" max="4094" width="0" style="23" hidden="1" customWidth="1"/>
    <col min="4095" max="4343" width="8.75" style="23"/>
    <col min="4344" max="4344" width="5.75" style="23" customWidth="1"/>
    <col min="4345" max="4345" width="82.5" style="23" customWidth="1"/>
    <col min="4346" max="4346" width="13.5" style="23" customWidth="1"/>
    <col min="4347" max="4347" width="24" style="23" customWidth="1"/>
    <col min="4348" max="4348" width="10.25" style="23" customWidth="1"/>
    <col min="4349" max="4350" width="0" style="23" hidden="1" customWidth="1"/>
    <col min="4351" max="4599" width="8.75" style="23"/>
    <col min="4600" max="4600" width="5.75" style="23" customWidth="1"/>
    <col min="4601" max="4601" width="82.5" style="23" customWidth="1"/>
    <col min="4602" max="4602" width="13.5" style="23" customWidth="1"/>
    <col min="4603" max="4603" width="24" style="23" customWidth="1"/>
    <col min="4604" max="4604" width="10.25" style="23" customWidth="1"/>
    <col min="4605" max="4606" width="0" style="23" hidden="1" customWidth="1"/>
    <col min="4607" max="4855" width="8.75" style="23"/>
    <col min="4856" max="4856" width="5.75" style="23" customWidth="1"/>
    <col min="4857" max="4857" width="82.5" style="23" customWidth="1"/>
    <col min="4858" max="4858" width="13.5" style="23" customWidth="1"/>
    <col min="4859" max="4859" width="24" style="23" customWidth="1"/>
    <col min="4860" max="4860" width="10.25" style="23" customWidth="1"/>
    <col min="4861" max="4862" width="0" style="23" hidden="1" customWidth="1"/>
    <col min="4863" max="5111" width="8.75" style="23"/>
    <col min="5112" max="5112" width="5.75" style="23" customWidth="1"/>
    <col min="5113" max="5113" width="82.5" style="23" customWidth="1"/>
    <col min="5114" max="5114" width="13.5" style="23" customWidth="1"/>
    <col min="5115" max="5115" width="24" style="23" customWidth="1"/>
    <col min="5116" max="5116" width="10.25" style="23" customWidth="1"/>
    <col min="5117" max="5118" width="0" style="23" hidden="1" customWidth="1"/>
    <col min="5119" max="5367" width="8.75" style="23"/>
    <col min="5368" max="5368" width="5.75" style="23" customWidth="1"/>
    <col min="5369" max="5369" width="82.5" style="23" customWidth="1"/>
    <col min="5370" max="5370" width="13.5" style="23" customWidth="1"/>
    <col min="5371" max="5371" width="24" style="23" customWidth="1"/>
    <col min="5372" max="5372" width="10.25" style="23" customWidth="1"/>
    <col min="5373" max="5374" width="0" style="23" hidden="1" customWidth="1"/>
    <col min="5375" max="5623" width="8.75" style="23"/>
    <col min="5624" max="5624" width="5.75" style="23" customWidth="1"/>
    <col min="5625" max="5625" width="82.5" style="23" customWidth="1"/>
    <col min="5626" max="5626" width="13.5" style="23" customWidth="1"/>
    <col min="5627" max="5627" width="24" style="23" customWidth="1"/>
    <col min="5628" max="5628" width="10.25" style="23" customWidth="1"/>
    <col min="5629" max="5630" width="0" style="23" hidden="1" customWidth="1"/>
    <col min="5631" max="5879" width="8.75" style="23"/>
    <col min="5880" max="5880" width="5.75" style="23" customWidth="1"/>
    <col min="5881" max="5881" width="82.5" style="23" customWidth="1"/>
    <col min="5882" max="5882" width="13.5" style="23" customWidth="1"/>
    <col min="5883" max="5883" width="24" style="23" customWidth="1"/>
    <col min="5884" max="5884" width="10.25" style="23" customWidth="1"/>
    <col min="5885" max="5886" width="0" style="23" hidden="1" customWidth="1"/>
    <col min="5887" max="6135" width="8.75" style="23"/>
    <col min="6136" max="6136" width="5.75" style="23" customWidth="1"/>
    <col min="6137" max="6137" width="82.5" style="23" customWidth="1"/>
    <col min="6138" max="6138" width="13.5" style="23" customWidth="1"/>
    <col min="6139" max="6139" width="24" style="23" customWidth="1"/>
    <col min="6140" max="6140" width="10.25" style="23" customWidth="1"/>
    <col min="6141" max="6142" width="0" style="23" hidden="1" customWidth="1"/>
    <col min="6143" max="6391" width="8.75" style="23"/>
    <col min="6392" max="6392" width="5.75" style="23" customWidth="1"/>
    <col min="6393" max="6393" width="82.5" style="23" customWidth="1"/>
    <col min="6394" max="6394" width="13.5" style="23" customWidth="1"/>
    <col min="6395" max="6395" width="24" style="23" customWidth="1"/>
    <col min="6396" max="6396" width="10.25" style="23" customWidth="1"/>
    <col min="6397" max="6398" width="0" style="23" hidden="1" customWidth="1"/>
    <col min="6399" max="6647" width="8.75" style="23"/>
    <col min="6648" max="6648" width="5.75" style="23" customWidth="1"/>
    <col min="6649" max="6649" width="82.5" style="23" customWidth="1"/>
    <col min="6650" max="6650" width="13.5" style="23" customWidth="1"/>
    <col min="6651" max="6651" width="24" style="23" customWidth="1"/>
    <col min="6652" max="6652" width="10.25" style="23" customWidth="1"/>
    <col min="6653" max="6654" width="0" style="23" hidden="1" customWidth="1"/>
    <col min="6655" max="6903" width="8.75" style="23"/>
    <col min="6904" max="6904" width="5.75" style="23" customWidth="1"/>
    <col min="6905" max="6905" width="82.5" style="23" customWidth="1"/>
    <col min="6906" max="6906" width="13.5" style="23" customWidth="1"/>
    <col min="6907" max="6907" width="24" style="23" customWidth="1"/>
    <col min="6908" max="6908" width="10.25" style="23" customWidth="1"/>
    <col min="6909" max="6910" width="0" style="23" hidden="1" customWidth="1"/>
    <col min="6911" max="7159" width="8.75" style="23"/>
    <col min="7160" max="7160" width="5.75" style="23" customWidth="1"/>
    <col min="7161" max="7161" width="82.5" style="23" customWidth="1"/>
    <col min="7162" max="7162" width="13.5" style="23" customWidth="1"/>
    <col min="7163" max="7163" width="24" style="23" customWidth="1"/>
    <col min="7164" max="7164" width="10.25" style="23" customWidth="1"/>
    <col min="7165" max="7166" width="0" style="23" hidden="1" customWidth="1"/>
    <col min="7167" max="7415" width="8.75" style="23"/>
    <col min="7416" max="7416" width="5.75" style="23" customWidth="1"/>
    <col min="7417" max="7417" width="82.5" style="23" customWidth="1"/>
    <col min="7418" max="7418" width="13.5" style="23" customWidth="1"/>
    <col min="7419" max="7419" width="24" style="23" customWidth="1"/>
    <col min="7420" max="7420" width="10.25" style="23" customWidth="1"/>
    <col min="7421" max="7422" width="0" style="23" hidden="1" customWidth="1"/>
    <col min="7423" max="7671" width="8.75" style="23"/>
    <col min="7672" max="7672" width="5.75" style="23" customWidth="1"/>
    <col min="7673" max="7673" width="82.5" style="23" customWidth="1"/>
    <col min="7674" max="7674" width="13.5" style="23" customWidth="1"/>
    <col min="7675" max="7675" width="24" style="23" customWidth="1"/>
    <col min="7676" max="7676" width="10.25" style="23" customWidth="1"/>
    <col min="7677" max="7678" width="0" style="23" hidden="1" customWidth="1"/>
    <col min="7679" max="7927" width="8.75" style="23"/>
    <col min="7928" max="7928" width="5.75" style="23" customWidth="1"/>
    <col min="7929" max="7929" width="82.5" style="23" customWidth="1"/>
    <col min="7930" max="7930" width="13.5" style="23" customWidth="1"/>
    <col min="7931" max="7931" width="24" style="23" customWidth="1"/>
    <col min="7932" max="7932" width="10.25" style="23" customWidth="1"/>
    <col min="7933" max="7934" width="0" style="23" hidden="1" customWidth="1"/>
    <col min="7935" max="8183" width="8.75" style="23"/>
    <col min="8184" max="8184" width="5.75" style="23" customWidth="1"/>
    <col min="8185" max="8185" width="82.5" style="23" customWidth="1"/>
    <col min="8186" max="8186" width="13.5" style="23" customWidth="1"/>
    <col min="8187" max="8187" width="24" style="23" customWidth="1"/>
    <col min="8188" max="8188" width="10.25" style="23" customWidth="1"/>
    <col min="8189" max="8190" width="0" style="23" hidden="1" customWidth="1"/>
    <col min="8191" max="8439" width="8.75" style="23"/>
    <col min="8440" max="8440" width="5.75" style="23" customWidth="1"/>
    <col min="8441" max="8441" width="82.5" style="23" customWidth="1"/>
    <col min="8442" max="8442" width="13.5" style="23" customWidth="1"/>
    <col min="8443" max="8443" width="24" style="23" customWidth="1"/>
    <col min="8444" max="8444" width="10.25" style="23" customWidth="1"/>
    <col min="8445" max="8446" width="0" style="23" hidden="1" customWidth="1"/>
    <col min="8447" max="8695" width="8.75" style="23"/>
    <col min="8696" max="8696" width="5.75" style="23" customWidth="1"/>
    <col min="8697" max="8697" width="82.5" style="23" customWidth="1"/>
    <col min="8698" max="8698" width="13.5" style="23" customWidth="1"/>
    <col min="8699" max="8699" width="24" style="23" customWidth="1"/>
    <col min="8700" max="8700" width="10.25" style="23" customWidth="1"/>
    <col min="8701" max="8702" width="0" style="23" hidden="1" customWidth="1"/>
    <col min="8703" max="8951" width="8.75" style="23"/>
    <col min="8952" max="8952" width="5.75" style="23" customWidth="1"/>
    <col min="8953" max="8953" width="82.5" style="23" customWidth="1"/>
    <col min="8954" max="8954" width="13.5" style="23" customWidth="1"/>
    <col min="8955" max="8955" width="24" style="23" customWidth="1"/>
    <col min="8956" max="8956" width="10.25" style="23" customWidth="1"/>
    <col min="8957" max="8958" width="0" style="23" hidden="1" customWidth="1"/>
    <col min="8959" max="9207" width="8.75" style="23"/>
    <col min="9208" max="9208" width="5.75" style="23" customWidth="1"/>
    <col min="9209" max="9209" width="82.5" style="23" customWidth="1"/>
    <col min="9210" max="9210" width="13.5" style="23" customWidth="1"/>
    <col min="9211" max="9211" width="24" style="23" customWidth="1"/>
    <col min="9212" max="9212" width="10.25" style="23" customWidth="1"/>
    <col min="9213" max="9214" width="0" style="23" hidden="1" customWidth="1"/>
    <col min="9215" max="9463" width="8.75" style="23"/>
    <col min="9464" max="9464" width="5.75" style="23" customWidth="1"/>
    <col min="9465" max="9465" width="82.5" style="23" customWidth="1"/>
    <col min="9466" max="9466" width="13.5" style="23" customWidth="1"/>
    <col min="9467" max="9467" width="24" style="23" customWidth="1"/>
    <col min="9468" max="9468" width="10.25" style="23" customWidth="1"/>
    <col min="9469" max="9470" width="0" style="23" hidden="1" customWidth="1"/>
    <col min="9471" max="9719" width="8.75" style="23"/>
    <col min="9720" max="9720" width="5.75" style="23" customWidth="1"/>
    <col min="9721" max="9721" width="82.5" style="23" customWidth="1"/>
    <col min="9722" max="9722" width="13.5" style="23" customWidth="1"/>
    <col min="9723" max="9723" width="24" style="23" customWidth="1"/>
    <col min="9724" max="9724" width="10.25" style="23" customWidth="1"/>
    <col min="9725" max="9726" width="0" style="23" hidden="1" customWidth="1"/>
    <col min="9727" max="9975" width="8.75" style="23"/>
    <col min="9976" max="9976" width="5.75" style="23" customWidth="1"/>
    <col min="9977" max="9977" width="82.5" style="23" customWidth="1"/>
    <col min="9978" max="9978" width="13.5" style="23" customWidth="1"/>
    <col min="9979" max="9979" width="24" style="23" customWidth="1"/>
    <col min="9980" max="9980" width="10.25" style="23" customWidth="1"/>
    <col min="9981" max="9982" width="0" style="23" hidden="1" customWidth="1"/>
    <col min="9983" max="10231" width="8.75" style="23"/>
    <col min="10232" max="10232" width="5.75" style="23" customWidth="1"/>
    <col min="10233" max="10233" width="82.5" style="23" customWidth="1"/>
    <col min="10234" max="10234" width="13.5" style="23" customWidth="1"/>
    <col min="10235" max="10235" width="24" style="23" customWidth="1"/>
    <col min="10236" max="10236" width="10.25" style="23" customWidth="1"/>
    <col min="10237" max="10238" width="0" style="23" hidden="1" customWidth="1"/>
    <col min="10239" max="10487" width="8.75" style="23"/>
    <col min="10488" max="10488" width="5.75" style="23" customWidth="1"/>
    <col min="10489" max="10489" width="82.5" style="23" customWidth="1"/>
    <col min="10490" max="10490" width="13.5" style="23" customWidth="1"/>
    <col min="10491" max="10491" width="24" style="23" customWidth="1"/>
    <col min="10492" max="10492" width="10.25" style="23" customWidth="1"/>
    <col min="10493" max="10494" width="0" style="23" hidden="1" customWidth="1"/>
    <col min="10495" max="10743" width="8.75" style="23"/>
    <col min="10744" max="10744" width="5.75" style="23" customWidth="1"/>
    <col min="10745" max="10745" width="82.5" style="23" customWidth="1"/>
    <col min="10746" max="10746" width="13.5" style="23" customWidth="1"/>
    <col min="10747" max="10747" width="24" style="23" customWidth="1"/>
    <col min="10748" max="10748" width="10.25" style="23" customWidth="1"/>
    <col min="10749" max="10750" width="0" style="23" hidden="1" customWidth="1"/>
    <col min="10751" max="10999" width="8.75" style="23"/>
    <col min="11000" max="11000" width="5.75" style="23" customWidth="1"/>
    <col min="11001" max="11001" width="82.5" style="23" customWidth="1"/>
    <col min="11002" max="11002" width="13.5" style="23" customWidth="1"/>
    <col min="11003" max="11003" width="24" style="23" customWidth="1"/>
    <col min="11004" max="11004" width="10.25" style="23" customWidth="1"/>
    <col min="11005" max="11006" width="0" style="23" hidden="1" customWidth="1"/>
    <col min="11007" max="11255" width="8.75" style="23"/>
    <col min="11256" max="11256" width="5.75" style="23" customWidth="1"/>
    <col min="11257" max="11257" width="82.5" style="23" customWidth="1"/>
    <col min="11258" max="11258" width="13.5" style="23" customWidth="1"/>
    <col min="11259" max="11259" width="24" style="23" customWidth="1"/>
    <col min="11260" max="11260" width="10.25" style="23" customWidth="1"/>
    <col min="11261" max="11262" width="0" style="23" hidden="1" customWidth="1"/>
    <col min="11263" max="11511" width="8.75" style="23"/>
    <col min="11512" max="11512" width="5.75" style="23" customWidth="1"/>
    <col min="11513" max="11513" width="82.5" style="23" customWidth="1"/>
    <col min="11514" max="11514" width="13.5" style="23" customWidth="1"/>
    <col min="11515" max="11515" width="24" style="23" customWidth="1"/>
    <col min="11516" max="11516" width="10.25" style="23" customWidth="1"/>
    <col min="11517" max="11518" width="0" style="23" hidden="1" customWidth="1"/>
    <col min="11519" max="11767" width="8.75" style="23"/>
    <col min="11768" max="11768" width="5.75" style="23" customWidth="1"/>
    <col min="11769" max="11769" width="82.5" style="23" customWidth="1"/>
    <col min="11770" max="11770" width="13.5" style="23" customWidth="1"/>
    <col min="11771" max="11771" width="24" style="23" customWidth="1"/>
    <col min="11772" max="11772" width="10.25" style="23" customWidth="1"/>
    <col min="11773" max="11774" width="0" style="23" hidden="1" customWidth="1"/>
    <col min="11775" max="12023" width="8.75" style="23"/>
    <col min="12024" max="12024" width="5.75" style="23" customWidth="1"/>
    <col min="12025" max="12025" width="82.5" style="23" customWidth="1"/>
    <col min="12026" max="12026" width="13.5" style="23" customWidth="1"/>
    <col min="12027" max="12027" width="24" style="23" customWidth="1"/>
    <col min="12028" max="12028" width="10.25" style="23" customWidth="1"/>
    <col min="12029" max="12030" width="0" style="23" hidden="1" customWidth="1"/>
    <col min="12031" max="12279" width="8.75" style="23"/>
    <col min="12280" max="12280" width="5.75" style="23" customWidth="1"/>
    <col min="12281" max="12281" width="82.5" style="23" customWidth="1"/>
    <col min="12282" max="12282" width="13.5" style="23" customWidth="1"/>
    <col min="12283" max="12283" width="24" style="23" customWidth="1"/>
    <col min="12284" max="12284" width="10.25" style="23" customWidth="1"/>
    <col min="12285" max="12286" width="0" style="23" hidden="1" customWidth="1"/>
    <col min="12287" max="12535" width="8.75" style="23"/>
    <col min="12536" max="12536" width="5.75" style="23" customWidth="1"/>
    <col min="12537" max="12537" width="82.5" style="23" customWidth="1"/>
    <col min="12538" max="12538" width="13.5" style="23" customWidth="1"/>
    <col min="12539" max="12539" width="24" style="23" customWidth="1"/>
    <col min="12540" max="12540" width="10.25" style="23" customWidth="1"/>
    <col min="12541" max="12542" width="0" style="23" hidden="1" customWidth="1"/>
    <col min="12543" max="12791" width="8.75" style="23"/>
    <col min="12792" max="12792" width="5.75" style="23" customWidth="1"/>
    <col min="12793" max="12793" width="82.5" style="23" customWidth="1"/>
    <col min="12794" max="12794" width="13.5" style="23" customWidth="1"/>
    <col min="12795" max="12795" width="24" style="23" customWidth="1"/>
    <col min="12796" max="12796" width="10.25" style="23" customWidth="1"/>
    <col min="12797" max="12798" width="0" style="23" hidden="1" customWidth="1"/>
    <col min="12799" max="13047" width="8.75" style="23"/>
    <col min="13048" max="13048" width="5.75" style="23" customWidth="1"/>
    <col min="13049" max="13049" width="82.5" style="23" customWidth="1"/>
    <col min="13050" max="13050" width="13.5" style="23" customWidth="1"/>
    <col min="13051" max="13051" width="24" style="23" customWidth="1"/>
    <col min="13052" max="13052" width="10.25" style="23" customWidth="1"/>
    <col min="13053" max="13054" width="0" style="23" hidden="1" customWidth="1"/>
    <col min="13055" max="13303" width="8.75" style="23"/>
    <col min="13304" max="13304" width="5.75" style="23" customWidth="1"/>
    <col min="13305" max="13305" width="82.5" style="23" customWidth="1"/>
    <col min="13306" max="13306" width="13.5" style="23" customWidth="1"/>
    <col min="13307" max="13307" width="24" style="23" customWidth="1"/>
    <col min="13308" max="13308" width="10.25" style="23" customWidth="1"/>
    <col min="13309" max="13310" width="0" style="23" hidden="1" customWidth="1"/>
    <col min="13311" max="13559" width="8.75" style="23"/>
    <col min="13560" max="13560" width="5.75" style="23" customWidth="1"/>
    <col min="13561" max="13561" width="82.5" style="23" customWidth="1"/>
    <col min="13562" max="13562" width="13.5" style="23" customWidth="1"/>
    <col min="13563" max="13563" width="24" style="23" customWidth="1"/>
    <col min="13564" max="13564" width="10.25" style="23" customWidth="1"/>
    <col min="13565" max="13566" width="0" style="23" hidden="1" customWidth="1"/>
    <col min="13567" max="13815" width="8.75" style="23"/>
    <col min="13816" max="13816" width="5.75" style="23" customWidth="1"/>
    <col min="13817" max="13817" width="82.5" style="23" customWidth="1"/>
    <col min="13818" max="13818" width="13.5" style="23" customWidth="1"/>
    <col min="13819" max="13819" width="24" style="23" customWidth="1"/>
    <col min="13820" max="13820" width="10.25" style="23" customWidth="1"/>
    <col min="13821" max="13822" width="0" style="23" hidden="1" customWidth="1"/>
    <col min="13823" max="14071" width="8.75" style="23"/>
    <col min="14072" max="14072" width="5.75" style="23" customWidth="1"/>
    <col min="14073" max="14073" width="82.5" style="23" customWidth="1"/>
    <col min="14074" max="14074" width="13.5" style="23" customWidth="1"/>
    <col min="14075" max="14075" width="24" style="23" customWidth="1"/>
    <col min="14076" max="14076" width="10.25" style="23" customWidth="1"/>
    <col min="14077" max="14078" width="0" style="23" hidden="1" customWidth="1"/>
    <col min="14079" max="14327" width="8.75" style="23"/>
    <col min="14328" max="14328" width="5.75" style="23" customWidth="1"/>
    <col min="14329" max="14329" width="82.5" style="23" customWidth="1"/>
    <col min="14330" max="14330" width="13.5" style="23" customWidth="1"/>
    <col min="14331" max="14331" width="24" style="23" customWidth="1"/>
    <col min="14332" max="14332" width="10.25" style="23" customWidth="1"/>
    <col min="14333" max="14334" width="0" style="23" hidden="1" customWidth="1"/>
    <col min="14335" max="14583" width="8.75" style="23"/>
    <col min="14584" max="14584" width="5.75" style="23" customWidth="1"/>
    <col min="14585" max="14585" width="82.5" style="23" customWidth="1"/>
    <col min="14586" max="14586" width="13.5" style="23" customWidth="1"/>
    <col min="14587" max="14587" width="24" style="23" customWidth="1"/>
    <col min="14588" max="14588" width="10.25" style="23" customWidth="1"/>
    <col min="14589" max="14590" width="0" style="23" hidden="1" customWidth="1"/>
    <col min="14591" max="14839" width="8.75" style="23"/>
    <col min="14840" max="14840" width="5.75" style="23" customWidth="1"/>
    <col min="14841" max="14841" width="82.5" style="23" customWidth="1"/>
    <col min="14842" max="14842" width="13.5" style="23" customWidth="1"/>
    <col min="14843" max="14843" width="24" style="23" customWidth="1"/>
    <col min="14844" max="14844" width="10.25" style="23" customWidth="1"/>
    <col min="14845" max="14846" width="0" style="23" hidden="1" customWidth="1"/>
    <col min="14847" max="15095" width="8.75" style="23"/>
    <col min="15096" max="15096" width="5.75" style="23" customWidth="1"/>
    <col min="15097" max="15097" width="82.5" style="23" customWidth="1"/>
    <col min="15098" max="15098" width="13.5" style="23" customWidth="1"/>
    <col min="15099" max="15099" width="24" style="23" customWidth="1"/>
    <col min="15100" max="15100" width="10.25" style="23" customWidth="1"/>
    <col min="15101" max="15102" width="0" style="23" hidden="1" customWidth="1"/>
    <col min="15103" max="15351" width="8.75" style="23"/>
    <col min="15352" max="15352" width="5.75" style="23" customWidth="1"/>
    <col min="15353" max="15353" width="82.5" style="23" customWidth="1"/>
    <col min="15354" max="15354" width="13.5" style="23" customWidth="1"/>
    <col min="15355" max="15355" width="24" style="23" customWidth="1"/>
    <col min="15356" max="15356" width="10.25" style="23" customWidth="1"/>
    <col min="15357" max="15358" width="0" style="23" hidden="1" customWidth="1"/>
    <col min="15359" max="15607" width="8.75" style="23"/>
    <col min="15608" max="15608" width="5.75" style="23" customWidth="1"/>
    <col min="15609" max="15609" width="82.5" style="23" customWidth="1"/>
    <col min="15610" max="15610" width="13.5" style="23" customWidth="1"/>
    <col min="15611" max="15611" width="24" style="23" customWidth="1"/>
    <col min="15612" max="15612" width="10.25" style="23" customWidth="1"/>
    <col min="15613" max="15614" width="0" style="23" hidden="1" customWidth="1"/>
    <col min="15615" max="15863" width="8.75" style="23"/>
    <col min="15864" max="15864" width="5.75" style="23" customWidth="1"/>
    <col min="15865" max="15865" width="82.5" style="23" customWidth="1"/>
    <col min="15866" max="15866" width="13.5" style="23" customWidth="1"/>
    <col min="15867" max="15867" width="24" style="23" customWidth="1"/>
    <col min="15868" max="15868" width="10.25" style="23" customWidth="1"/>
    <col min="15869" max="15870" width="0" style="23" hidden="1" customWidth="1"/>
    <col min="15871" max="16119" width="8.75" style="23"/>
    <col min="16120" max="16120" width="5.75" style="23" customWidth="1"/>
    <col min="16121" max="16121" width="82.5" style="23" customWidth="1"/>
    <col min="16122" max="16122" width="13.5" style="23" customWidth="1"/>
    <col min="16123" max="16123" width="24" style="23" customWidth="1"/>
    <col min="16124" max="16124" width="10.25" style="23" customWidth="1"/>
    <col min="16125" max="16126" width="0" style="23" hidden="1" customWidth="1"/>
    <col min="16127" max="16384" width="8.75" style="23"/>
  </cols>
  <sheetData>
    <row r="1" spans="1:4" ht="15.75" thickBot="1">
      <c r="A1" s="289" t="s">
        <v>9</v>
      </c>
      <c r="B1" s="289"/>
      <c r="C1" s="289"/>
      <c r="D1" s="289"/>
    </row>
    <row r="2" spans="1:4" s="25" customFormat="1" ht="15.75" thickBot="1">
      <c r="A2" s="310" t="s">
        <v>12</v>
      </c>
      <c r="B2" s="311"/>
      <c r="C2" s="311"/>
      <c r="D2" s="312"/>
    </row>
    <row r="3" spans="1:4" s="25" customFormat="1">
      <c r="A3" s="337"/>
      <c r="B3" s="337"/>
      <c r="C3" s="338"/>
      <c r="D3" s="338"/>
    </row>
    <row r="4" spans="1:4" s="25" customFormat="1">
      <c r="A4" s="339" t="s">
        <v>13</v>
      </c>
      <c r="B4" s="340"/>
      <c r="C4" s="352" t="s">
        <v>490</v>
      </c>
      <c r="D4" s="353"/>
    </row>
    <row r="5" spans="1:4" s="25" customFormat="1">
      <c r="A5" s="339" t="s">
        <v>14</v>
      </c>
      <c r="B5" s="340"/>
      <c r="C5" s="318" t="s">
        <v>15</v>
      </c>
      <c r="D5" s="319"/>
    </row>
    <row r="6" spans="1:4" s="25" customFormat="1">
      <c r="A6" s="339" t="s">
        <v>16</v>
      </c>
      <c r="B6" s="340"/>
      <c r="C6" s="318" t="s">
        <v>489</v>
      </c>
      <c r="D6" s="319"/>
    </row>
    <row r="7" spans="1:4" s="25" customFormat="1">
      <c r="A7" s="341" t="s">
        <v>17</v>
      </c>
      <c r="B7" s="342"/>
      <c r="C7" s="318" t="s">
        <v>491</v>
      </c>
      <c r="D7" s="319"/>
    </row>
    <row r="8" spans="1:4" s="25" customFormat="1">
      <c r="A8" s="339" t="s">
        <v>18</v>
      </c>
      <c r="B8" s="340"/>
      <c r="C8" s="318">
        <v>12</v>
      </c>
      <c r="D8" s="319"/>
    </row>
    <row r="9" spans="1:4" s="25" customFormat="1">
      <c r="A9" s="39"/>
      <c r="B9" s="39"/>
      <c r="C9" s="6"/>
      <c r="D9" s="6"/>
    </row>
    <row r="10" spans="1:4" s="25" customFormat="1">
      <c r="A10" s="343" t="s">
        <v>19</v>
      </c>
      <c r="B10" s="344"/>
      <c r="C10" s="343" t="s">
        <v>84</v>
      </c>
      <c r="D10" s="344"/>
    </row>
    <row r="11" spans="1:4" s="25" customFormat="1">
      <c r="A11" s="327" t="s">
        <v>431</v>
      </c>
      <c r="B11" s="329"/>
      <c r="C11" s="345" t="s">
        <v>115</v>
      </c>
      <c r="D11" s="346"/>
    </row>
    <row r="12" spans="1:4" s="25" customFormat="1">
      <c r="A12" s="4"/>
      <c r="B12" s="4"/>
      <c r="C12" s="5"/>
      <c r="D12" s="6"/>
    </row>
    <row r="13" spans="1:4" s="25" customFormat="1">
      <c r="A13" s="327" t="s">
        <v>86</v>
      </c>
      <c r="B13" s="328"/>
      <c r="C13" s="328"/>
      <c r="D13" s="329"/>
    </row>
    <row r="14" spans="1:4">
      <c r="A14" s="76">
        <v>1</v>
      </c>
      <c r="B14" s="77" t="s">
        <v>20</v>
      </c>
      <c r="C14" s="76"/>
      <c r="D14" s="78" t="s">
        <v>21</v>
      </c>
    </row>
    <row r="15" spans="1:4">
      <c r="A15" s="79" t="s">
        <v>128</v>
      </c>
      <c r="B15" s="66" t="s">
        <v>22</v>
      </c>
      <c r="C15" s="80"/>
      <c r="D15" s="81">
        <v>2404</v>
      </c>
    </row>
    <row r="16" spans="1:4">
      <c r="A16" s="79" t="s">
        <v>130</v>
      </c>
      <c r="B16" s="66" t="s">
        <v>23</v>
      </c>
      <c r="C16" s="80"/>
      <c r="D16" s="81">
        <v>0</v>
      </c>
    </row>
    <row r="17" spans="1:4">
      <c r="A17" s="79" t="s">
        <v>192</v>
      </c>
      <c r="B17" s="66" t="s">
        <v>24</v>
      </c>
      <c r="C17" s="80"/>
      <c r="D17" s="81"/>
    </row>
    <row r="18" spans="1:4">
      <c r="A18" s="79" t="s">
        <v>193</v>
      </c>
      <c r="B18" s="66" t="s">
        <v>427</v>
      </c>
      <c r="C18" s="80"/>
      <c r="D18" s="81">
        <f>(D15*C18)</f>
        <v>0</v>
      </c>
    </row>
    <row r="19" spans="1:4">
      <c r="A19" s="79" t="s">
        <v>194</v>
      </c>
      <c r="B19" s="66" t="s">
        <v>195</v>
      </c>
      <c r="C19" s="137">
        <v>0.2</v>
      </c>
      <c r="D19" s="138">
        <f>1621*C19</f>
        <v>324.20000000000005</v>
      </c>
    </row>
    <row r="20" spans="1:4">
      <c r="A20" s="79" t="s">
        <v>196</v>
      </c>
      <c r="B20" s="66" t="s">
        <v>25</v>
      </c>
      <c r="C20" s="80"/>
      <c r="D20" s="81">
        <v>0</v>
      </c>
    </row>
    <row r="21" spans="1:4">
      <c r="A21" s="79" t="s">
        <v>197</v>
      </c>
      <c r="B21" s="66" t="s">
        <v>85</v>
      </c>
      <c r="C21" s="80"/>
      <c r="D21" s="81">
        <v>0</v>
      </c>
    </row>
    <row r="22" spans="1:4">
      <c r="A22" s="79" t="s">
        <v>198</v>
      </c>
      <c r="B22" s="66" t="s">
        <v>26</v>
      </c>
      <c r="C22" s="80"/>
      <c r="D22" s="81">
        <v>0</v>
      </c>
    </row>
    <row r="23" spans="1:4">
      <c r="A23" s="79" t="s">
        <v>199</v>
      </c>
      <c r="B23" s="66" t="s">
        <v>27</v>
      </c>
      <c r="C23" s="80"/>
      <c r="D23" s="81">
        <v>0</v>
      </c>
    </row>
    <row r="24" spans="1:4">
      <c r="A24" s="79" t="s">
        <v>200</v>
      </c>
      <c r="B24" s="66" t="s">
        <v>28</v>
      </c>
      <c r="C24" s="80"/>
      <c r="D24" s="81">
        <f>SUM(D15:D23)*C24</f>
        <v>0</v>
      </c>
    </row>
    <row r="25" spans="1:4">
      <c r="A25" s="330" t="s">
        <v>29</v>
      </c>
      <c r="B25" s="331"/>
      <c r="C25" s="83"/>
      <c r="D25" s="78">
        <f>SUM(D15:D24)</f>
        <v>2728.2</v>
      </c>
    </row>
    <row r="27" spans="1:4" s="25" customFormat="1">
      <c r="A27" s="327" t="s">
        <v>87</v>
      </c>
      <c r="B27" s="328"/>
      <c r="C27" s="328"/>
      <c r="D27" s="329"/>
    </row>
    <row r="28" spans="1:4" ht="30">
      <c r="A28" s="76" t="s">
        <v>88</v>
      </c>
      <c r="B28" s="77" t="s">
        <v>104</v>
      </c>
      <c r="C28" s="76" t="s">
        <v>11</v>
      </c>
      <c r="D28" s="76" t="s">
        <v>37</v>
      </c>
    </row>
    <row r="29" spans="1:4" s="25" customFormat="1">
      <c r="A29" s="79" t="s">
        <v>201</v>
      </c>
      <c r="B29" s="66" t="s">
        <v>45</v>
      </c>
      <c r="C29" s="84">
        <v>8.3299999999999999E-2</v>
      </c>
      <c r="D29" s="85">
        <f>($D$25*C29)</f>
        <v>227.25905999999998</v>
      </c>
    </row>
    <row r="30" spans="1:4">
      <c r="A30" s="79" t="s">
        <v>202</v>
      </c>
      <c r="B30" s="86" t="s">
        <v>52</v>
      </c>
      <c r="C30" s="87">
        <v>0.1111</v>
      </c>
      <c r="D30" s="85">
        <f>($D$25*C30)</f>
        <v>303.10302000000001</v>
      </c>
    </row>
    <row r="31" spans="1:4">
      <c r="A31" s="79" t="s">
        <v>203</v>
      </c>
      <c r="B31" s="86" t="s">
        <v>101</v>
      </c>
      <c r="C31" s="87">
        <f>C43*(C29+C30)</f>
        <v>7.1539200000000025E-2</v>
      </c>
      <c r="D31" s="85">
        <f>($D$25*C31)</f>
        <v>195.17324544000004</v>
      </c>
    </row>
    <row r="32" spans="1:4">
      <c r="A32" s="330" t="s">
        <v>107</v>
      </c>
      <c r="B32" s="331"/>
      <c r="C32" s="83"/>
      <c r="D32" s="78">
        <f>SUM(D29:D31)</f>
        <v>725.53532544000007</v>
      </c>
    </row>
    <row r="34" spans="1:4">
      <c r="A34" s="76" t="s">
        <v>89</v>
      </c>
      <c r="B34" s="77" t="s">
        <v>105</v>
      </c>
      <c r="C34" s="76" t="s">
        <v>11</v>
      </c>
      <c r="D34" s="76" t="s">
        <v>37</v>
      </c>
    </row>
    <row r="35" spans="1:4" s="25" customFormat="1">
      <c r="A35" s="79" t="s">
        <v>204</v>
      </c>
      <c r="B35" s="86" t="s">
        <v>38</v>
      </c>
      <c r="C35" s="89">
        <v>0.2</v>
      </c>
      <c r="D35" s="85">
        <f>(D25*C35)</f>
        <v>545.64</v>
      </c>
    </row>
    <row r="36" spans="1:4" s="25" customFormat="1">
      <c r="A36" s="79" t="s">
        <v>205</v>
      </c>
      <c r="B36" s="86" t="s">
        <v>39</v>
      </c>
      <c r="C36" s="89">
        <v>0.08</v>
      </c>
      <c r="D36" s="85">
        <f>(D25*C36)</f>
        <v>218.256</v>
      </c>
    </row>
    <row r="37" spans="1:4" s="25" customFormat="1">
      <c r="A37" s="79" t="s">
        <v>206</v>
      </c>
      <c r="B37" s="86" t="s">
        <v>40</v>
      </c>
      <c r="C37" s="89">
        <v>1.4999999999999999E-2</v>
      </c>
      <c r="D37" s="85">
        <f>(D25*C37)</f>
        <v>40.922999999999995</v>
      </c>
    </row>
    <row r="38" spans="1:4" s="25" customFormat="1">
      <c r="A38" s="79" t="s">
        <v>207</v>
      </c>
      <c r="B38" s="86" t="s">
        <v>41</v>
      </c>
      <c r="C38" s="89">
        <v>0.01</v>
      </c>
      <c r="D38" s="85">
        <f>(D25*C38)</f>
        <v>27.282</v>
      </c>
    </row>
    <row r="39" spans="1:4" s="25" customFormat="1">
      <c r="A39" s="79" t="s">
        <v>208</v>
      </c>
      <c r="B39" s="86" t="s">
        <v>42</v>
      </c>
      <c r="C39" s="89">
        <v>6.0000000000000001E-3</v>
      </c>
      <c r="D39" s="85">
        <f>(D25*C39)</f>
        <v>16.369199999999999</v>
      </c>
    </row>
    <row r="40" spans="1:4" s="25" customFormat="1">
      <c r="A40" s="79" t="s">
        <v>209</v>
      </c>
      <c r="B40" s="86" t="s">
        <v>43</v>
      </c>
      <c r="C40" s="89">
        <v>2E-3</v>
      </c>
      <c r="D40" s="85">
        <f>(D25*C40)</f>
        <v>5.4563999999999995</v>
      </c>
    </row>
    <row r="41" spans="1:4" s="25" customFormat="1">
      <c r="A41" s="79" t="s">
        <v>210</v>
      </c>
      <c r="B41" s="86" t="s">
        <v>44</v>
      </c>
      <c r="C41" s="89">
        <v>2.5000000000000001E-2</v>
      </c>
      <c r="D41" s="85">
        <f>(D25*C41)</f>
        <v>68.204999999999998</v>
      </c>
    </row>
    <row r="42" spans="1:4" s="25" customFormat="1">
      <c r="A42" s="79" t="s">
        <v>211</v>
      </c>
      <c r="B42" s="86" t="s">
        <v>102</v>
      </c>
      <c r="C42" s="89">
        <v>0.03</v>
      </c>
      <c r="D42" s="85">
        <f>(D25*C42)</f>
        <v>81.845999999999989</v>
      </c>
    </row>
    <row r="43" spans="1:4">
      <c r="A43" s="330" t="s">
        <v>107</v>
      </c>
      <c r="B43" s="331"/>
      <c r="C43" s="83">
        <f>SUM(C35:C42)</f>
        <v>0.3680000000000001</v>
      </c>
      <c r="D43" s="78">
        <f>SUM(D35:D42)</f>
        <v>1003.9776000000001</v>
      </c>
    </row>
    <row r="45" spans="1:4">
      <c r="A45" s="76" t="s">
        <v>90</v>
      </c>
      <c r="B45" s="77" t="s">
        <v>106</v>
      </c>
      <c r="C45" s="76"/>
      <c r="D45" s="78" t="s">
        <v>21</v>
      </c>
    </row>
    <row r="46" spans="1:4">
      <c r="A46" s="79" t="s">
        <v>212</v>
      </c>
      <c r="B46" s="66" t="s">
        <v>30</v>
      </c>
      <c r="C46" s="90">
        <v>6.25</v>
      </c>
      <c r="D46" s="81">
        <f>(C46*50.16)-(6%*D15)</f>
        <v>169.26000000000002</v>
      </c>
    </row>
    <row r="47" spans="1:4">
      <c r="A47" s="79" t="s">
        <v>214</v>
      </c>
      <c r="B47" s="66" t="s">
        <v>31</v>
      </c>
      <c r="C47" s="90">
        <v>900</v>
      </c>
      <c r="D47" s="81">
        <f>C47-(C47*0.2)</f>
        <v>720</v>
      </c>
    </row>
    <row r="48" spans="1:4">
      <c r="A48" s="79" t="s">
        <v>216</v>
      </c>
      <c r="B48" s="66" t="s">
        <v>32</v>
      </c>
      <c r="C48" s="90">
        <v>94.5</v>
      </c>
      <c r="D48" s="81">
        <f>C48</f>
        <v>94.5</v>
      </c>
    </row>
    <row r="49" spans="1:4">
      <c r="A49" s="79" t="s">
        <v>217</v>
      </c>
      <c r="B49" s="66" t="s">
        <v>33</v>
      </c>
      <c r="C49" s="90">
        <v>31</v>
      </c>
      <c r="D49" s="81">
        <f>C49</f>
        <v>31</v>
      </c>
    </row>
    <row r="50" spans="1:4">
      <c r="A50" s="79" t="s">
        <v>218</v>
      </c>
      <c r="B50" s="66" t="s">
        <v>34</v>
      </c>
      <c r="C50" s="90"/>
      <c r="D50" s="81">
        <f>C50</f>
        <v>0</v>
      </c>
    </row>
    <row r="51" spans="1:4">
      <c r="A51" s="79" t="s">
        <v>219</v>
      </c>
      <c r="B51" s="66" t="s">
        <v>35</v>
      </c>
      <c r="C51" s="90"/>
      <c r="D51" s="81">
        <f>C51</f>
        <v>0</v>
      </c>
    </row>
    <row r="52" spans="1:4">
      <c r="A52" s="79" t="s">
        <v>220</v>
      </c>
      <c r="B52" s="66" t="s">
        <v>221</v>
      </c>
      <c r="C52" s="90">
        <v>900</v>
      </c>
      <c r="D52" s="81">
        <f>(C52-(C52*0.2))/12</f>
        <v>60</v>
      </c>
    </row>
    <row r="53" spans="1:4">
      <c r="A53" s="79" t="s">
        <v>223</v>
      </c>
      <c r="B53" s="66" t="s">
        <v>224</v>
      </c>
      <c r="C53" s="90">
        <v>205</v>
      </c>
      <c r="D53" s="81">
        <f>C53</f>
        <v>205</v>
      </c>
    </row>
    <row r="54" spans="1:4">
      <c r="A54" s="79" t="s">
        <v>225</v>
      </c>
      <c r="B54" s="66" t="s">
        <v>226</v>
      </c>
      <c r="C54" s="91">
        <v>9.2499999999999999E-2</v>
      </c>
      <c r="D54" s="92">
        <f>-(D46+D47+D52)*C54</f>
        <v>-87.806550000000001</v>
      </c>
    </row>
    <row r="55" spans="1:4">
      <c r="A55" s="330" t="s">
        <v>107</v>
      </c>
      <c r="B55" s="331"/>
      <c r="C55" s="83"/>
      <c r="D55" s="78">
        <f>SUM(D46:D54)</f>
        <v>1191.95345</v>
      </c>
    </row>
    <row r="57" spans="1:4">
      <c r="A57" s="332" t="s">
        <v>93</v>
      </c>
      <c r="B57" s="333"/>
      <c r="C57" s="333"/>
      <c r="D57" s="334"/>
    </row>
    <row r="58" spans="1:4">
      <c r="A58" s="79" t="s">
        <v>88</v>
      </c>
      <c r="B58" s="66" t="s">
        <v>92</v>
      </c>
      <c r="C58" s="323">
        <f>D32</f>
        <v>725.53532544000007</v>
      </c>
      <c r="D58" s="324"/>
    </row>
    <row r="59" spans="1:4">
      <c r="A59" s="79" t="s">
        <v>89</v>
      </c>
      <c r="B59" s="66" t="s">
        <v>94</v>
      </c>
      <c r="C59" s="323">
        <f>D43</f>
        <v>1003.9776000000001</v>
      </c>
      <c r="D59" s="324"/>
    </row>
    <row r="60" spans="1:4">
      <c r="A60" s="79" t="s">
        <v>90</v>
      </c>
      <c r="B60" s="66" t="s">
        <v>91</v>
      </c>
      <c r="C60" s="335">
        <f>D55</f>
        <v>1191.95345</v>
      </c>
      <c r="D60" s="336"/>
    </row>
    <row r="61" spans="1:4">
      <c r="A61" s="332" t="s">
        <v>95</v>
      </c>
      <c r="B61" s="334"/>
      <c r="C61" s="325">
        <f>SUM(C58:D60)</f>
        <v>2921.4663754399999</v>
      </c>
      <c r="D61" s="326"/>
    </row>
    <row r="63" spans="1:4" s="25" customFormat="1">
      <c r="A63" s="327" t="s">
        <v>96</v>
      </c>
      <c r="B63" s="328"/>
      <c r="C63" s="328"/>
      <c r="D63" s="329"/>
    </row>
    <row r="64" spans="1:4">
      <c r="A64" s="76">
        <v>3</v>
      </c>
      <c r="B64" s="77" t="s">
        <v>98</v>
      </c>
      <c r="C64" s="94" t="s">
        <v>11</v>
      </c>
      <c r="D64" s="76" t="s">
        <v>37</v>
      </c>
    </row>
    <row r="65" spans="1:4" s="25" customFormat="1">
      <c r="A65" s="79" t="s">
        <v>131</v>
      </c>
      <c r="B65" s="96" t="s">
        <v>51</v>
      </c>
      <c r="C65" s="97">
        <v>4.1700000000000001E-3</v>
      </c>
      <c r="D65" s="85">
        <f t="shared" ref="D65:D70" si="0">($D$25*C65)</f>
        <v>11.376593999999999</v>
      </c>
    </row>
    <row r="66" spans="1:4" s="25" customFormat="1">
      <c r="A66" s="79" t="s">
        <v>176</v>
      </c>
      <c r="B66" s="96" t="s">
        <v>53</v>
      </c>
      <c r="C66" s="97">
        <v>3.3E-4</v>
      </c>
      <c r="D66" s="85">
        <f t="shared" si="0"/>
        <v>0.90030599999999994</v>
      </c>
    </row>
    <row r="67" spans="1:4" s="25" customFormat="1" ht="30">
      <c r="A67" s="79" t="s">
        <v>233</v>
      </c>
      <c r="B67" s="96" t="s">
        <v>54</v>
      </c>
      <c r="C67" s="97"/>
      <c r="D67" s="85">
        <f t="shared" si="0"/>
        <v>0</v>
      </c>
    </row>
    <row r="68" spans="1:4" s="25" customFormat="1">
      <c r="A68" s="79" t="s">
        <v>236</v>
      </c>
      <c r="B68" s="96" t="s">
        <v>46</v>
      </c>
      <c r="C68" s="97">
        <v>1.9439999999999999E-2</v>
      </c>
      <c r="D68" s="85">
        <f t="shared" si="0"/>
        <v>53.036207999999995</v>
      </c>
    </row>
    <row r="69" spans="1:4" ht="30">
      <c r="A69" s="79" t="s">
        <v>239</v>
      </c>
      <c r="B69" s="96" t="s">
        <v>97</v>
      </c>
      <c r="C69" s="97">
        <f>C43*C68</f>
        <v>7.153920000000002E-3</v>
      </c>
      <c r="D69" s="85">
        <f t="shared" si="0"/>
        <v>19.517324544000004</v>
      </c>
    </row>
    <row r="70" spans="1:4" s="25" customFormat="1">
      <c r="A70" s="79" t="s">
        <v>242</v>
      </c>
      <c r="B70" s="86" t="s">
        <v>243</v>
      </c>
      <c r="C70" s="97">
        <v>3.4389999999999997E-2</v>
      </c>
      <c r="D70" s="85">
        <f t="shared" si="0"/>
        <v>93.822797999999992</v>
      </c>
    </row>
    <row r="71" spans="1:4">
      <c r="A71" s="330" t="s">
        <v>107</v>
      </c>
      <c r="B71" s="331"/>
      <c r="C71" s="99">
        <f>SUM(C65:C70)</f>
        <v>6.5483920000000001E-2</v>
      </c>
      <c r="D71" s="100">
        <f>SUM(D65:D70)</f>
        <v>178.653230544</v>
      </c>
    </row>
    <row r="73" spans="1:4" s="25" customFormat="1">
      <c r="A73" s="327" t="s">
        <v>99</v>
      </c>
      <c r="B73" s="328"/>
      <c r="C73" s="328"/>
      <c r="D73" s="329"/>
    </row>
    <row r="74" spans="1:4">
      <c r="A74" s="76" t="s">
        <v>103</v>
      </c>
      <c r="B74" s="77" t="s">
        <v>247</v>
      </c>
      <c r="C74" s="94" t="s">
        <v>11</v>
      </c>
      <c r="D74" s="76" t="s">
        <v>37</v>
      </c>
    </row>
    <row r="75" spans="1:4" s="25" customFormat="1">
      <c r="A75" s="79" t="s">
        <v>248</v>
      </c>
      <c r="B75" s="66" t="s">
        <v>249</v>
      </c>
      <c r="C75" s="84">
        <v>4.15E-3</v>
      </c>
      <c r="D75" s="85">
        <f>($D$25*C75)</f>
        <v>11.32203</v>
      </c>
    </row>
    <row r="76" spans="1:4" s="25" customFormat="1">
      <c r="A76" s="79" t="s">
        <v>251</v>
      </c>
      <c r="B76" s="66" t="s">
        <v>252</v>
      </c>
      <c r="C76" s="84">
        <v>2.0000000000000001E-4</v>
      </c>
      <c r="D76" s="85">
        <f>($D$25*C76)</f>
        <v>0.54564000000000001</v>
      </c>
    </row>
    <row r="77" spans="1:4" s="25" customFormat="1">
      <c r="A77" s="79" t="s">
        <v>253</v>
      </c>
      <c r="B77" s="66" t="s">
        <v>254</v>
      </c>
      <c r="C77" s="84">
        <v>5.1000000000000004E-4</v>
      </c>
      <c r="D77" s="85">
        <f>($D$25*C77)</f>
        <v>1.3913819999999999</v>
      </c>
    </row>
    <row r="78" spans="1:4" s="25" customFormat="1" ht="30">
      <c r="A78" s="79" t="s">
        <v>255</v>
      </c>
      <c r="B78" s="66" t="s">
        <v>256</v>
      </c>
      <c r="C78" s="84">
        <v>3.8999999999999999E-4</v>
      </c>
      <c r="D78" s="85">
        <f>($D$25*C78)</f>
        <v>1.063998</v>
      </c>
    </row>
    <row r="79" spans="1:4" s="25" customFormat="1">
      <c r="A79" s="79" t="s">
        <v>257</v>
      </c>
      <c r="B79" s="66" t="s">
        <v>100</v>
      </c>
      <c r="C79" s="84"/>
      <c r="D79" s="85"/>
    </row>
    <row r="80" spans="1:4">
      <c r="A80" s="330" t="s">
        <v>107</v>
      </c>
      <c r="B80" s="331"/>
      <c r="C80" s="83">
        <f>SUM(C75:C79)</f>
        <v>5.2499999999999995E-3</v>
      </c>
      <c r="D80" s="78">
        <f>SUM(D75:D79)</f>
        <v>14.32305</v>
      </c>
    </row>
    <row r="82" spans="1:4">
      <c r="A82" s="332" t="s">
        <v>258</v>
      </c>
      <c r="B82" s="333"/>
      <c r="C82" s="333"/>
      <c r="D82" s="334"/>
    </row>
    <row r="83" spans="1:4">
      <c r="A83" s="79" t="s">
        <v>103</v>
      </c>
      <c r="B83" s="66" t="s">
        <v>111</v>
      </c>
      <c r="C83" s="323">
        <f>D80</f>
        <v>14.32305</v>
      </c>
      <c r="D83" s="324"/>
    </row>
    <row r="84" spans="1:4">
      <c r="A84" s="76" t="s">
        <v>95</v>
      </c>
      <c r="B84" s="76" t="s">
        <v>95</v>
      </c>
      <c r="C84" s="325">
        <f>SUM(C83:D83)</f>
        <v>14.32305</v>
      </c>
      <c r="D84" s="326"/>
    </row>
    <row r="86" spans="1:4" s="25" customFormat="1">
      <c r="A86" s="327" t="s">
        <v>108</v>
      </c>
      <c r="B86" s="328"/>
      <c r="C86" s="328"/>
      <c r="D86" s="329"/>
    </row>
    <row r="87" spans="1:4">
      <c r="A87" s="76">
        <v>5</v>
      </c>
      <c r="B87" s="77" t="s">
        <v>109</v>
      </c>
      <c r="C87" s="76"/>
      <c r="D87" s="78" t="s">
        <v>21</v>
      </c>
    </row>
    <row r="88" spans="1:4">
      <c r="A88" s="79" t="s">
        <v>133</v>
      </c>
      <c r="B88" s="66" t="s">
        <v>120</v>
      </c>
      <c r="C88" s="92"/>
      <c r="D88" s="81">
        <v>61.115000000000002</v>
      </c>
    </row>
    <row r="89" spans="1:4">
      <c r="A89" s="79" t="s">
        <v>178</v>
      </c>
      <c r="B89" s="66" t="s">
        <v>121</v>
      </c>
      <c r="C89" s="92"/>
      <c r="D89" s="81">
        <v>115.81</v>
      </c>
    </row>
    <row r="90" spans="1:4">
      <c r="A90" s="79" t="s">
        <v>259</v>
      </c>
      <c r="B90" s="66" t="s">
        <v>226</v>
      </c>
      <c r="C90" s="91">
        <v>9.2499999999999999E-2</v>
      </c>
      <c r="D90" s="81">
        <f>-(D88+D89)*C90</f>
        <v>-16.365562499999999</v>
      </c>
    </row>
    <row r="91" spans="1:4">
      <c r="A91" s="77"/>
      <c r="B91" s="77" t="s">
        <v>36</v>
      </c>
      <c r="C91" s="83"/>
      <c r="D91" s="78">
        <f>SUM(D88:D90)</f>
        <v>160.5594375</v>
      </c>
    </row>
    <row r="93" spans="1:4">
      <c r="A93" s="332" t="s">
        <v>110</v>
      </c>
      <c r="B93" s="333"/>
      <c r="C93" s="333"/>
      <c r="D93" s="334"/>
    </row>
    <row r="94" spans="1:4">
      <c r="A94" s="79">
        <v>1</v>
      </c>
      <c r="B94" s="212" t="s">
        <v>86</v>
      </c>
      <c r="C94" s="217"/>
      <c r="D94" s="184">
        <f>D25</f>
        <v>2728.2</v>
      </c>
    </row>
    <row r="95" spans="1:4" ht="30">
      <c r="A95" s="79">
        <v>2</v>
      </c>
      <c r="B95" s="212" t="s">
        <v>87</v>
      </c>
      <c r="C95" s="217"/>
      <c r="D95" s="184">
        <f>C61</f>
        <v>2921.4663754399999</v>
      </c>
    </row>
    <row r="96" spans="1:4">
      <c r="A96" s="79">
        <v>3</v>
      </c>
      <c r="B96" s="212" t="s">
        <v>96</v>
      </c>
      <c r="C96" s="217"/>
      <c r="D96" s="184">
        <f>D71</f>
        <v>178.653230544</v>
      </c>
    </row>
    <row r="97" spans="1:4" ht="30">
      <c r="A97" s="79">
        <v>4</v>
      </c>
      <c r="B97" s="212" t="s">
        <v>99</v>
      </c>
      <c r="C97" s="217"/>
      <c r="D97" s="184">
        <f>C84</f>
        <v>14.32305</v>
      </c>
    </row>
    <row r="98" spans="1:4">
      <c r="A98" s="79">
        <v>5</v>
      </c>
      <c r="B98" s="212" t="s">
        <v>108</v>
      </c>
      <c r="C98" s="217"/>
      <c r="D98" s="184">
        <f>D91</f>
        <v>160.5594375</v>
      </c>
    </row>
    <row r="99" spans="1:4">
      <c r="A99" s="76" t="s">
        <v>95</v>
      </c>
      <c r="B99" s="214" t="s">
        <v>95</v>
      </c>
      <c r="C99" s="218"/>
      <c r="D99" s="216">
        <f>SUM(D94:D98)</f>
        <v>6003.2020934839993</v>
      </c>
    </row>
    <row r="101" spans="1:4" s="6" customFormat="1" ht="118.5" customHeight="1">
      <c r="A101" s="301" t="s">
        <v>260</v>
      </c>
      <c r="B101" s="301"/>
      <c r="C101" s="301"/>
      <c r="D101" s="301"/>
    </row>
    <row r="102" spans="1:4" s="6" customFormat="1">
      <c r="A102" s="181"/>
      <c r="B102" s="181"/>
      <c r="C102" s="182"/>
      <c r="D102" s="181"/>
    </row>
    <row r="103" spans="1:4" s="6" customFormat="1" ht="257.25" customHeight="1">
      <c r="A103" s="301" t="s">
        <v>261</v>
      </c>
      <c r="B103" s="301"/>
      <c r="C103" s="301"/>
      <c r="D103" s="301"/>
    </row>
    <row r="104" spans="1:4" s="6" customFormat="1">
      <c r="A104" s="181"/>
      <c r="B104" s="181"/>
      <c r="C104" s="182"/>
      <c r="D104" s="181"/>
    </row>
    <row r="105" spans="1:4" s="6" customFormat="1" ht="231.75" customHeight="1">
      <c r="A105" s="301" t="s">
        <v>262</v>
      </c>
      <c r="B105" s="301"/>
      <c r="C105" s="301"/>
      <c r="D105" s="301"/>
    </row>
    <row r="106" spans="1:4">
      <c r="A106" s="183"/>
      <c r="B106" s="183"/>
      <c r="C106" s="183"/>
      <c r="D106" s="183"/>
    </row>
    <row r="107" spans="1:4">
      <c r="C107" s="23"/>
    </row>
    <row r="108" spans="1:4">
      <c r="C108" s="23"/>
    </row>
    <row r="109" spans="1:4">
      <c r="C109" s="23"/>
    </row>
    <row r="110" spans="1:4">
      <c r="C110" s="23"/>
    </row>
    <row r="111" spans="1:4">
      <c r="C111" s="23"/>
    </row>
    <row r="112" spans="1:4">
      <c r="C112" s="23"/>
    </row>
    <row r="113" spans="3:3">
      <c r="C113" s="23"/>
    </row>
    <row r="114" spans="3:3">
      <c r="C114" s="23"/>
    </row>
  </sheetData>
  <mergeCells count="42">
    <mergeCell ref="A105:D105"/>
    <mergeCell ref="C84:D84"/>
    <mergeCell ref="A86:D86"/>
    <mergeCell ref="A93:D93"/>
    <mergeCell ref="A101:D101"/>
    <mergeCell ref="A103:D103"/>
    <mergeCell ref="C83:D83"/>
    <mergeCell ref="A57:D57"/>
    <mergeCell ref="C58:D58"/>
    <mergeCell ref="C59:D59"/>
    <mergeCell ref="C60:D60"/>
    <mergeCell ref="A61:B61"/>
    <mergeCell ref="C61:D61"/>
    <mergeCell ref="A63:D63"/>
    <mergeCell ref="A71:B71"/>
    <mergeCell ref="A73:D73"/>
    <mergeCell ref="A80:B80"/>
    <mergeCell ref="A82:D82"/>
    <mergeCell ref="A55:B55"/>
    <mergeCell ref="A8:B8"/>
    <mergeCell ref="C8:D8"/>
    <mergeCell ref="A10:B10"/>
    <mergeCell ref="C10:D10"/>
    <mergeCell ref="A11:B11"/>
    <mergeCell ref="C11:D11"/>
    <mergeCell ref="A13:D13"/>
    <mergeCell ref="A25:B25"/>
    <mergeCell ref="A27:D27"/>
    <mergeCell ref="A32:B32"/>
    <mergeCell ref="A43:B43"/>
    <mergeCell ref="A5:B5"/>
    <mergeCell ref="C5:D5"/>
    <mergeCell ref="A6:B6"/>
    <mergeCell ref="C6:D6"/>
    <mergeCell ref="A7:B7"/>
    <mergeCell ref="C7:D7"/>
    <mergeCell ref="A1:D1"/>
    <mergeCell ref="A2:D2"/>
    <mergeCell ref="A3:B3"/>
    <mergeCell ref="C3:D3"/>
    <mergeCell ref="A4:B4"/>
    <mergeCell ref="C4:D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-0.249977111117893"/>
    <pageSetUpPr autoPageBreaks="0"/>
  </sheetPr>
  <dimension ref="A1:K76"/>
  <sheetViews>
    <sheetView showGridLines="0" topLeftCell="A59" zoomScaleNormal="100" workbookViewId="0">
      <selection activeCell="A77" sqref="A77"/>
    </sheetView>
  </sheetViews>
  <sheetFormatPr defaultColWidth="11" defaultRowHeight="15.75"/>
  <cols>
    <col min="1" max="1" width="8" style="42" customWidth="1"/>
    <col min="2" max="2" width="29" customWidth="1"/>
    <col min="3" max="3" width="4.75" customWidth="1"/>
    <col min="4" max="4" width="21.25" style="42" customWidth="1"/>
    <col min="5" max="5" width="23.75" customWidth="1"/>
    <col min="6" max="6" width="11.375" bestFit="1" customWidth="1"/>
    <col min="7" max="7" width="24.75" customWidth="1"/>
    <col min="8" max="8" width="18.875" bestFit="1" customWidth="1"/>
    <col min="9" max="9" width="15.25" bestFit="1" customWidth="1"/>
    <col min="10" max="10" width="12.75" bestFit="1" customWidth="1"/>
  </cols>
  <sheetData>
    <row r="1" spans="1:9" ht="16.5" thickBot="1">
      <c r="A1" s="377" t="s">
        <v>263</v>
      </c>
      <c r="B1" s="378"/>
      <c r="C1" s="378"/>
      <c r="D1" s="378"/>
      <c r="E1" s="378"/>
      <c r="F1" s="378"/>
      <c r="G1" s="379"/>
    </row>
    <row r="2" spans="1:9" ht="16.5" thickBot="1"/>
    <row r="3" spans="1:9" ht="16.149999999999999" customHeight="1" thickBot="1">
      <c r="A3" s="249" t="s">
        <v>318</v>
      </c>
      <c r="B3" s="250"/>
      <c r="C3" s="250"/>
      <c r="D3" s="250"/>
      <c r="E3" s="250"/>
      <c r="F3" s="250"/>
      <c r="G3" s="251"/>
    </row>
    <row r="4" spans="1:9" ht="16.5" thickBot="1">
      <c r="B4" s="39"/>
      <c r="C4" s="39"/>
      <c r="D4" s="23"/>
      <c r="E4" s="19"/>
    </row>
    <row r="5" spans="1:9" ht="16.5" thickBot="1">
      <c r="A5" s="380" t="s">
        <v>151</v>
      </c>
      <c r="B5" s="381"/>
      <c r="C5" s="381"/>
      <c r="D5" s="381"/>
      <c r="E5" s="381"/>
      <c r="F5" s="382"/>
      <c r="G5" s="43">
        <v>220</v>
      </c>
    </row>
    <row r="6" spans="1:9" ht="16.5" thickBot="1">
      <c r="A6" s="380" t="s">
        <v>122</v>
      </c>
      <c r="B6" s="381"/>
      <c r="C6" s="381"/>
      <c r="D6" s="381"/>
      <c r="E6" s="381"/>
      <c r="F6" s="382"/>
      <c r="G6" s="43">
        <v>1800</v>
      </c>
    </row>
    <row r="7" spans="1:9" ht="16.5" thickBot="1">
      <c r="H7" s="101"/>
      <c r="I7" s="102"/>
    </row>
    <row r="8" spans="1:9" ht="16.5" thickBot="1">
      <c r="A8" s="366" t="s">
        <v>123</v>
      </c>
      <c r="B8" s="367"/>
      <c r="C8" s="367"/>
      <c r="D8" s="367"/>
      <c r="E8" s="368"/>
      <c r="F8" s="355" t="s">
        <v>124</v>
      </c>
      <c r="G8" s="356"/>
      <c r="H8" s="52"/>
      <c r="I8" s="52"/>
    </row>
    <row r="9" spans="1:9" ht="16.149999999999999" customHeight="1" thickBot="1">
      <c r="A9" s="44" t="s">
        <v>125</v>
      </c>
      <c r="B9" s="369" t="s">
        <v>126</v>
      </c>
      <c r="C9" s="370"/>
      <c r="D9" s="45" t="s">
        <v>11</v>
      </c>
      <c r="E9" s="103" t="s">
        <v>127</v>
      </c>
      <c r="F9" s="383" t="s">
        <v>484</v>
      </c>
      <c r="G9" s="384"/>
      <c r="H9" s="52"/>
      <c r="I9" s="52"/>
    </row>
    <row r="10" spans="1:9" ht="16.5" thickBot="1">
      <c r="A10" s="46" t="s">
        <v>128</v>
      </c>
      <c r="B10" s="375" t="s">
        <v>129</v>
      </c>
      <c r="C10" s="376"/>
      <c r="D10" s="47">
        <v>1</v>
      </c>
      <c r="E10" s="104">
        <f>(290637.5-E40)</f>
        <v>289175.98</v>
      </c>
      <c r="F10" s="385"/>
      <c r="G10" s="386"/>
      <c r="H10" s="52"/>
      <c r="I10" s="52"/>
    </row>
    <row r="11" spans="1:9" s="52" customFormat="1" ht="16.5" thickBot="1">
      <c r="A11" s="389" t="s">
        <v>60</v>
      </c>
      <c r="B11" s="390"/>
      <c r="C11" s="390"/>
      <c r="D11" s="391"/>
      <c r="E11" s="105">
        <f>SUM(E10:E10)</f>
        <v>289175.98</v>
      </c>
      <c r="F11" s="387"/>
      <c r="G11" s="388"/>
    </row>
    <row r="12" spans="1:9" ht="16.5" thickBot="1">
      <c r="H12" s="52"/>
      <c r="I12" s="52"/>
    </row>
    <row r="13" spans="1:9" ht="16.5" thickBot="1">
      <c r="A13" s="366" t="s">
        <v>190</v>
      </c>
      <c r="B13" s="367"/>
      <c r="C13" s="367"/>
      <c r="D13" s="367"/>
      <c r="E13" s="368"/>
      <c r="F13" s="355" t="s">
        <v>264</v>
      </c>
      <c r="G13" s="356"/>
    </row>
    <row r="14" spans="1:9" ht="16.149999999999999" customHeight="1" thickBot="1">
      <c r="A14" s="44" t="s">
        <v>125</v>
      </c>
      <c r="B14" s="369" t="s">
        <v>126</v>
      </c>
      <c r="C14" s="370"/>
      <c r="D14" s="48" t="s">
        <v>265</v>
      </c>
      <c r="E14" s="106" t="s">
        <v>266</v>
      </c>
      <c r="F14" s="383" t="s">
        <v>383</v>
      </c>
      <c r="G14" s="384"/>
      <c r="I14" s="148"/>
    </row>
    <row r="15" spans="1:9" ht="16.5" thickBot="1">
      <c r="A15" s="54" t="s">
        <v>88</v>
      </c>
      <c r="B15" s="371" t="s">
        <v>153</v>
      </c>
      <c r="C15" s="372"/>
      <c r="D15" s="149">
        <v>8.3000000000000001E-3</v>
      </c>
      <c r="E15" s="108">
        <f>(D15*E11)</f>
        <v>2400.1606339999998</v>
      </c>
      <c r="F15" s="385"/>
      <c r="G15" s="386"/>
      <c r="I15" s="107"/>
    </row>
    <row r="16" spans="1:9" ht="16.5" thickBot="1">
      <c r="A16" s="389" t="s">
        <v>60</v>
      </c>
      <c r="B16" s="390"/>
      <c r="C16" s="390"/>
      <c r="D16" s="391"/>
      <c r="E16" s="105">
        <f>E15</f>
        <v>2400.1606339999998</v>
      </c>
      <c r="F16" s="387"/>
      <c r="G16" s="388"/>
      <c r="H16" s="109"/>
      <c r="I16" s="107"/>
    </row>
    <row r="17" spans="1:11" ht="16.5" thickBot="1">
      <c r="F17" s="392"/>
      <c r="G17" s="392"/>
      <c r="I17" s="107"/>
    </row>
    <row r="18" spans="1:11" ht="16.899999999999999" customHeight="1" thickBot="1">
      <c r="A18" s="366" t="s">
        <v>175</v>
      </c>
      <c r="B18" s="367"/>
      <c r="C18" s="367"/>
      <c r="D18" s="367"/>
      <c r="E18" s="368"/>
      <c r="F18" s="393" t="s">
        <v>264</v>
      </c>
      <c r="G18" s="394"/>
      <c r="I18" s="109"/>
    </row>
    <row r="19" spans="1:11" ht="16.5" thickBot="1">
      <c r="A19" s="44" t="s">
        <v>125</v>
      </c>
      <c r="B19" s="369" t="s">
        <v>126</v>
      </c>
      <c r="C19" s="370"/>
      <c r="D19" s="45" t="s">
        <v>154</v>
      </c>
      <c r="E19" s="110" t="s">
        <v>329</v>
      </c>
      <c r="F19" s="397" t="s">
        <v>379</v>
      </c>
      <c r="G19" s="398"/>
    </row>
    <row r="20" spans="1:11" ht="16.5" thickBot="1">
      <c r="A20" s="46" t="s">
        <v>131</v>
      </c>
      <c r="B20" s="375" t="s">
        <v>309</v>
      </c>
      <c r="C20" s="376"/>
      <c r="D20" s="49">
        <v>9</v>
      </c>
      <c r="E20" s="49">
        <f>G6/D20</f>
        <v>200</v>
      </c>
      <c r="F20" s="399"/>
      <c r="G20" s="400"/>
    </row>
    <row r="21" spans="1:11" ht="16.5" thickBot="1">
      <c r="A21" s="44" t="s">
        <v>125</v>
      </c>
      <c r="B21" s="369" t="s">
        <v>126</v>
      </c>
      <c r="C21" s="370"/>
      <c r="D21" s="45" t="s">
        <v>155</v>
      </c>
      <c r="E21" s="110" t="s">
        <v>145</v>
      </c>
      <c r="F21" s="399"/>
      <c r="G21" s="400"/>
      <c r="H21" s="126"/>
      <c r="I21" s="126"/>
    </row>
    <row r="22" spans="1:11" ht="16.5" thickBot="1">
      <c r="A22" s="46" t="s">
        <v>176</v>
      </c>
      <c r="B22" s="375" t="s">
        <v>156</v>
      </c>
      <c r="C22" s="376"/>
      <c r="D22" s="234">
        <v>6.01</v>
      </c>
      <c r="E22" s="104">
        <f>E20*D22</f>
        <v>1202</v>
      </c>
      <c r="F22" s="399"/>
      <c r="G22" s="400"/>
      <c r="I22" s="69"/>
    </row>
    <row r="23" spans="1:11" ht="16.5" thickBot="1">
      <c r="A23" s="389" t="s">
        <v>60</v>
      </c>
      <c r="B23" s="390"/>
      <c r="C23" s="390"/>
      <c r="D23" s="391"/>
      <c r="E23" s="111">
        <f>E22</f>
        <v>1202</v>
      </c>
      <c r="F23" s="401"/>
      <c r="G23" s="402"/>
      <c r="I23" s="112"/>
    </row>
    <row r="24" spans="1:11" ht="16.5" thickBot="1"/>
    <row r="25" spans="1:11" ht="16.899999999999999" customHeight="1" thickBot="1">
      <c r="A25" s="366" t="s">
        <v>185</v>
      </c>
      <c r="B25" s="367"/>
      <c r="C25" s="367"/>
      <c r="D25" s="367"/>
      <c r="E25" s="368"/>
      <c r="F25" s="393" t="s">
        <v>264</v>
      </c>
      <c r="G25" s="394"/>
    </row>
    <row r="26" spans="1:11" ht="16.5" thickBot="1">
      <c r="A26" s="44" t="s">
        <v>125</v>
      </c>
      <c r="B26" s="369" t="s">
        <v>126</v>
      </c>
      <c r="C26" s="370"/>
      <c r="D26" s="48" t="s">
        <v>265</v>
      </c>
      <c r="E26" s="110" t="s">
        <v>145</v>
      </c>
      <c r="F26" s="383" t="s">
        <v>305</v>
      </c>
      <c r="G26" s="384"/>
    </row>
    <row r="27" spans="1:11" ht="31.9" customHeight="1" thickBot="1">
      <c r="A27" s="54" t="s">
        <v>103</v>
      </c>
      <c r="B27" s="395" t="s">
        <v>268</v>
      </c>
      <c r="C27" s="396"/>
      <c r="D27" s="154">
        <v>0.04</v>
      </c>
      <c r="E27" s="113">
        <f>D27*E23</f>
        <v>48.08</v>
      </c>
      <c r="F27" s="385"/>
      <c r="G27" s="386"/>
    </row>
    <row r="28" spans="1:11" ht="13.9" customHeight="1" thickBot="1">
      <c r="A28" s="389" t="s">
        <v>60</v>
      </c>
      <c r="B28" s="390"/>
      <c r="C28" s="390"/>
      <c r="D28" s="391"/>
      <c r="E28" s="111">
        <f>E27</f>
        <v>48.08</v>
      </c>
      <c r="F28" s="387"/>
      <c r="G28" s="388"/>
      <c r="H28" s="69"/>
      <c r="K28" s="69"/>
    </row>
    <row r="29" spans="1:11" ht="16.5" thickBot="1"/>
    <row r="30" spans="1:11" ht="16.5" thickBot="1">
      <c r="A30" s="366" t="s">
        <v>177</v>
      </c>
      <c r="B30" s="367"/>
      <c r="C30" s="367"/>
      <c r="D30" s="367"/>
      <c r="E30" s="368"/>
      <c r="F30" s="393" t="s">
        <v>264</v>
      </c>
      <c r="G30" s="394"/>
    </row>
    <row r="31" spans="1:11" ht="16.5" thickBot="1">
      <c r="A31" s="44" t="s">
        <v>125</v>
      </c>
      <c r="B31" s="369" t="s">
        <v>126</v>
      </c>
      <c r="C31" s="370"/>
      <c r="D31" s="45" t="s">
        <v>134</v>
      </c>
      <c r="E31" s="110" t="s">
        <v>266</v>
      </c>
      <c r="F31" s="383" t="s">
        <v>269</v>
      </c>
      <c r="G31" s="384"/>
    </row>
    <row r="32" spans="1:11" ht="16.149999999999999" customHeight="1" thickBot="1">
      <c r="A32" s="46" t="s">
        <v>133</v>
      </c>
      <c r="B32" s="375" t="s">
        <v>136</v>
      </c>
      <c r="C32" s="376"/>
      <c r="D32" s="47">
        <v>0.01</v>
      </c>
      <c r="E32" s="114">
        <f>(D32*E10)/12</f>
        <v>240.97998333333331</v>
      </c>
      <c r="F32" s="385"/>
      <c r="G32" s="386"/>
    </row>
    <row r="33" spans="1:7" ht="16.5" thickBot="1">
      <c r="A33" s="46" t="s">
        <v>178</v>
      </c>
      <c r="B33" s="375" t="s">
        <v>138</v>
      </c>
      <c r="C33" s="376"/>
      <c r="D33" s="113"/>
      <c r="E33" s="114">
        <f>D33/12</f>
        <v>0</v>
      </c>
      <c r="F33" s="385"/>
      <c r="G33" s="386"/>
    </row>
    <row r="34" spans="1:7" ht="16.5" thickBot="1">
      <c r="A34" s="389" t="s">
        <v>60</v>
      </c>
      <c r="B34" s="390"/>
      <c r="C34" s="390"/>
      <c r="D34" s="391"/>
      <c r="E34" s="115">
        <f>SUM(E32:E33)</f>
        <v>240.97998333333331</v>
      </c>
      <c r="F34" s="387"/>
      <c r="G34" s="388"/>
    </row>
    <row r="35" spans="1:7" ht="16.5" thickBot="1"/>
    <row r="36" spans="1:7" ht="16.5" thickBot="1">
      <c r="A36" s="366" t="s">
        <v>179</v>
      </c>
      <c r="B36" s="367"/>
      <c r="C36" s="367"/>
      <c r="D36" s="367"/>
      <c r="E36" s="368"/>
      <c r="F36" s="393" t="s">
        <v>264</v>
      </c>
      <c r="G36" s="394"/>
    </row>
    <row r="37" spans="1:7" ht="16.5" thickBot="1">
      <c r="A37" s="44" t="s">
        <v>125</v>
      </c>
      <c r="B37" s="403" t="s">
        <v>126</v>
      </c>
      <c r="C37" s="404"/>
      <c r="D37" s="405" t="s">
        <v>157</v>
      </c>
      <c r="E37" s="406"/>
      <c r="F37" s="357" t="s">
        <v>380</v>
      </c>
      <c r="G37" s="358"/>
    </row>
    <row r="38" spans="1:7" ht="16.5" thickBot="1">
      <c r="A38" s="46" t="s">
        <v>180</v>
      </c>
      <c r="B38" s="407" t="s">
        <v>270</v>
      </c>
      <c r="C38" s="408"/>
      <c r="D38" s="409">
        <v>1</v>
      </c>
      <c r="E38" s="410"/>
      <c r="F38" s="359"/>
      <c r="G38" s="360"/>
    </row>
    <row r="39" spans="1:7" ht="16.5" thickBot="1">
      <c r="A39" s="44" t="s">
        <v>125</v>
      </c>
      <c r="B39" s="403" t="s">
        <v>126</v>
      </c>
      <c r="C39" s="404"/>
      <c r="D39" s="129" t="s">
        <v>140</v>
      </c>
      <c r="E39" s="130" t="s">
        <v>158</v>
      </c>
      <c r="F39" s="359"/>
      <c r="G39" s="360"/>
    </row>
    <row r="40" spans="1:7" ht="16.5" thickBot="1">
      <c r="A40" s="46" t="s">
        <v>181</v>
      </c>
      <c r="B40" s="407" t="s">
        <v>331</v>
      </c>
      <c r="C40" s="408"/>
      <c r="D40" s="131">
        <v>365.38</v>
      </c>
      <c r="E40" s="132">
        <f>D40*4</f>
        <v>1461.52</v>
      </c>
      <c r="F40" s="359"/>
      <c r="G40" s="360"/>
    </row>
    <row r="41" spans="1:7" ht="16.5" thickBot="1">
      <c r="A41" s="44" t="s">
        <v>125</v>
      </c>
      <c r="B41" s="403" t="s">
        <v>126</v>
      </c>
      <c r="C41" s="404"/>
      <c r="D41" s="129" t="s">
        <v>142</v>
      </c>
      <c r="E41" s="130" t="s">
        <v>159</v>
      </c>
      <c r="F41" s="359"/>
      <c r="G41" s="360"/>
    </row>
    <row r="42" spans="1:7" ht="16.5" thickBot="1">
      <c r="A42" s="46">
        <v>6.3</v>
      </c>
      <c r="B42" s="407" t="s">
        <v>143</v>
      </c>
      <c r="C42" s="408"/>
      <c r="D42" s="131">
        <f>(E40*D38)</f>
        <v>1461.52</v>
      </c>
      <c r="E42" s="132">
        <f>D42/12</f>
        <v>121.79333333333334</v>
      </c>
      <c r="F42" s="359"/>
      <c r="G42" s="360"/>
    </row>
    <row r="43" spans="1:7" ht="16.149999999999999" customHeight="1" thickBot="1">
      <c r="A43" s="389" t="s">
        <v>60</v>
      </c>
      <c r="B43" s="390"/>
      <c r="C43" s="390"/>
      <c r="D43" s="391"/>
      <c r="E43" s="115">
        <f>E42</f>
        <v>121.79333333333334</v>
      </c>
      <c r="F43" s="361"/>
      <c r="G43" s="362"/>
    </row>
    <row r="44" spans="1:7" ht="16.5" thickBot="1"/>
    <row r="45" spans="1:7" ht="16.5" thickBot="1">
      <c r="A45" s="366" t="s">
        <v>271</v>
      </c>
      <c r="B45" s="367"/>
      <c r="C45" s="367"/>
      <c r="D45" s="367"/>
      <c r="E45" s="368"/>
      <c r="F45" s="355" t="s">
        <v>264</v>
      </c>
      <c r="G45" s="356"/>
    </row>
    <row r="46" spans="1:7" ht="16.5" thickBot="1">
      <c r="A46" s="44" t="s">
        <v>125</v>
      </c>
      <c r="B46" s="369" t="s">
        <v>126</v>
      </c>
      <c r="C46" s="370"/>
      <c r="D46" s="45" t="s">
        <v>11</v>
      </c>
      <c r="E46" s="116" t="s">
        <v>272</v>
      </c>
      <c r="F46" s="357" t="s">
        <v>337</v>
      </c>
      <c r="G46" s="358"/>
    </row>
    <row r="47" spans="1:7" ht="16.5" thickBot="1">
      <c r="A47" s="46" t="s">
        <v>135</v>
      </c>
      <c r="B47" s="375" t="s">
        <v>273</v>
      </c>
      <c r="C47" s="376"/>
      <c r="D47" s="117">
        <v>0.9</v>
      </c>
      <c r="E47" s="118">
        <v>15</v>
      </c>
      <c r="F47" s="359"/>
      <c r="G47" s="360"/>
    </row>
    <row r="48" spans="1:7" s="52" customFormat="1" ht="16.5" thickBot="1">
      <c r="A48" s="50" t="s">
        <v>125</v>
      </c>
      <c r="B48" s="373" t="s">
        <v>126</v>
      </c>
      <c r="C48" s="374"/>
      <c r="D48" s="45" t="s">
        <v>11</v>
      </c>
      <c r="E48" s="119" t="s">
        <v>274</v>
      </c>
      <c r="F48" s="359"/>
      <c r="G48" s="360"/>
    </row>
    <row r="49" spans="1:8" ht="16.5" thickBot="1">
      <c r="A49" s="46" t="s">
        <v>137</v>
      </c>
      <c r="B49" s="375" t="s">
        <v>275</v>
      </c>
      <c r="C49" s="376"/>
      <c r="D49" s="117">
        <v>0.1</v>
      </c>
      <c r="E49" s="114">
        <f>E10*D49</f>
        <v>28917.597999999998</v>
      </c>
      <c r="F49" s="359"/>
      <c r="G49" s="360"/>
    </row>
    <row r="50" spans="1:8" s="52" customFormat="1" ht="16.5" thickBot="1">
      <c r="A50" s="50" t="s">
        <v>125</v>
      </c>
      <c r="B50" s="373" t="s">
        <v>126</v>
      </c>
      <c r="C50" s="374"/>
      <c r="D50" s="51" t="s">
        <v>276</v>
      </c>
      <c r="E50" s="119" t="s">
        <v>266</v>
      </c>
      <c r="F50" s="359"/>
      <c r="G50" s="360"/>
    </row>
    <row r="51" spans="1:8" ht="16.5" thickBot="1">
      <c r="A51" s="46" t="s">
        <v>182</v>
      </c>
      <c r="B51" s="375" t="s">
        <v>144</v>
      </c>
      <c r="C51" s="376"/>
      <c r="D51" s="113">
        <f>E10*D47</f>
        <v>260258.38199999998</v>
      </c>
      <c r="E51" s="114">
        <f>D51/180</f>
        <v>1445.8798999999999</v>
      </c>
      <c r="F51" s="359"/>
      <c r="G51" s="360"/>
    </row>
    <row r="52" spans="1:8" ht="16.5" thickBot="1">
      <c r="A52" s="389" t="s">
        <v>60</v>
      </c>
      <c r="B52" s="390"/>
      <c r="C52" s="390"/>
      <c r="D52" s="391"/>
      <c r="E52" s="120">
        <f>E51</f>
        <v>1445.8798999999999</v>
      </c>
      <c r="F52" s="361"/>
      <c r="G52" s="362"/>
      <c r="H52" s="107"/>
    </row>
    <row r="53" spans="1:8" ht="16.5" thickBot="1"/>
    <row r="54" spans="1:8" ht="16.5" thickBot="1">
      <c r="A54" s="366" t="s">
        <v>277</v>
      </c>
      <c r="B54" s="367"/>
      <c r="C54" s="367"/>
      <c r="D54" s="367"/>
      <c r="E54" s="368"/>
      <c r="F54" s="355" t="s">
        <v>264</v>
      </c>
      <c r="G54" s="356"/>
    </row>
    <row r="55" spans="1:8" ht="16.5" thickBot="1">
      <c r="A55" s="44" t="s">
        <v>125</v>
      </c>
      <c r="B55" s="369" t="s">
        <v>126</v>
      </c>
      <c r="C55" s="370"/>
      <c r="D55" s="45" t="s">
        <v>124</v>
      </c>
      <c r="E55" s="116" t="s">
        <v>278</v>
      </c>
      <c r="F55" s="357" t="s">
        <v>279</v>
      </c>
      <c r="G55" s="358"/>
    </row>
    <row r="56" spans="1:8" ht="16.5" thickBot="1">
      <c r="A56" s="54" t="s">
        <v>139</v>
      </c>
      <c r="B56" s="371" t="s">
        <v>280</v>
      </c>
      <c r="C56" s="372"/>
      <c r="D56" s="113" t="s">
        <v>160</v>
      </c>
      <c r="E56" s="153">
        <v>0.13469999999999999</v>
      </c>
      <c r="F56" s="359"/>
      <c r="G56" s="360"/>
    </row>
    <row r="57" spans="1:8" ht="32.25" thickBot="1">
      <c r="A57" s="50" t="s">
        <v>125</v>
      </c>
      <c r="B57" s="373" t="s">
        <v>126</v>
      </c>
      <c r="C57" s="374"/>
      <c r="D57" s="51" t="s">
        <v>281</v>
      </c>
      <c r="E57" s="119" t="s">
        <v>282</v>
      </c>
      <c r="F57" s="359"/>
      <c r="G57" s="360"/>
    </row>
    <row r="58" spans="1:8" ht="25.15" customHeight="1" thickBot="1">
      <c r="A58" s="54" t="s">
        <v>141</v>
      </c>
      <c r="B58" s="371" t="s">
        <v>283</v>
      </c>
      <c r="C58" s="372"/>
      <c r="D58" s="113">
        <f>D51*((E47+1)/(2*E47))+E49</f>
        <v>167722.06839999999</v>
      </c>
      <c r="E58" s="108">
        <f>(D58*E56)/12</f>
        <v>1882.6802177899997</v>
      </c>
      <c r="F58" s="359"/>
      <c r="G58" s="360"/>
    </row>
    <row r="59" spans="1:8" s="52" customFormat="1" ht="55.9" customHeight="1" thickBot="1">
      <c r="A59" s="363" t="s">
        <v>60</v>
      </c>
      <c r="B59" s="364"/>
      <c r="C59" s="364"/>
      <c r="D59" s="365"/>
      <c r="E59" s="141">
        <f>E58</f>
        <v>1882.6802177899997</v>
      </c>
      <c r="F59" s="361"/>
      <c r="G59" s="362"/>
    </row>
    <row r="60" spans="1:8" s="52" customFormat="1" ht="16.5" thickBot="1">
      <c r="A60" s="42"/>
      <c r="B60"/>
      <c r="C60"/>
      <c r="D60" s="42"/>
      <c r="E60"/>
      <c r="F60" s="121"/>
      <c r="G60" s="121"/>
    </row>
    <row r="61" spans="1:8" ht="16.5" thickBot="1">
      <c r="A61" s="366" t="s">
        <v>284</v>
      </c>
      <c r="B61" s="367"/>
      <c r="C61" s="367"/>
      <c r="D61" s="367"/>
      <c r="E61" s="368"/>
    </row>
    <row r="62" spans="1:8" s="52" customFormat="1" ht="16.5" thickBot="1">
      <c r="A62" s="44" t="s">
        <v>125</v>
      </c>
      <c r="B62" s="369" t="s">
        <v>126</v>
      </c>
      <c r="C62" s="370"/>
      <c r="D62" s="45" t="s">
        <v>132</v>
      </c>
      <c r="E62" s="110" t="s">
        <v>161</v>
      </c>
    </row>
    <row r="63" spans="1:8" ht="16.5" thickBot="1">
      <c r="A63" s="46" t="s">
        <v>285</v>
      </c>
      <c r="B63" s="375" t="s">
        <v>146</v>
      </c>
      <c r="C63" s="376"/>
      <c r="D63" s="113">
        <f t="shared" ref="D63:D69" si="0">E63/$G$6</f>
        <v>1.3334225744444443</v>
      </c>
      <c r="E63" s="53">
        <f>E16</f>
        <v>2400.1606339999998</v>
      </c>
    </row>
    <row r="64" spans="1:8" ht="16.5" thickBot="1">
      <c r="A64" s="46" t="s">
        <v>286</v>
      </c>
      <c r="B64" s="375" t="s">
        <v>147</v>
      </c>
      <c r="C64" s="376"/>
      <c r="D64" s="113">
        <f t="shared" si="0"/>
        <v>0.6677777777777778</v>
      </c>
      <c r="E64" s="53">
        <f>E23</f>
        <v>1202</v>
      </c>
    </row>
    <row r="65" spans="1:6" ht="16.5" thickBot="1">
      <c r="A65" s="46" t="s">
        <v>287</v>
      </c>
      <c r="B65" s="375" t="s">
        <v>148</v>
      </c>
      <c r="C65" s="376"/>
      <c r="D65" s="113">
        <f t="shared" si="0"/>
        <v>2.6711111111111109E-2</v>
      </c>
      <c r="E65" s="53">
        <f>E28</f>
        <v>48.08</v>
      </c>
    </row>
    <row r="66" spans="1:6" ht="16.5" thickBot="1">
      <c r="A66" s="46" t="s">
        <v>288</v>
      </c>
      <c r="B66" s="375" t="s">
        <v>149</v>
      </c>
      <c r="C66" s="376"/>
      <c r="D66" s="113">
        <f t="shared" si="0"/>
        <v>0.13387776851851851</v>
      </c>
      <c r="E66" s="53">
        <f>E34</f>
        <v>240.97998333333331</v>
      </c>
    </row>
    <row r="67" spans="1:6" ht="16.5" thickBot="1">
      <c r="A67" s="46" t="s">
        <v>289</v>
      </c>
      <c r="B67" s="375" t="s">
        <v>150</v>
      </c>
      <c r="C67" s="376"/>
      <c r="D67" s="113">
        <f t="shared" si="0"/>
        <v>6.7662962962962966E-2</v>
      </c>
      <c r="E67" s="53">
        <f>E43</f>
        <v>121.79333333333334</v>
      </c>
    </row>
    <row r="68" spans="1:6" ht="16.5" thickBot="1">
      <c r="A68" s="46" t="s">
        <v>290</v>
      </c>
      <c r="B68" s="375" t="s">
        <v>144</v>
      </c>
      <c r="C68" s="376"/>
      <c r="D68" s="113">
        <f t="shared" si="0"/>
        <v>0.80326661111111108</v>
      </c>
      <c r="E68" s="53">
        <f>E52</f>
        <v>1445.8798999999999</v>
      </c>
    </row>
    <row r="69" spans="1:6" ht="16.5" thickBot="1">
      <c r="A69" s="46" t="s">
        <v>291</v>
      </c>
      <c r="B69" s="375" t="s">
        <v>283</v>
      </c>
      <c r="C69" s="376"/>
      <c r="D69" s="113">
        <f t="shared" si="0"/>
        <v>1.0459334543277776</v>
      </c>
      <c r="E69" s="53">
        <f>E59</f>
        <v>1882.6802177899997</v>
      </c>
    </row>
    <row r="70" spans="1:6" ht="16.5" thickBot="1">
      <c r="A70" s="389" t="s">
        <v>60</v>
      </c>
      <c r="B70" s="390"/>
      <c r="C70" s="390"/>
      <c r="D70" s="391"/>
      <c r="E70" s="60">
        <f>SUM(E63:E69)</f>
        <v>7341.5740684566663</v>
      </c>
    </row>
    <row r="72" spans="1:6">
      <c r="A72" s="354"/>
      <c r="B72" s="354"/>
      <c r="C72" s="354"/>
      <c r="D72" s="354"/>
      <c r="E72" s="354"/>
    </row>
    <row r="75" spans="1:6">
      <c r="F75" s="122"/>
    </row>
    <row r="76" spans="1:6">
      <c r="F76" s="123"/>
    </row>
  </sheetData>
  <mergeCells count="79">
    <mergeCell ref="B68:C68"/>
    <mergeCell ref="B63:C63"/>
    <mergeCell ref="A70:D70"/>
    <mergeCell ref="B46:C46"/>
    <mergeCell ref="B47:C47"/>
    <mergeCell ref="B48:C48"/>
    <mergeCell ref="A45:E45"/>
    <mergeCell ref="F45:G45"/>
    <mergeCell ref="F46:G52"/>
    <mergeCell ref="B50:C50"/>
    <mergeCell ref="B51:C51"/>
    <mergeCell ref="A52:D52"/>
    <mergeCell ref="B49:C49"/>
    <mergeCell ref="A36:E36"/>
    <mergeCell ref="B37:C37"/>
    <mergeCell ref="B39:C39"/>
    <mergeCell ref="F36:G36"/>
    <mergeCell ref="D37:E37"/>
    <mergeCell ref="F37:G43"/>
    <mergeCell ref="B38:C38"/>
    <mergeCell ref="D38:E38"/>
    <mergeCell ref="B40:C40"/>
    <mergeCell ref="B41:C41"/>
    <mergeCell ref="B42:C42"/>
    <mergeCell ref="A43:D43"/>
    <mergeCell ref="B32:C32"/>
    <mergeCell ref="B33:C33"/>
    <mergeCell ref="A30:E30"/>
    <mergeCell ref="F30:G30"/>
    <mergeCell ref="B31:C31"/>
    <mergeCell ref="F31:G34"/>
    <mergeCell ref="A34:D34"/>
    <mergeCell ref="B26:C26"/>
    <mergeCell ref="B27:C27"/>
    <mergeCell ref="F19:G23"/>
    <mergeCell ref="B22:C22"/>
    <mergeCell ref="A23:D23"/>
    <mergeCell ref="A25:E25"/>
    <mergeCell ref="F25:G25"/>
    <mergeCell ref="F26:G28"/>
    <mergeCell ref="A28:D28"/>
    <mergeCell ref="B19:C19"/>
    <mergeCell ref="B20:C20"/>
    <mergeCell ref="B21:C21"/>
    <mergeCell ref="F14:G16"/>
    <mergeCell ref="A16:D16"/>
    <mergeCell ref="F17:G17"/>
    <mergeCell ref="A18:E18"/>
    <mergeCell ref="F18:G18"/>
    <mergeCell ref="B14:C14"/>
    <mergeCell ref="B15:C15"/>
    <mergeCell ref="B9:C9"/>
    <mergeCell ref="B10:C10"/>
    <mergeCell ref="A13:E13"/>
    <mergeCell ref="F9:G11"/>
    <mergeCell ref="A11:D11"/>
    <mergeCell ref="F13:G13"/>
    <mergeCell ref="A8:E8"/>
    <mergeCell ref="A1:G1"/>
    <mergeCell ref="A3:G3"/>
    <mergeCell ref="A5:F5"/>
    <mergeCell ref="A6:F6"/>
    <mergeCell ref="F8:G8"/>
    <mergeCell ref="A72:E72"/>
    <mergeCell ref="F54:G54"/>
    <mergeCell ref="F55:G59"/>
    <mergeCell ref="A59:D59"/>
    <mergeCell ref="A61:E61"/>
    <mergeCell ref="B62:C62"/>
    <mergeCell ref="B55:C55"/>
    <mergeCell ref="B56:C56"/>
    <mergeCell ref="B57:C57"/>
    <mergeCell ref="B58:C58"/>
    <mergeCell ref="A54:E54"/>
    <mergeCell ref="B69:C69"/>
    <mergeCell ref="B64:C64"/>
    <mergeCell ref="B65:C65"/>
    <mergeCell ref="B66:C66"/>
    <mergeCell ref="B67:C67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2" manualBreakCount="2">
    <brk id="29" max="16383" man="1"/>
    <brk id="59" max="16383" man="1"/>
  </rowBreaks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-0.249977111117893"/>
  </sheetPr>
  <dimension ref="A1:K78"/>
  <sheetViews>
    <sheetView showGridLines="0" topLeftCell="A25" zoomScaleNormal="100" workbookViewId="0">
      <selection activeCell="A25" sqref="A25:D25"/>
    </sheetView>
  </sheetViews>
  <sheetFormatPr defaultColWidth="11" defaultRowHeight="15.75"/>
  <cols>
    <col min="1" max="1" width="8" style="42" customWidth="1"/>
    <col min="2" max="2" width="29" customWidth="1"/>
    <col min="3" max="3" width="4.75" customWidth="1"/>
    <col min="4" max="4" width="21.25" style="42" customWidth="1"/>
    <col min="5" max="5" width="23.75" customWidth="1"/>
    <col min="6" max="6" width="11.375" bestFit="1" customWidth="1"/>
    <col min="7" max="7" width="24.75" customWidth="1"/>
    <col min="8" max="8" width="18.875" bestFit="1" customWidth="1"/>
    <col min="9" max="9" width="15.25" bestFit="1" customWidth="1"/>
    <col min="10" max="10" width="12.75" bestFit="1" customWidth="1"/>
  </cols>
  <sheetData>
    <row r="1" spans="1:10" ht="16.5" thickBot="1">
      <c r="A1" s="377" t="s">
        <v>263</v>
      </c>
      <c r="B1" s="378"/>
      <c r="C1" s="378"/>
      <c r="D1" s="378"/>
      <c r="E1" s="378"/>
      <c r="F1" s="378"/>
      <c r="G1" s="379"/>
    </row>
    <row r="2" spans="1:10" ht="16.5" thickBot="1"/>
    <row r="3" spans="1:10" ht="16.5" thickBot="1">
      <c r="A3" s="249" t="s">
        <v>319</v>
      </c>
      <c r="B3" s="250"/>
      <c r="C3" s="250"/>
      <c r="D3" s="250"/>
      <c r="E3" s="250"/>
      <c r="F3" s="250"/>
      <c r="G3" s="251"/>
    </row>
    <row r="4" spans="1:10" ht="16.899999999999999" customHeight="1" thickBot="1">
      <c r="B4" s="39"/>
      <c r="C4" s="39"/>
      <c r="D4" s="23"/>
      <c r="E4" s="19"/>
    </row>
    <row r="5" spans="1:10" ht="16.5" thickBot="1">
      <c r="A5" s="380" t="s">
        <v>151</v>
      </c>
      <c r="B5" s="381"/>
      <c r="C5" s="381"/>
      <c r="D5" s="381"/>
      <c r="E5" s="381"/>
      <c r="F5" s="382"/>
      <c r="G5" s="43">
        <v>220</v>
      </c>
    </row>
    <row r="6" spans="1:10" ht="19.149999999999999" customHeight="1" thickBot="1">
      <c r="A6" s="380" t="s">
        <v>122</v>
      </c>
      <c r="B6" s="381"/>
      <c r="C6" s="381"/>
      <c r="D6" s="381"/>
      <c r="E6" s="381"/>
      <c r="F6" s="382"/>
      <c r="G6" s="43">
        <v>4000</v>
      </c>
    </row>
    <row r="7" spans="1:10" ht="19.149999999999999" customHeight="1" thickBot="1">
      <c r="H7" s="101"/>
      <c r="I7" s="102"/>
    </row>
    <row r="8" spans="1:10" ht="16.5" thickBot="1">
      <c r="A8" s="366" t="s">
        <v>123</v>
      </c>
      <c r="B8" s="367"/>
      <c r="C8" s="367"/>
      <c r="D8" s="367"/>
      <c r="E8" s="368"/>
      <c r="F8" s="355" t="s">
        <v>124</v>
      </c>
      <c r="G8" s="356"/>
      <c r="H8" s="52"/>
      <c r="I8" s="52"/>
    </row>
    <row r="9" spans="1:10" ht="16.5" thickBot="1">
      <c r="A9" s="44" t="s">
        <v>125</v>
      </c>
      <c r="B9" s="369" t="s">
        <v>126</v>
      </c>
      <c r="C9" s="370"/>
      <c r="D9" s="45" t="s">
        <v>11</v>
      </c>
      <c r="E9" s="103" t="s">
        <v>127</v>
      </c>
      <c r="F9" s="397" t="s">
        <v>485</v>
      </c>
      <c r="G9" s="398"/>
      <c r="H9" s="52"/>
      <c r="I9" s="52"/>
    </row>
    <row r="10" spans="1:10" ht="29.45" customHeight="1" thickBot="1">
      <c r="A10" s="46" t="s">
        <v>128</v>
      </c>
      <c r="B10" s="375" t="s">
        <v>129</v>
      </c>
      <c r="C10" s="376"/>
      <c r="D10" s="47">
        <v>1</v>
      </c>
      <c r="E10" s="104">
        <f>(565980-E42)</f>
        <v>547620.19999999995</v>
      </c>
      <c r="F10" s="399"/>
      <c r="G10" s="400"/>
      <c r="H10" s="52"/>
      <c r="I10" s="52"/>
    </row>
    <row r="11" spans="1:10" s="52" customFormat="1" ht="21.6" customHeight="1" thickBot="1">
      <c r="A11" s="389" t="s">
        <v>60</v>
      </c>
      <c r="B11" s="390"/>
      <c r="C11" s="390"/>
      <c r="D11" s="391"/>
      <c r="E11" s="105">
        <f>SUM(E10:E10)</f>
        <v>547620.19999999995</v>
      </c>
      <c r="F11" s="401"/>
      <c r="G11" s="402"/>
    </row>
    <row r="12" spans="1:10" ht="15.6" customHeight="1" thickBot="1">
      <c r="H12" s="52"/>
      <c r="I12" s="52"/>
    </row>
    <row r="13" spans="1:10" ht="16.5" thickBot="1">
      <c r="A13" s="366" t="s">
        <v>190</v>
      </c>
      <c r="B13" s="367"/>
      <c r="C13" s="367"/>
      <c r="D13" s="367"/>
      <c r="E13" s="368"/>
      <c r="F13" s="355" t="s">
        <v>264</v>
      </c>
      <c r="G13" s="356"/>
    </row>
    <row r="14" spans="1:10" ht="16.5" customHeight="1" thickBot="1">
      <c r="A14" s="44" t="s">
        <v>125</v>
      </c>
      <c r="B14" s="369" t="s">
        <v>126</v>
      </c>
      <c r="C14" s="370"/>
      <c r="D14" s="48" t="s">
        <v>306</v>
      </c>
      <c r="E14" s="106" t="s">
        <v>307</v>
      </c>
      <c r="F14" s="397" t="s">
        <v>377</v>
      </c>
      <c r="G14" s="398"/>
      <c r="I14" s="148"/>
    </row>
    <row r="15" spans="1:10" ht="39.6" customHeight="1" thickBot="1">
      <c r="A15" s="54" t="s">
        <v>88</v>
      </c>
      <c r="B15" s="371" t="s">
        <v>308</v>
      </c>
      <c r="C15" s="372"/>
      <c r="D15" s="150">
        <v>8.3000000000000001E-3</v>
      </c>
      <c r="E15" s="127">
        <f>(D15/G5)*E11</f>
        <v>20.660216636363632</v>
      </c>
      <c r="F15" s="399"/>
      <c r="G15" s="400"/>
      <c r="H15" s="136"/>
      <c r="I15" s="107"/>
      <c r="J15" s="107"/>
    </row>
    <row r="16" spans="1:10" ht="16.5" thickBot="1">
      <c r="A16" s="44" t="s">
        <v>125</v>
      </c>
      <c r="B16" s="369" t="s">
        <v>126</v>
      </c>
      <c r="C16" s="370"/>
      <c r="D16" s="48" t="s">
        <v>152</v>
      </c>
      <c r="E16" s="106" t="s">
        <v>266</v>
      </c>
      <c r="F16" s="399"/>
      <c r="G16" s="400"/>
      <c r="I16" s="107"/>
    </row>
    <row r="17" spans="1:11" ht="42" customHeight="1" thickBot="1">
      <c r="A17" s="54" t="s">
        <v>89</v>
      </c>
      <c r="B17" s="371" t="s">
        <v>153</v>
      </c>
      <c r="C17" s="372"/>
      <c r="D17" s="124">
        <f>E17*12</f>
        <v>54542.971919999989</v>
      </c>
      <c r="E17" s="108">
        <f>E15*G5</f>
        <v>4545.2476599999991</v>
      </c>
      <c r="F17" s="399"/>
      <c r="G17" s="400"/>
      <c r="I17" s="107"/>
    </row>
    <row r="18" spans="1:11" ht="17.45" customHeight="1" thickBot="1">
      <c r="A18" s="389" t="s">
        <v>60</v>
      </c>
      <c r="B18" s="390"/>
      <c r="C18" s="390"/>
      <c r="D18" s="391"/>
      <c r="E18" s="105">
        <f>E17</f>
        <v>4545.2476599999991</v>
      </c>
      <c r="F18" s="401"/>
      <c r="G18" s="402"/>
      <c r="I18" s="107"/>
    </row>
    <row r="19" spans="1:11" ht="16.5" thickBot="1">
      <c r="F19" s="413"/>
      <c r="G19" s="413"/>
      <c r="I19" s="107"/>
    </row>
    <row r="20" spans="1:11" ht="16.5" thickBot="1">
      <c r="A20" s="366" t="s">
        <v>175</v>
      </c>
      <c r="B20" s="367"/>
      <c r="C20" s="367"/>
      <c r="D20" s="367"/>
      <c r="E20" s="368"/>
      <c r="F20" s="393" t="s">
        <v>264</v>
      </c>
      <c r="G20" s="394"/>
      <c r="I20" s="109"/>
    </row>
    <row r="21" spans="1:11" ht="16.149999999999999" customHeight="1" thickBot="1">
      <c r="A21" s="44" t="s">
        <v>125</v>
      </c>
      <c r="B21" s="369" t="s">
        <v>126</v>
      </c>
      <c r="C21" s="370"/>
      <c r="D21" s="45" t="s">
        <v>154</v>
      </c>
      <c r="E21" s="110" t="s">
        <v>329</v>
      </c>
      <c r="F21" s="397" t="s">
        <v>379</v>
      </c>
      <c r="G21" s="398"/>
    </row>
    <row r="22" spans="1:11" ht="16.5" thickBot="1">
      <c r="A22" s="46" t="s">
        <v>131</v>
      </c>
      <c r="B22" s="375" t="s">
        <v>309</v>
      </c>
      <c r="C22" s="376"/>
      <c r="D22" s="49">
        <v>3.5</v>
      </c>
      <c r="E22" s="49">
        <f>G6/D22</f>
        <v>1142.8571428571429</v>
      </c>
      <c r="F22" s="399"/>
      <c r="G22" s="400"/>
    </row>
    <row r="23" spans="1:11" ht="16.5" thickBot="1">
      <c r="A23" s="44" t="s">
        <v>125</v>
      </c>
      <c r="B23" s="369" t="s">
        <v>126</v>
      </c>
      <c r="C23" s="370"/>
      <c r="D23" s="45" t="s">
        <v>155</v>
      </c>
      <c r="E23" s="110" t="s">
        <v>145</v>
      </c>
      <c r="F23" s="399"/>
      <c r="G23" s="400"/>
    </row>
    <row r="24" spans="1:11" ht="16.5" thickBot="1">
      <c r="A24" s="46" t="s">
        <v>176</v>
      </c>
      <c r="B24" s="375" t="s">
        <v>156</v>
      </c>
      <c r="C24" s="376"/>
      <c r="D24" s="234">
        <v>6.01</v>
      </c>
      <c r="E24" s="104">
        <f>E22*D24</f>
        <v>6868.5714285714284</v>
      </c>
      <c r="F24" s="399"/>
      <c r="G24" s="400"/>
      <c r="I24" s="69"/>
    </row>
    <row r="25" spans="1:11" ht="16.5" thickBot="1">
      <c r="A25" s="389" t="s">
        <v>60</v>
      </c>
      <c r="B25" s="390"/>
      <c r="C25" s="390"/>
      <c r="D25" s="391"/>
      <c r="E25" s="111">
        <f>E24</f>
        <v>6868.5714285714284</v>
      </c>
      <c r="F25" s="401"/>
      <c r="G25" s="402"/>
      <c r="I25" s="112"/>
    </row>
    <row r="26" spans="1:11" ht="16.5" thickBot="1"/>
    <row r="27" spans="1:11" ht="16.5" thickBot="1">
      <c r="A27" s="366" t="s">
        <v>185</v>
      </c>
      <c r="B27" s="367"/>
      <c r="C27" s="367"/>
      <c r="D27" s="367"/>
      <c r="E27" s="368"/>
      <c r="F27" s="393" t="s">
        <v>264</v>
      </c>
      <c r="G27" s="394"/>
    </row>
    <row r="28" spans="1:11" ht="16.149999999999999" customHeight="1" thickBot="1">
      <c r="A28" s="44" t="s">
        <v>125</v>
      </c>
      <c r="B28" s="369" t="s">
        <v>126</v>
      </c>
      <c r="C28" s="370"/>
      <c r="D28" s="45" t="s">
        <v>11</v>
      </c>
      <c r="E28" s="110" t="s">
        <v>145</v>
      </c>
      <c r="F28" s="383" t="s">
        <v>267</v>
      </c>
      <c r="G28" s="384"/>
    </row>
    <row r="29" spans="1:11" ht="52.9" customHeight="1" thickBot="1">
      <c r="A29" s="54" t="s">
        <v>103</v>
      </c>
      <c r="B29" s="395" t="s">
        <v>268</v>
      </c>
      <c r="C29" s="396"/>
      <c r="D29" s="70">
        <v>0.1</v>
      </c>
      <c r="E29" s="113">
        <f>D29*E25</f>
        <v>686.85714285714289</v>
      </c>
      <c r="F29" s="385"/>
      <c r="G29" s="386"/>
    </row>
    <row r="30" spans="1:11" ht="19.899999999999999" customHeight="1" thickBot="1">
      <c r="A30" s="389" t="s">
        <v>60</v>
      </c>
      <c r="B30" s="390"/>
      <c r="C30" s="390"/>
      <c r="D30" s="391"/>
      <c r="E30" s="111">
        <f>E29</f>
        <v>686.85714285714289</v>
      </c>
      <c r="F30" s="387"/>
      <c r="G30" s="388"/>
      <c r="H30" s="69"/>
      <c r="K30" s="69"/>
    </row>
    <row r="31" spans="1:11" ht="16.5" thickBot="1"/>
    <row r="32" spans="1:11" ht="16.5" thickBot="1">
      <c r="A32" s="366" t="s">
        <v>177</v>
      </c>
      <c r="B32" s="367"/>
      <c r="C32" s="367"/>
      <c r="D32" s="367"/>
      <c r="E32" s="368"/>
      <c r="F32" s="393" t="s">
        <v>264</v>
      </c>
      <c r="G32" s="394"/>
    </row>
    <row r="33" spans="1:7" ht="16.149999999999999" customHeight="1" thickBot="1">
      <c r="A33" s="44" t="s">
        <v>125</v>
      </c>
      <c r="B33" s="369" t="s">
        <v>126</v>
      </c>
      <c r="C33" s="370"/>
      <c r="D33" s="45" t="s">
        <v>134</v>
      </c>
      <c r="E33" s="110" t="s">
        <v>266</v>
      </c>
      <c r="F33" s="383" t="s">
        <v>269</v>
      </c>
      <c r="G33" s="384"/>
    </row>
    <row r="34" spans="1:7" ht="16.5" thickBot="1">
      <c r="A34" s="46" t="s">
        <v>133</v>
      </c>
      <c r="B34" s="375" t="s">
        <v>136</v>
      </c>
      <c r="C34" s="376"/>
      <c r="D34" s="47">
        <v>0.01</v>
      </c>
      <c r="E34" s="114">
        <f>(D34*E10)/12</f>
        <v>456.35016666666661</v>
      </c>
      <c r="F34" s="385"/>
      <c r="G34" s="386"/>
    </row>
    <row r="35" spans="1:7" ht="16.5" thickBot="1">
      <c r="A35" s="46" t="s">
        <v>178</v>
      </c>
      <c r="B35" s="375" t="s">
        <v>138</v>
      </c>
      <c r="C35" s="376"/>
      <c r="D35" s="113"/>
      <c r="E35" s="114">
        <f>D35/12</f>
        <v>0</v>
      </c>
      <c r="F35" s="385"/>
      <c r="G35" s="386"/>
    </row>
    <row r="36" spans="1:7" ht="16.149999999999999" customHeight="1" thickBot="1">
      <c r="A36" s="389" t="s">
        <v>60</v>
      </c>
      <c r="B36" s="390"/>
      <c r="C36" s="390"/>
      <c r="D36" s="391"/>
      <c r="E36" s="115">
        <f>SUM(E34:E35)</f>
        <v>456.35016666666661</v>
      </c>
      <c r="F36" s="387"/>
      <c r="G36" s="388"/>
    </row>
    <row r="37" spans="1:7" ht="16.5" thickBot="1"/>
    <row r="38" spans="1:7" ht="16.5" thickBot="1">
      <c r="A38" s="366" t="s">
        <v>179</v>
      </c>
      <c r="B38" s="367"/>
      <c r="C38" s="367"/>
      <c r="D38" s="367"/>
      <c r="E38" s="368"/>
      <c r="F38" s="393" t="s">
        <v>264</v>
      </c>
      <c r="G38" s="394"/>
    </row>
    <row r="39" spans="1:7" ht="16.5" thickBot="1">
      <c r="A39" s="44" t="s">
        <v>125</v>
      </c>
      <c r="B39" s="369" t="s">
        <v>126</v>
      </c>
      <c r="C39" s="370"/>
      <c r="D39" s="411" t="s">
        <v>157</v>
      </c>
      <c r="E39" s="412"/>
      <c r="F39" s="357" t="s">
        <v>380</v>
      </c>
      <c r="G39" s="358"/>
    </row>
    <row r="40" spans="1:7" ht="16.5" thickBot="1">
      <c r="A40" s="46" t="s">
        <v>180</v>
      </c>
      <c r="B40" s="375" t="s">
        <v>270</v>
      </c>
      <c r="C40" s="376"/>
      <c r="D40" s="409">
        <v>2</v>
      </c>
      <c r="E40" s="410"/>
      <c r="F40" s="359"/>
      <c r="G40" s="360"/>
    </row>
    <row r="41" spans="1:7" ht="16.5" thickBot="1">
      <c r="A41" s="44" t="s">
        <v>125</v>
      </c>
      <c r="B41" s="369" t="s">
        <v>126</v>
      </c>
      <c r="C41" s="370"/>
      <c r="D41" s="45" t="s">
        <v>140</v>
      </c>
      <c r="E41" s="110" t="s">
        <v>158</v>
      </c>
      <c r="F41" s="359"/>
      <c r="G41" s="360"/>
    </row>
    <row r="42" spans="1:7" ht="16.899999999999999" customHeight="1" thickBot="1">
      <c r="A42" s="46" t="s">
        <v>181</v>
      </c>
      <c r="B42" s="375" t="s">
        <v>376</v>
      </c>
      <c r="C42" s="376"/>
      <c r="D42" s="131">
        <v>1835.98</v>
      </c>
      <c r="E42" s="132">
        <f>D42*10</f>
        <v>18359.8</v>
      </c>
      <c r="F42" s="359"/>
      <c r="G42" s="360"/>
    </row>
    <row r="43" spans="1:7" ht="16.5" thickBot="1">
      <c r="A43" s="44" t="s">
        <v>125</v>
      </c>
      <c r="B43" s="369" t="s">
        <v>126</v>
      </c>
      <c r="C43" s="370"/>
      <c r="D43" s="45" t="s">
        <v>142</v>
      </c>
      <c r="E43" s="110" t="s">
        <v>159</v>
      </c>
      <c r="F43" s="359"/>
      <c r="G43" s="360"/>
    </row>
    <row r="44" spans="1:7" ht="16.5" thickBot="1">
      <c r="A44" s="46">
        <v>6.3</v>
      </c>
      <c r="B44" s="375" t="s">
        <v>143</v>
      </c>
      <c r="C44" s="376"/>
      <c r="D44" s="113">
        <f>(E42*D40)</f>
        <v>36719.599999999999</v>
      </c>
      <c r="E44" s="104">
        <f>D44/12</f>
        <v>3059.9666666666667</v>
      </c>
      <c r="F44" s="359"/>
      <c r="G44" s="360"/>
    </row>
    <row r="45" spans="1:7" ht="16.5" thickBot="1">
      <c r="A45" s="389" t="s">
        <v>60</v>
      </c>
      <c r="B45" s="390"/>
      <c r="C45" s="390"/>
      <c r="D45" s="391"/>
      <c r="E45" s="115">
        <f>E44</f>
        <v>3059.9666666666667</v>
      </c>
      <c r="F45" s="361"/>
      <c r="G45" s="362"/>
    </row>
    <row r="46" spans="1:7" ht="16.5" thickBot="1"/>
    <row r="47" spans="1:7" ht="16.5" thickBot="1">
      <c r="A47" s="366" t="s">
        <v>271</v>
      </c>
      <c r="B47" s="367"/>
      <c r="C47" s="367"/>
      <c r="D47" s="367"/>
      <c r="E47" s="368"/>
      <c r="F47" s="355" t="s">
        <v>264</v>
      </c>
      <c r="G47" s="356"/>
    </row>
    <row r="48" spans="1:7" ht="16.5" thickBot="1">
      <c r="A48" s="44" t="s">
        <v>125</v>
      </c>
      <c r="B48" s="369" t="s">
        <v>126</v>
      </c>
      <c r="C48" s="370"/>
      <c r="D48" s="45" t="s">
        <v>11</v>
      </c>
      <c r="E48" s="116" t="s">
        <v>272</v>
      </c>
      <c r="F48" s="357" t="s">
        <v>337</v>
      </c>
      <c r="G48" s="358"/>
    </row>
    <row r="49" spans="1:8" ht="16.5" thickBot="1">
      <c r="A49" s="46" t="s">
        <v>135</v>
      </c>
      <c r="B49" s="375" t="s">
        <v>273</v>
      </c>
      <c r="C49" s="376"/>
      <c r="D49" s="117">
        <v>0.9</v>
      </c>
      <c r="E49" s="118">
        <v>15</v>
      </c>
      <c r="F49" s="359"/>
      <c r="G49" s="360"/>
    </row>
    <row r="50" spans="1:8" s="52" customFormat="1" ht="16.5" thickBot="1">
      <c r="A50" s="50" t="s">
        <v>125</v>
      </c>
      <c r="B50" s="373" t="s">
        <v>126</v>
      </c>
      <c r="C50" s="374"/>
      <c r="D50" s="45" t="s">
        <v>11</v>
      </c>
      <c r="E50" s="119" t="s">
        <v>274</v>
      </c>
      <c r="F50" s="359"/>
      <c r="G50" s="360"/>
    </row>
    <row r="51" spans="1:8" ht="16.5" thickBot="1">
      <c r="A51" s="46" t="s">
        <v>137</v>
      </c>
      <c r="B51" s="375" t="s">
        <v>275</v>
      </c>
      <c r="C51" s="376"/>
      <c r="D51" s="117">
        <v>0.1</v>
      </c>
      <c r="E51" s="114">
        <f>E10*D51</f>
        <v>54762.02</v>
      </c>
      <c r="F51" s="359"/>
      <c r="G51" s="360"/>
    </row>
    <row r="52" spans="1:8" s="52" customFormat="1" ht="16.5" thickBot="1">
      <c r="A52" s="50" t="s">
        <v>125</v>
      </c>
      <c r="B52" s="373" t="s">
        <v>126</v>
      </c>
      <c r="C52" s="374"/>
      <c r="D52" s="51" t="s">
        <v>276</v>
      </c>
      <c r="E52" s="119" t="s">
        <v>266</v>
      </c>
      <c r="F52" s="359"/>
      <c r="G52" s="360"/>
    </row>
    <row r="53" spans="1:8" ht="16.5" thickBot="1">
      <c r="A53" s="46" t="s">
        <v>182</v>
      </c>
      <c r="B53" s="375" t="s">
        <v>144</v>
      </c>
      <c r="C53" s="376"/>
      <c r="D53" s="113">
        <f>E10*D49</f>
        <v>492858.18</v>
      </c>
      <c r="E53" s="114">
        <f>D53/180</f>
        <v>2738.1010000000001</v>
      </c>
      <c r="F53" s="359"/>
      <c r="G53" s="360"/>
    </row>
    <row r="54" spans="1:8" ht="16.5" thickBot="1">
      <c r="A54" s="389" t="s">
        <v>60</v>
      </c>
      <c r="B54" s="390"/>
      <c r="C54" s="390"/>
      <c r="D54" s="391"/>
      <c r="E54" s="120">
        <f>E53</f>
        <v>2738.1010000000001</v>
      </c>
      <c r="F54" s="361"/>
      <c r="G54" s="362"/>
      <c r="H54" s="107"/>
    </row>
    <row r="55" spans="1:8" ht="16.5" thickBot="1"/>
    <row r="56" spans="1:8" ht="16.5" thickBot="1">
      <c r="A56" s="366" t="s">
        <v>277</v>
      </c>
      <c r="B56" s="367"/>
      <c r="C56" s="367"/>
      <c r="D56" s="367"/>
      <c r="E56" s="368"/>
      <c r="F56" s="355" t="s">
        <v>264</v>
      </c>
      <c r="G56" s="356"/>
    </row>
    <row r="57" spans="1:8" ht="16.5" thickBot="1">
      <c r="A57" s="44" t="s">
        <v>125</v>
      </c>
      <c r="B57" s="369" t="s">
        <v>126</v>
      </c>
      <c r="C57" s="370"/>
      <c r="D57" s="45" t="s">
        <v>124</v>
      </c>
      <c r="E57" s="116" t="s">
        <v>278</v>
      </c>
      <c r="F57" s="357" t="s">
        <v>279</v>
      </c>
      <c r="G57" s="358"/>
    </row>
    <row r="58" spans="1:8" ht="16.5" thickBot="1">
      <c r="A58" s="54" t="s">
        <v>139</v>
      </c>
      <c r="B58" s="371" t="s">
        <v>280</v>
      </c>
      <c r="C58" s="372"/>
      <c r="D58" s="113" t="s">
        <v>160</v>
      </c>
      <c r="E58" s="153">
        <v>0.13469999999999999</v>
      </c>
      <c r="F58" s="359"/>
      <c r="G58" s="360"/>
    </row>
    <row r="59" spans="1:8" ht="32.25" thickBot="1">
      <c r="A59" s="50" t="s">
        <v>125</v>
      </c>
      <c r="B59" s="373" t="s">
        <v>126</v>
      </c>
      <c r="C59" s="374"/>
      <c r="D59" s="51" t="s">
        <v>281</v>
      </c>
      <c r="E59" s="119" t="s">
        <v>282</v>
      </c>
      <c r="F59" s="359"/>
      <c r="G59" s="360"/>
    </row>
    <row r="60" spans="1:8" ht="69" customHeight="1" thickBot="1">
      <c r="A60" s="54" t="s">
        <v>141</v>
      </c>
      <c r="B60" s="371" t="s">
        <v>283</v>
      </c>
      <c r="C60" s="372"/>
      <c r="D60" s="113">
        <f>D53*((E49+1)/(2*E49))+E51</f>
        <v>317619.71600000001</v>
      </c>
      <c r="E60" s="108">
        <f>(D60*E58)/12</f>
        <v>3565.2813120999999</v>
      </c>
      <c r="F60" s="359"/>
      <c r="G60" s="360"/>
    </row>
    <row r="61" spans="1:8" s="52" customFormat="1" ht="21" customHeight="1" thickBot="1">
      <c r="A61" s="363" t="s">
        <v>60</v>
      </c>
      <c r="B61" s="364"/>
      <c r="C61" s="364"/>
      <c r="D61" s="365"/>
      <c r="E61" s="141">
        <f>E60</f>
        <v>3565.2813120999999</v>
      </c>
      <c r="F61" s="361"/>
      <c r="G61" s="362"/>
    </row>
    <row r="62" spans="1:8" s="52" customFormat="1" ht="16.5" thickBot="1">
      <c r="A62" s="42"/>
      <c r="B62"/>
      <c r="C62"/>
      <c r="D62" s="42"/>
      <c r="E62"/>
      <c r="F62" s="121"/>
      <c r="G62" s="121"/>
    </row>
    <row r="63" spans="1:8" ht="16.5" thickBot="1">
      <c r="A63" s="366" t="s">
        <v>284</v>
      </c>
      <c r="B63" s="367"/>
      <c r="C63" s="367"/>
      <c r="D63" s="367"/>
      <c r="E63" s="368"/>
    </row>
    <row r="64" spans="1:8" s="52" customFormat="1" ht="16.5" thickBot="1">
      <c r="A64" s="44" t="s">
        <v>125</v>
      </c>
      <c r="B64" s="369" t="s">
        <v>126</v>
      </c>
      <c r="C64" s="370"/>
      <c r="D64" s="45" t="s">
        <v>132</v>
      </c>
      <c r="E64" s="110" t="s">
        <v>161</v>
      </c>
    </row>
    <row r="65" spans="1:6" ht="16.5" thickBot="1">
      <c r="A65" s="46" t="s">
        <v>285</v>
      </c>
      <c r="B65" s="375" t="s">
        <v>146</v>
      </c>
      <c r="C65" s="376"/>
      <c r="D65" s="113">
        <f>E65/$G$6</f>
        <v>1.1363119149999998</v>
      </c>
      <c r="E65" s="53">
        <f>E17</f>
        <v>4545.2476599999991</v>
      </c>
    </row>
    <row r="66" spans="1:6" ht="16.5" thickBot="1">
      <c r="A66" s="46" t="s">
        <v>286</v>
      </c>
      <c r="B66" s="375" t="s">
        <v>147</v>
      </c>
      <c r="C66" s="376"/>
      <c r="D66" s="113">
        <f t="shared" ref="D66:D71" si="0">E66/$G$6</f>
        <v>1.7171428571428571</v>
      </c>
      <c r="E66" s="53">
        <f>E25</f>
        <v>6868.5714285714284</v>
      </c>
    </row>
    <row r="67" spans="1:6" ht="16.5" thickBot="1">
      <c r="A67" s="46" t="s">
        <v>287</v>
      </c>
      <c r="B67" s="375" t="s">
        <v>148</v>
      </c>
      <c r="C67" s="376"/>
      <c r="D67" s="113">
        <f t="shared" si="0"/>
        <v>0.17171428571428574</v>
      </c>
      <c r="E67" s="53">
        <f>E30</f>
        <v>686.85714285714289</v>
      </c>
    </row>
    <row r="68" spans="1:6" ht="16.5" thickBot="1">
      <c r="A68" s="46" t="s">
        <v>288</v>
      </c>
      <c r="B68" s="375" t="s">
        <v>149</v>
      </c>
      <c r="C68" s="376"/>
      <c r="D68" s="113">
        <f t="shared" si="0"/>
        <v>0.11408754166666665</v>
      </c>
      <c r="E68" s="53">
        <f>E36</f>
        <v>456.35016666666661</v>
      </c>
    </row>
    <row r="69" spans="1:6" ht="16.5" thickBot="1">
      <c r="A69" s="46" t="s">
        <v>289</v>
      </c>
      <c r="B69" s="375" t="s">
        <v>150</v>
      </c>
      <c r="C69" s="376"/>
      <c r="D69" s="113">
        <f t="shared" si="0"/>
        <v>0.76499166666666663</v>
      </c>
      <c r="E69" s="53">
        <f>E45</f>
        <v>3059.9666666666667</v>
      </c>
    </row>
    <row r="70" spans="1:6" ht="16.5" thickBot="1">
      <c r="A70" s="46" t="s">
        <v>290</v>
      </c>
      <c r="B70" s="375" t="s">
        <v>144</v>
      </c>
      <c r="C70" s="376"/>
      <c r="D70" s="113">
        <f t="shared" si="0"/>
        <v>0.68452524999999997</v>
      </c>
      <c r="E70" s="53">
        <f>E54</f>
        <v>2738.1010000000001</v>
      </c>
    </row>
    <row r="71" spans="1:6" ht="16.5" thickBot="1">
      <c r="A71" s="46" t="s">
        <v>291</v>
      </c>
      <c r="B71" s="375" t="s">
        <v>283</v>
      </c>
      <c r="C71" s="376"/>
      <c r="D71" s="113">
        <f t="shared" si="0"/>
        <v>0.89132032802499994</v>
      </c>
      <c r="E71" s="53">
        <f>E61</f>
        <v>3565.2813120999999</v>
      </c>
    </row>
    <row r="72" spans="1:6" ht="16.5" thickBot="1">
      <c r="A72" s="389" t="s">
        <v>60</v>
      </c>
      <c r="B72" s="390"/>
      <c r="C72" s="390"/>
      <c r="D72" s="391"/>
      <c r="E72" s="60">
        <f>SUM(E65:E71)</f>
        <v>21920.375376861906</v>
      </c>
    </row>
    <row r="74" spans="1:6">
      <c r="A74" s="354"/>
      <c r="B74" s="354"/>
      <c r="C74" s="354"/>
      <c r="D74" s="354"/>
      <c r="E74" s="354"/>
    </row>
    <row r="77" spans="1:6">
      <c r="F77" s="122"/>
    </row>
    <row r="78" spans="1:6">
      <c r="F78" s="123"/>
    </row>
  </sheetData>
  <mergeCells count="81">
    <mergeCell ref="A1:G1"/>
    <mergeCell ref="B69:C69"/>
    <mergeCell ref="B68:C68"/>
    <mergeCell ref="B64:C64"/>
    <mergeCell ref="B53:C53"/>
    <mergeCell ref="B52:C52"/>
    <mergeCell ref="B48:C48"/>
    <mergeCell ref="B43:C43"/>
    <mergeCell ref="B42:C42"/>
    <mergeCell ref="A47:E47"/>
    <mergeCell ref="F47:G47"/>
    <mergeCell ref="F48:G54"/>
    <mergeCell ref="B49:C49"/>
    <mergeCell ref="B50:C50"/>
    <mergeCell ref="B51:C51"/>
    <mergeCell ref="A54:D54"/>
    <mergeCell ref="F19:G19"/>
    <mergeCell ref="B24:C24"/>
    <mergeCell ref="A27:E27"/>
    <mergeCell ref="F27:G27"/>
    <mergeCell ref="B44:C44"/>
    <mergeCell ref="B28:C28"/>
    <mergeCell ref="F28:G30"/>
    <mergeCell ref="B29:C29"/>
    <mergeCell ref="A20:E20"/>
    <mergeCell ref="F20:G20"/>
    <mergeCell ref="B21:C21"/>
    <mergeCell ref="F21:G25"/>
    <mergeCell ref="B22:C22"/>
    <mergeCell ref="B23:C23"/>
    <mergeCell ref="A25:D25"/>
    <mergeCell ref="A30:D30"/>
    <mergeCell ref="A3:G3"/>
    <mergeCell ref="A5:F5"/>
    <mergeCell ref="A8:E8"/>
    <mergeCell ref="F8:G8"/>
    <mergeCell ref="B9:C9"/>
    <mergeCell ref="F9:G11"/>
    <mergeCell ref="A11:D11"/>
    <mergeCell ref="A6:F6"/>
    <mergeCell ref="B10:C10"/>
    <mergeCell ref="A32:E32"/>
    <mergeCell ref="F32:G32"/>
    <mergeCell ref="B33:C33"/>
    <mergeCell ref="F33:G36"/>
    <mergeCell ref="B34:C34"/>
    <mergeCell ref="B35:C35"/>
    <mergeCell ref="A36:D36"/>
    <mergeCell ref="A38:E38"/>
    <mergeCell ref="F38:G38"/>
    <mergeCell ref="B39:C39"/>
    <mergeCell ref="D39:E39"/>
    <mergeCell ref="F39:G45"/>
    <mergeCell ref="B40:C40"/>
    <mergeCell ref="D40:E40"/>
    <mergeCell ref="B41:C41"/>
    <mergeCell ref="A45:D45"/>
    <mergeCell ref="B71:C71"/>
    <mergeCell ref="A72:D72"/>
    <mergeCell ref="A74:E74"/>
    <mergeCell ref="F56:G56"/>
    <mergeCell ref="F57:G61"/>
    <mergeCell ref="B60:C60"/>
    <mergeCell ref="A61:D61"/>
    <mergeCell ref="A63:E63"/>
    <mergeCell ref="B66:C66"/>
    <mergeCell ref="B67:C67"/>
    <mergeCell ref="B65:C65"/>
    <mergeCell ref="B59:C59"/>
    <mergeCell ref="B58:C58"/>
    <mergeCell ref="B57:C57"/>
    <mergeCell ref="A56:E56"/>
    <mergeCell ref="B70:C70"/>
    <mergeCell ref="A13:E13"/>
    <mergeCell ref="F13:G13"/>
    <mergeCell ref="B14:C14"/>
    <mergeCell ref="F14:G18"/>
    <mergeCell ref="B15:C15"/>
    <mergeCell ref="B16:C16"/>
    <mergeCell ref="B17:C17"/>
    <mergeCell ref="A18:D18"/>
  </mergeCells>
  <phoneticPr fontId="14" type="noConversion"/>
  <pageMargins left="0.70866141732283472" right="0.70866141732283472" top="0.55118110236220474" bottom="0.59055118110236227" header="0.31496062992125984" footer="0.31496062992125984"/>
  <pageSetup paperSize="9" scale="72" orientation="landscape" r:id="rId1"/>
  <colBreaks count="1" manualBreakCount="1">
    <brk id="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-0.249977111117893"/>
  </sheetPr>
  <dimension ref="A1:K81"/>
  <sheetViews>
    <sheetView showGridLines="0" topLeftCell="A15" zoomScaleNormal="100" workbookViewId="0">
      <selection activeCell="A26" sqref="A26:D26"/>
    </sheetView>
  </sheetViews>
  <sheetFormatPr defaultRowHeight="15.75"/>
  <cols>
    <col min="2" max="3" width="19.625" customWidth="1"/>
    <col min="4" max="4" width="17.5" customWidth="1"/>
    <col min="5" max="5" width="29.25" customWidth="1"/>
    <col min="6" max="6" width="14.5" customWidth="1"/>
    <col min="7" max="7" width="23.125" customWidth="1"/>
  </cols>
  <sheetData>
    <row r="1" spans="1:10" ht="16.5" thickBot="1">
      <c r="A1" s="377" t="s">
        <v>263</v>
      </c>
      <c r="B1" s="378"/>
      <c r="C1" s="378"/>
      <c r="D1" s="378"/>
      <c r="E1" s="378"/>
      <c r="F1" s="378"/>
      <c r="G1" s="379"/>
    </row>
    <row r="2" spans="1:10" ht="16.5" thickBot="1"/>
    <row r="3" spans="1:10" ht="16.5" thickBot="1">
      <c r="A3" s="249" t="s">
        <v>461</v>
      </c>
      <c r="B3" s="250"/>
      <c r="C3" s="250"/>
      <c r="D3" s="250"/>
      <c r="E3" s="250"/>
      <c r="F3" s="250"/>
      <c r="G3" s="251"/>
    </row>
    <row r="4" spans="1:10" ht="16.5" thickBot="1">
      <c r="B4" s="39"/>
      <c r="C4" s="39"/>
      <c r="D4" s="23"/>
      <c r="E4" s="19"/>
    </row>
    <row r="5" spans="1:10" ht="16.5" thickBot="1">
      <c r="A5" s="380" t="s">
        <v>151</v>
      </c>
      <c r="B5" s="381"/>
      <c r="C5" s="381"/>
      <c r="D5" s="381"/>
      <c r="E5" s="381"/>
      <c r="F5" s="382"/>
      <c r="G5" s="43">
        <v>220</v>
      </c>
    </row>
    <row r="6" spans="1:10" ht="16.5" thickBot="1">
      <c r="A6" s="380" t="s">
        <v>122</v>
      </c>
      <c r="B6" s="381"/>
      <c r="C6" s="381"/>
      <c r="D6" s="381"/>
      <c r="E6" s="381"/>
      <c r="F6" s="382"/>
      <c r="G6" s="43">
        <v>4000</v>
      </c>
    </row>
    <row r="7" spans="1:10" ht="16.5" thickBot="1">
      <c r="H7" s="101"/>
      <c r="I7" s="102"/>
    </row>
    <row r="8" spans="1:10" ht="16.5" thickBot="1">
      <c r="A8" s="416" t="s">
        <v>433</v>
      </c>
      <c r="B8" s="417"/>
      <c r="C8" s="417"/>
      <c r="D8" s="417"/>
      <c r="E8" s="418"/>
      <c r="F8" s="419" t="s">
        <v>264</v>
      </c>
      <c r="G8" s="420"/>
      <c r="H8" s="102"/>
    </row>
    <row r="9" spans="1:10" ht="16.5" thickBot="1">
      <c r="A9" s="44" t="s">
        <v>125</v>
      </c>
      <c r="B9" s="369" t="s">
        <v>126</v>
      </c>
      <c r="C9" s="370"/>
      <c r="D9" s="45" t="s">
        <v>11</v>
      </c>
      <c r="E9" s="191" t="s">
        <v>434</v>
      </c>
      <c r="F9" s="383" t="s">
        <v>462</v>
      </c>
      <c r="G9" s="384"/>
      <c r="H9" s="52"/>
      <c r="I9" s="52"/>
    </row>
    <row r="10" spans="1:10" ht="16.5" thickBot="1">
      <c r="A10" s="54" t="s">
        <v>128</v>
      </c>
      <c r="B10" s="371" t="s">
        <v>435</v>
      </c>
      <c r="C10" s="372"/>
      <c r="D10" s="70">
        <v>1</v>
      </c>
      <c r="E10" s="237">
        <f>616229.5-E43</f>
        <v>605213.62</v>
      </c>
      <c r="F10" s="385"/>
      <c r="G10" s="386"/>
      <c r="H10" s="52"/>
      <c r="I10" s="52"/>
    </row>
    <row r="11" spans="1:10" ht="16.5" thickBot="1">
      <c r="A11" s="54"/>
      <c r="B11" s="371"/>
      <c r="C11" s="372"/>
      <c r="D11" s="70"/>
      <c r="E11" s="203"/>
      <c r="F11" s="385"/>
      <c r="G11" s="386"/>
      <c r="H11" s="52"/>
      <c r="I11" s="52"/>
      <c r="J11" s="52"/>
    </row>
    <row r="12" spans="1:10" ht="16.5" thickBot="1">
      <c r="A12" s="389" t="s">
        <v>60</v>
      </c>
      <c r="B12" s="390"/>
      <c r="C12" s="390"/>
      <c r="D12" s="391"/>
      <c r="E12" s="195">
        <f>SUM(E10:E11)</f>
        <v>605213.62</v>
      </c>
      <c r="F12" s="387"/>
      <c r="G12" s="388"/>
      <c r="H12" s="52"/>
      <c r="I12" s="52"/>
      <c r="J12" s="52"/>
    </row>
    <row r="13" spans="1:10" ht="16.5" thickBot="1">
      <c r="H13" s="52"/>
      <c r="I13" s="52"/>
    </row>
    <row r="14" spans="1:10" ht="16.5" thickBot="1">
      <c r="A14" s="366" t="s">
        <v>190</v>
      </c>
      <c r="B14" s="367"/>
      <c r="C14" s="367"/>
      <c r="D14" s="367"/>
      <c r="E14" s="368"/>
      <c r="F14" s="414" t="s">
        <v>264</v>
      </c>
      <c r="G14" s="415"/>
    </row>
    <row r="15" spans="1:10" ht="16.5" thickBot="1">
      <c r="A15" s="44" t="s">
        <v>125</v>
      </c>
      <c r="B15" s="369" t="s">
        <v>126</v>
      </c>
      <c r="C15" s="370"/>
      <c r="D15" s="48" t="s">
        <v>306</v>
      </c>
      <c r="E15" s="191" t="s">
        <v>307</v>
      </c>
      <c r="F15" s="383" t="s">
        <v>436</v>
      </c>
      <c r="G15" s="384"/>
      <c r="I15" s="107"/>
    </row>
    <row r="16" spans="1:10" ht="42.75" customHeight="1" thickBot="1">
      <c r="A16" s="54" t="s">
        <v>88</v>
      </c>
      <c r="B16" s="371" t="s">
        <v>308</v>
      </c>
      <c r="C16" s="372"/>
      <c r="D16" s="201">
        <v>8.3000000000000001E-3</v>
      </c>
      <c r="E16" s="202">
        <f>(D16/G6)*E12</f>
        <v>1.2558182615</v>
      </c>
      <c r="F16" s="385"/>
      <c r="G16" s="386"/>
      <c r="I16" s="107"/>
      <c r="J16" s="107"/>
    </row>
    <row r="17" spans="1:11" ht="16.5" thickBot="1">
      <c r="A17" s="44" t="s">
        <v>125</v>
      </c>
      <c r="B17" s="369" t="s">
        <v>126</v>
      </c>
      <c r="C17" s="370"/>
      <c r="D17" s="48" t="s">
        <v>152</v>
      </c>
      <c r="E17" s="191" t="s">
        <v>266</v>
      </c>
      <c r="F17" s="385"/>
      <c r="G17" s="386"/>
      <c r="I17" s="107"/>
    </row>
    <row r="18" spans="1:11" ht="47.25" customHeight="1" thickBot="1">
      <c r="A18" s="54" t="s">
        <v>89</v>
      </c>
      <c r="B18" s="371" t="s">
        <v>153</v>
      </c>
      <c r="C18" s="372"/>
      <c r="D18" s="190">
        <f>E18*12</f>
        <v>60279.276552000003</v>
      </c>
      <c r="E18" s="203">
        <f>E16*G6</f>
        <v>5023.2730460000002</v>
      </c>
      <c r="F18" s="385"/>
      <c r="G18" s="386"/>
      <c r="I18" s="107"/>
    </row>
    <row r="19" spans="1:11" ht="16.5" thickBot="1">
      <c r="A19" s="389" t="s">
        <v>60</v>
      </c>
      <c r="B19" s="390"/>
      <c r="C19" s="390"/>
      <c r="D19" s="391"/>
      <c r="E19" s="195">
        <f>E18</f>
        <v>5023.2730460000002</v>
      </c>
      <c r="F19" s="387"/>
      <c r="G19" s="388"/>
      <c r="I19" s="107"/>
    </row>
    <row r="20" spans="1:11" ht="16.5" thickBot="1">
      <c r="A20" s="42"/>
      <c r="D20" s="42"/>
      <c r="F20" s="392"/>
      <c r="G20" s="392"/>
      <c r="I20" s="107"/>
    </row>
    <row r="21" spans="1:11" ht="16.5" thickBot="1">
      <c r="A21" s="366" t="s">
        <v>175</v>
      </c>
      <c r="B21" s="367"/>
      <c r="C21" s="367"/>
      <c r="D21" s="367"/>
      <c r="E21" s="368"/>
      <c r="F21" s="419" t="s">
        <v>264</v>
      </c>
      <c r="G21" s="420"/>
      <c r="I21" s="109"/>
    </row>
    <row r="22" spans="1:11" ht="16.5" thickBot="1">
      <c r="A22" s="44" t="s">
        <v>125</v>
      </c>
      <c r="B22" s="369" t="s">
        <v>126</v>
      </c>
      <c r="C22" s="370"/>
      <c r="D22" s="45" t="s">
        <v>154</v>
      </c>
      <c r="E22" s="196" t="s">
        <v>329</v>
      </c>
      <c r="F22" s="397" t="s">
        <v>437</v>
      </c>
      <c r="G22" s="398"/>
    </row>
    <row r="23" spans="1:11" ht="16.5" thickBot="1">
      <c r="A23" s="46" t="s">
        <v>131</v>
      </c>
      <c r="B23" s="375" t="s">
        <v>438</v>
      </c>
      <c r="C23" s="376"/>
      <c r="D23" s="192">
        <v>3.5</v>
      </c>
      <c r="E23" s="192">
        <f>G6/D23</f>
        <v>1142.8571428571429</v>
      </c>
      <c r="F23" s="399"/>
      <c r="G23" s="400"/>
    </row>
    <row r="24" spans="1:11" ht="16.5" thickBot="1">
      <c r="A24" s="44" t="s">
        <v>125</v>
      </c>
      <c r="B24" s="369" t="s">
        <v>126</v>
      </c>
      <c r="C24" s="370"/>
      <c r="D24" s="45" t="s">
        <v>155</v>
      </c>
      <c r="E24" s="191" t="s">
        <v>266</v>
      </c>
      <c r="F24" s="399"/>
      <c r="G24" s="400"/>
    </row>
    <row r="25" spans="1:11" ht="16.5" thickBot="1">
      <c r="A25" s="46" t="s">
        <v>176</v>
      </c>
      <c r="B25" s="375" t="s">
        <v>156</v>
      </c>
      <c r="C25" s="376"/>
      <c r="D25" s="235">
        <v>6.01</v>
      </c>
      <c r="E25" s="193">
        <f>E23*D25</f>
        <v>6868.5714285714284</v>
      </c>
      <c r="F25" s="399"/>
      <c r="G25" s="400"/>
      <c r="I25" s="69"/>
    </row>
    <row r="26" spans="1:11" ht="16.5" thickBot="1">
      <c r="A26" s="389" t="s">
        <v>60</v>
      </c>
      <c r="B26" s="390"/>
      <c r="C26" s="390"/>
      <c r="D26" s="391"/>
      <c r="E26" s="197">
        <f>E25</f>
        <v>6868.5714285714284</v>
      </c>
      <c r="F26" s="401"/>
      <c r="G26" s="402"/>
      <c r="I26" s="107"/>
    </row>
    <row r="27" spans="1:11" ht="16.5" thickBot="1"/>
    <row r="28" spans="1:11" ht="16.5" thickBot="1">
      <c r="A28" s="366" t="s">
        <v>185</v>
      </c>
      <c r="B28" s="367"/>
      <c r="C28" s="367"/>
      <c r="D28" s="367"/>
      <c r="E28" s="368"/>
      <c r="F28" s="419" t="s">
        <v>264</v>
      </c>
      <c r="G28" s="420"/>
    </row>
    <row r="29" spans="1:11" ht="16.5" thickBot="1">
      <c r="A29" s="44" t="s">
        <v>125</v>
      </c>
      <c r="B29" s="369" t="s">
        <v>126</v>
      </c>
      <c r="C29" s="370"/>
      <c r="D29" s="45" t="s">
        <v>11</v>
      </c>
      <c r="E29" s="196" t="s">
        <v>483</v>
      </c>
      <c r="F29" s="383" t="s">
        <v>439</v>
      </c>
      <c r="G29" s="384"/>
    </row>
    <row r="30" spans="1:11" ht="16.5" thickBot="1">
      <c r="A30" s="54" t="s">
        <v>103</v>
      </c>
      <c r="B30" s="371" t="s">
        <v>440</v>
      </c>
      <c r="C30" s="372"/>
      <c r="D30" s="70">
        <v>0.1</v>
      </c>
      <c r="E30" s="198">
        <f>E26*D30</f>
        <v>686.85714285714289</v>
      </c>
      <c r="F30" s="385"/>
      <c r="G30" s="386"/>
    </row>
    <row r="31" spans="1:11" ht="53.25" customHeight="1" thickBot="1">
      <c r="A31" s="389" t="s">
        <v>60</v>
      </c>
      <c r="B31" s="390"/>
      <c r="C31" s="390"/>
      <c r="D31" s="391"/>
      <c r="E31" s="197">
        <f>E30</f>
        <v>686.85714285714289</v>
      </c>
      <c r="F31" s="387"/>
      <c r="G31" s="388"/>
      <c r="H31" s="69"/>
      <c r="K31" s="69"/>
    </row>
    <row r="32" spans="1:11" ht="16.5" thickBot="1"/>
    <row r="33" spans="1:7" ht="16.5" thickBot="1">
      <c r="A33" s="366" t="s">
        <v>177</v>
      </c>
      <c r="B33" s="367"/>
      <c r="C33" s="367"/>
      <c r="D33" s="367"/>
      <c r="E33" s="368"/>
      <c r="F33" s="419" t="s">
        <v>264</v>
      </c>
      <c r="G33" s="420"/>
    </row>
    <row r="34" spans="1:7" ht="16.5" thickBot="1">
      <c r="A34" s="44" t="s">
        <v>125</v>
      </c>
      <c r="B34" s="369" t="s">
        <v>126</v>
      </c>
      <c r="C34" s="370"/>
      <c r="D34" s="45" t="s">
        <v>134</v>
      </c>
      <c r="E34" s="196" t="s">
        <v>266</v>
      </c>
      <c r="F34" s="383" t="s">
        <v>269</v>
      </c>
      <c r="G34" s="384"/>
    </row>
    <row r="35" spans="1:7" ht="16.5" thickBot="1">
      <c r="A35" s="46" t="s">
        <v>133</v>
      </c>
      <c r="B35" s="375" t="s">
        <v>136</v>
      </c>
      <c r="C35" s="376"/>
      <c r="D35" s="47">
        <v>0.01</v>
      </c>
      <c r="E35" s="194">
        <f>(D35*E10)/10</f>
        <v>605.21361999999999</v>
      </c>
      <c r="F35" s="385"/>
      <c r="G35" s="386"/>
    </row>
    <row r="36" spans="1:7" ht="16.5" thickBot="1">
      <c r="A36" s="46" t="s">
        <v>178</v>
      </c>
      <c r="B36" s="375" t="s">
        <v>138</v>
      </c>
      <c r="C36" s="376"/>
      <c r="D36" s="198"/>
      <c r="E36" s="194">
        <f>D36/12</f>
        <v>0</v>
      </c>
      <c r="F36" s="385"/>
      <c r="G36" s="386"/>
    </row>
    <row r="37" spans="1:7" ht="16.5" thickBot="1">
      <c r="A37" s="389" t="s">
        <v>60</v>
      </c>
      <c r="B37" s="390"/>
      <c r="C37" s="390"/>
      <c r="D37" s="391"/>
      <c r="E37" s="199">
        <f>SUM(E35:E36)</f>
        <v>605.21361999999999</v>
      </c>
      <c r="F37" s="387"/>
      <c r="G37" s="388"/>
    </row>
    <row r="38" spans="1:7" ht="16.5" thickBot="1"/>
    <row r="39" spans="1:7" ht="16.5" thickBot="1">
      <c r="A39" s="366" t="s">
        <v>179</v>
      </c>
      <c r="B39" s="367"/>
      <c r="C39" s="367"/>
      <c r="D39" s="367"/>
      <c r="E39" s="368"/>
      <c r="F39" s="419" t="s">
        <v>264</v>
      </c>
      <c r="G39" s="420"/>
    </row>
    <row r="40" spans="1:7" ht="16.5" thickBot="1">
      <c r="A40" s="44" t="s">
        <v>125</v>
      </c>
      <c r="B40" s="369" t="s">
        <v>126</v>
      </c>
      <c r="C40" s="370"/>
      <c r="D40" s="204"/>
      <c r="E40" s="231" t="s">
        <v>157</v>
      </c>
      <c r="F40" s="383" t="s">
        <v>441</v>
      </c>
      <c r="G40" s="384"/>
    </row>
    <row r="41" spans="1:7" ht="16.5" thickBot="1">
      <c r="A41" s="46" t="s">
        <v>180</v>
      </c>
      <c r="B41" s="375" t="s">
        <v>466</v>
      </c>
      <c r="C41" s="376"/>
      <c r="D41" s="232"/>
      <c r="E41" s="233">
        <v>2</v>
      </c>
      <c r="F41" s="385"/>
      <c r="G41" s="386"/>
    </row>
    <row r="42" spans="1:7" ht="16.5" thickBot="1">
      <c r="A42" s="44" t="s">
        <v>125</v>
      </c>
      <c r="B42" s="369" t="s">
        <v>126</v>
      </c>
      <c r="C42" s="370"/>
      <c r="D42" s="45" t="s">
        <v>140</v>
      </c>
      <c r="E42" s="196" t="s">
        <v>158</v>
      </c>
      <c r="F42" s="385"/>
      <c r="G42" s="386"/>
    </row>
    <row r="43" spans="1:7" ht="16.5" thickBot="1">
      <c r="A43" s="46" t="s">
        <v>181</v>
      </c>
      <c r="B43" s="375" t="s">
        <v>442</v>
      </c>
      <c r="C43" s="376"/>
      <c r="D43" s="236">
        <v>1835.98</v>
      </c>
      <c r="E43" s="193">
        <f>D43*6</f>
        <v>11015.880000000001</v>
      </c>
      <c r="F43" s="385"/>
      <c r="G43" s="386"/>
    </row>
    <row r="44" spans="1:7" ht="16.5" thickBot="1">
      <c r="A44" s="46"/>
      <c r="B44" s="375"/>
      <c r="C44" s="376"/>
      <c r="D44" s="215"/>
      <c r="E44" s="193"/>
      <c r="F44" s="385"/>
      <c r="G44" s="386"/>
    </row>
    <row r="45" spans="1:7" ht="16.5" thickBot="1">
      <c r="A45" s="44" t="s">
        <v>125</v>
      </c>
      <c r="B45" s="369" t="s">
        <v>126</v>
      </c>
      <c r="C45" s="370"/>
      <c r="D45" s="45" t="s">
        <v>142</v>
      </c>
      <c r="E45" s="196" t="s">
        <v>159</v>
      </c>
      <c r="F45" s="385"/>
      <c r="G45" s="386"/>
    </row>
    <row r="46" spans="1:7" ht="16.5" thickBot="1">
      <c r="A46" s="46" t="s">
        <v>443</v>
      </c>
      <c r="B46" s="375" t="s">
        <v>143</v>
      </c>
      <c r="C46" s="376"/>
      <c r="D46" s="198">
        <f>(E43+E44)*E41</f>
        <v>22031.760000000002</v>
      </c>
      <c r="E46" s="193">
        <f>D46/12</f>
        <v>1835.9800000000002</v>
      </c>
      <c r="F46" s="385"/>
      <c r="G46" s="386"/>
    </row>
    <row r="47" spans="1:7" ht="18.75" customHeight="1" thickBot="1">
      <c r="A47" s="389" t="s">
        <v>60</v>
      </c>
      <c r="B47" s="390"/>
      <c r="C47" s="390"/>
      <c r="D47" s="391"/>
      <c r="E47" s="199">
        <f>E46</f>
        <v>1835.9800000000002</v>
      </c>
      <c r="F47" s="387"/>
      <c r="G47" s="388"/>
    </row>
    <row r="48" spans="1:7" hidden="1">
      <c r="A48" s="421" t="s">
        <v>444</v>
      </c>
      <c r="B48" s="421"/>
      <c r="C48" s="421"/>
      <c r="D48" s="421"/>
      <c r="E48" s="421"/>
      <c r="F48" s="422" t="s">
        <v>264</v>
      </c>
      <c r="G48" s="422"/>
    </row>
    <row r="49" spans="1:8" hidden="1">
      <c r="A49" s="239" t="s">
        <v>125</v>
      </c>
      <c r="B49" s="423" t="s">
        <v>126</v>
      </c>
      <c r="C49" s="423"/>
      <c r="D49" s="240" t="s">
        <v>140</v>
      </c>
      <c r="E49" s="241" t="s">
        <v>158</v>
      </c>
      <c r="F49" s="424" t="s">
        <v>445</v>
      </c>
      <c r="G49" s="424"/>
    </row>
    <row r="50" spans="1:8" hidden="1">
      <c r="A50" s="242" t="s">
        <v>135</v>
      </c>
      <c r="B50" s="425" t="s">
        <v>446</v>
      </c>
      <c r="C50" s="425"/>
      <c r="D50" s="243"/>
      <c r="E50" s="244">
        <f>D50</f>
        <v>0</v>
      </c>
      <c r="F50" s="424"/>
      <c r="G50" s="424"/>
    </row>
    <row r="51" spans="1:8" hidden="1">
      <c r="A51" s="426" t="s">
        <v>60</v>
      </c>
      <c r="B51" s="426"/>
      <c r="C51" s="426"/>
      <c r="D51" s="426"/>
      <c r="E51" s="245">
        <f>E50</f>
        <v>0</v>
      </c>
      <c r="F51" s="424"/>
      <c r="G51" s="424"/>
    </row>
    <row r="52" spans="1:8" ht="16.5" thickBot="1"/>
    <row r="53" spans="1:8" ht="16.5" thickBot="1">
      <c r="A53" s="366" t="s">
        <v>447</v>
      </c>
      <c r="B53" s="367"/>
      <c r="C53" s="367"/>
      <c r="D53" s="367"/>
      <c r="E53" s="368"/>
      <c r="F53" s="414" t="s">
        <v>264</v>
      </c>
      <c r="G53" s="415"/>
    </row>
    <row r="54" spans="1:8" ht="16.5" thickBot="1">
      <c r="A54" s="44" t="s">
        <v>125</v>
      </c>
      <c r="B54" s="369" t="s">
        <v>126</v>
      </c>
      <c r="C54" s="370"/>
      <c r="D54" s="45" t="s">
        <v>11</v>
      </c>
      <c r="E54" s="204" t="s">
        <v>272</v>
      </c>
      <c r="F54" s="357" t="s">
        <v>448</v>
      </c>
      <c r="G54" s="358"/>
    </row>
    <row r="55" spans="1:8" ht="16.5" thickBot="1">
      <c r="A55" s="46" t="s">
        <v>139</v>
      </c>
      <c r="B55" s="375" t="s">
        <v>273</v>
      </c>
      <c r="C55" s="376"/>
      <c r="D55" s="209">
        <v>0.65</v>
      </c>
      <c r="E55" s="207">
        <v>5</v>
      </c>
      <c r="F55" s="359"/>
      <c r="G55" s="360"/>
    </row>
    <row r="56" spans="1:8" ht="16.5" thickBot="1">
      <c r="A56" s="50" t="s">
        <v>125</v>
      </c>
      <c r="B56" s="373" t="s">
        <v>126</v>
      </c>
      <c r="C56" s="374"/>
      <c r="D56" s="45" t="s">
        <v>11</v>
      </c>
      <c r="E56" s="205" t="s">
        <v>274</v>
      </c>
      <c r="F56" s="359"/>
      <c r="G56" s="360"/>
      <c r="H56" s="52"/>
    </row>
    <row r="57" spans="1:8" ht="16.5" thickBot="1">
      <c r="A57" s="46" t="s">
        <v>141</v>
      </c>
      <c r="B57" s="375" t="s">
        <v>275</v>
      </c>
      <c r="C57" s="376"/>
      <c r="D57" s="209">
        <v>0.35</v>
      </c>
      <c r="E57" s="194">
        <f>E12*D57</f>
        <v>211824.76699999999</v>
      </c>
      <c r="F57" s="359"/>
      <c r="G57" s="360"/>
    </row>
    <row r="58" spans="1:8" ht="32.25" thickBot="1">
      <c r="A58" s="50" t="s">
        <v>125</v>
      </c>
      <c r="B58" s="373" t="s">
        <v>126</v>
      </c>
      <c r="C58" s="374"/>
      <c r="D58" s="51" t="s">
        <v>449</v>
      </c>
      <c r="E58" s="205" t="s">
        <v>266</v>
      </c>
      <c r="F58" s="359"/>
      <c r="G58" s="360"/>
      <c r="H58" s="52"/>
    </row>
    <row r="59" spans="1:8" ht="16.5" thickBot="1">
      <c r="A59" s="46" t="s">
        <v>450</v>
      </c>
      <c r="B59" s="375" t="s">
        <v>144</v>
      </c>
      <c r="C59" s="376"/>
      <c r="D59" s="198">
        <f>E12*D55</f>
        <v>393388.853</v>
      </c>
      <c r="E59" s="194">
        <f>D59/60</f>
        <v>6556.4808833333336</v>
      </c>
      <c r="F59" s="359"/>
      <c r="G59" s="360"/>
      <c r="H59" s="210"/>
    </row>
    <row r="60" spans="1:8" ht="16.5" thickBot="1">
      <c r="A60" s="389" t="s">
        <v>60</v>
      </c>
      <c r="B60" s="390"/>
      <c r="C60" s="390"/>
      <c r="D60" s="391"/>
      <c r="E60" s="206">
        <f>E59</f>
        <v>6556.4808833333336</v>
      </c>
      <c r="F60" s="361"/>
      <c r="G60" s="362"/>
    </row>
    <row r="61" spans="1:8" ht="16.5" thickBot="1"/>
    <row r="62" spans="1:8" ht="16.5" thickBot="1">
      <c r="A62" s="366" t="s">
        <v>451</v>
      </c>
      <c r="B62" s="367"/>
      <c r="C62" s="367"/>
      <c r="D62" s="367"/>
      <c r="E62" s="368"/>
      <c r="F62" s="414" t="s">
        <v>264</v>
      </c>
      <c r="G62" s="415"/>
    </row>
    <row r="63" spans="1:8" ht="16.5" thickBot="1">
      <c r="A63" s="44" t="s">
        <v>125</v>
      </c>
      <c r="B63" s="369" t="s">
        <v>126</v>
      </c>
      <c r="C63" s="370"/>
      <c r="D63" s="45" t="s">
        <v>124</v>
      </c>
      <c r="E63" s="204" t="s">
        <v>278</v>
      </c>
      <c r="F63" s="357" t="s">
        <v>279</v>
      </c>
      <c r="G63" s="358"/>
    </row>
    <row r="64" spans="1:8" ht="16.5" thickBot="1">
      <c r="A64" s="54" t="s">
        <v>285</v>
      </c>
      <c r="B64" s="371" t="s">
        <v>280</v>
      </c>
      <c r="C64" s="372"/>
      <c r="D64" s="198" t="s">
        <v>160</v>
      </c>
      <c r="E64" s="208">
        <v>0.13469999999999999</v>
      </c>
      <c r="F64" s="359"/>
      <c r="G64" s="360"/>
    </row>
    <row r="65" spans="1:7" ht="77.25" customHeight="1" thickBot="1">
      <c r="A65" s="50" t="s">
        <v>125</v>
      </c>
      <c r="B65" s="373" t="s">
        <v>126</v>
      </c>
      <c r="C65" s="374"/>
      <c r="D65" s="51" t="s">
        <v>281</v>
      </c>
      <c r="E65" s="205" t="s">
        <v>282</v>
      </c>
      <c r="F65" s="359"/>
      <c r="G65" s="360"/>
    </row>
    <row r="66" spans="1:7" ht="35.25" customHeight="1" thickBot="1">
      <c r="A66" s="54" t="s">
        <v>286</v>
      </c>
      <c r="B66" s="371" t="s">
        <v>283</v>
      </c>
      <c r="C66" s="372"/>
      <c r="D66" s="198">
        <f>D59*((E55+1)/(2*E55))+E57</f>
        <v>447858.07880000002</v>
      </c>
      <c r="E66" s="203">
        <f>(D66*E64)/12</f>
        <v>5027.2069345299997</v>
      </c>
      <c r="F66" s="359"/>
      <c r="G66" s="360"/>
    </row>
    <row r="67" spans="1:7" ht="16.5" thickBot="1">
      <c r="A67" s="389" t="s">
        <v>60</v>
      </c>
      <c r="B67" s="390"/>
      <c r="C67" s="390"/>
      <c r="D67" s="391"/>
      <c r="E67" s="206">
        <f>E66</f>
        <v>5027.2069345299997</v>
      </c>
      <c r="F67" s="361"/>
      <c r="G67" s="362"/>
    </row>
    <row r="68" spans="1:7" ht="16.5" thickBot="1">
      <c r="A68" s="42"/>
      <c r="D68" s="42"/>
      <c r="F68" s="121"/>
      <c r="G68" s="121"/>
    </row>
    <row r="69" spans="1:7" ht="16.5" thickBot="1">
      <c r="A69" s="366" t="s">
        <v>452</v>
      </c>
      <c r="B69" s="367"/>
      <c r="C69" s="367"/>
      <c r="D69" s="367"/>
      <c r="E69" s="368"/>
    </row>
    <row r="70" spans="1:7" ht="16.5" thickBot="1">
      <c r="A70" s="44" t="s">
        <v>125</v>
      </c>
      <c r="B70" s="369" t="s">
        <v>126</v>
      </c>
      <c r="C70" s="370"/>
      <c r="D70" s="45" t="s">
        <v>132</v>
      </c>
      <c r="E70" s="196" t="s">
        <v>161</v>
      </c>
      <c r="F70" s="52"/>
      <c r="G70" s="52"/>
    </row>
    <row r="71" spans="1:7" ht="16.5" thickBot="1">
      <c r="A71" s="46" t="s">
        <v>453</v>
      </c>
      <c r="B71" s="375" t="s">
        <v>146</v>
      </c>
      <c r="C71" s="376"/>
      <c r="D71" s="213">
        <f>E71/$G$6</f>
        <v>1.2558182615</v>
      </c>
      <c r="E71" s="53">
        <f>E19</f>
        <v>5023.2730460000002</v>
      </c>
    </row>
    <row r="72" spans="1:7" ht="16.5" thickBot="1">
      <c r="A72" s="46" t="s">
        <v>454</v>
      </c>
      <c r="B72" s="375" t="s">
        <v>147</v>
      </c>
      <c r="C72" s="376"/>
      <c r="D72" s="213">
        <f t="shared" ref="D72:D78" si="0">E72/$G$6</f>
        <v>1.7171428571428571</v>
      </c>
      <c r="E72" s="53">
        <f>E26</f>
        <v>6868.5714285714284</v>
      </c>
    </row>
    <row r="73" spans="1:7" ht="16.5" thickBot="1">
      <c r="A73" s="46" t="s">
        <v>455</v>
      </c>
      <c r="B73" s="375" t="s">
        <v>148</v>
      </c>
      <c r="C73" s="376"/>
      <c r="D73" s="213">
        <f t="shared" si="0"/>
        <v>0.17171428571428574</v>
      </c>
      <c r="E73" s="53">
        <f>E31</f>
        <v>686.85714285714289</v>
      </c>
    </row>
    <row r="74" spans="1:7" ht="16.5" thickBot="1">
      <c r="A74" s="46" t="s">
        <v>456</v>
      </c>
      <c r="B74" s="375" t="s">
        <v>149</v>
      </c>
      <c r="C74" s="376"/>
      <c r="D74" s="213">
        <f t="shared" si="0"/>
        <v>0.151303405</v>
      </c>
      <c r="E74" s="53">
        <f>E37</f>
        <v>605.21361999999999</v>
      </c>
    </row>
    <row r="75" spans="1:7" ht="16.5" thickBot="1">
      <c r="A75" s="46" t="s">
        <v>457</v>
      </c>
      <c r="B75" s="375" t="s">
        <v>150</v>
      </c>
      <c r="C75" s="376"/>
      <c r="D75" s="213">
        <f t="shared" si="0"/>
        <v>0.45899500000000004</v>
      </c>
      <c r="E75" s="53">
        <f>E47</f>
        <v>1835.9800000000002</v>
      </c>
    </row>
    <row r="76" spans="1:7" ht="16.5" thickBot="1">
      <c r="A76" s="46" t="s">
        <v>458</v>
      </c>
      <c r="B76" s="375" t="s">
        <v>446</v>
      </c>
      <c r="C76" s="376"/>
      <c r="D76" s="211">
        <f>E76/$G$6</f>
        <v>0</v>
      </c>
      <c r="E76" s="53">
        <f>E51</f>
        <v>0</v>
      </c>
    </row>
    <row r="77" spans="1:7" ht="16.5" thickBot="1">
      <c r="A77" s="46" t="s">
        <v>459</v>
      </c>
      <c r="B77" s="375" t="s">
        <v>144</v>
      </c>
      <c r="C77" s="376"/>
      <c r="D77" s="213">
        <f t="shared" si="0"/>
        <v>1.6391202208333333</v>
      </c>
      <c r="E77" s="53">
        <f>E60</f>
        <v>6556.4808833333336</v>
      </c>
    </row>
    <row r="78" spans="1:7" ht="16.5" thickBot="1">
      <c r="A78" s="46" t="s">
        <v>460</v>
      </c>
      <c r="B78" s="375" t="s">
        <v>283</v>
      </c>
      <c r="C78" s="376"/>
      <c r="D78" s="213">
        <f t="shared" si="0"/>
        <v>1.2568017336324999</v>
      </c>
      <c r="E78" s="53">
        <f>E67</f>
        <v>5027.2069345299997</v>
      </c>
    </row>
    <row r="79" spans="1:7" ht="16.5" thickBot="1">
      <c r="A79" s="389" t="s">
        <v>60</v>
      </c>
      <c r="B79" s="390"/>
      <c r="C79" s="390"/>
      <c r="D79" s="391"/>
      <c r="E79" s="200">
        <f>SUM(E71:E78)</f>
        <v>26603.583055291907</v>
      </c>
    </row>
    <row r="81" spans="1:5">
      <c r="A81" s="354"/>
      <c r="B81" s="354"/>
      <c r="C81" s="354"/>
      <c r="D81" s="354"/>
      <c r="E81" s="354"/>
    </row>
  </sheetData>
  <mergeCells count="88">
    <mergeCell ref="A81:E81"/>
    <mergeCell ref="B75:C75"/>
    <mergeCell ref="B76:C76"/>
    <mergeCell ref="B77:C77"/>
    <mergeCell ref="B78:C78"/>
    <mergeCell ref="A79:D79"/>
    <mergeCell ref="B59:C59"/>
    <mergeCell ref="B74:C74"/>
    <mergeCell ref="A60:D60"/>
    <mergeCell ref="A62:E62"/>
    <mergeCell ref="F62:G62"/>
    <mergeCell ref="B63:C63"/>
    <mergeCell ref="F63:G67"/>
    <mergeCell ref="B64:C64"/>
    <mergeCell ref="B65:C65"/>
    <mergeCell ref="B66:C66"/>
    <mergeCell ref="A67:D67"/>
    <mergeCell ref="A69:E69"/>
    <mergeCell ref="B70:C70"/>
    <mergeCell ref="B71:C71"/>
    <mergeCell ref="B72:C72"/>
    <mergeCell ref="B73:C73"/>
    <mergeCell ref="A47:D47"/>
    <mergeCell ref="A48:E48"/>
    <mergeCell ref="F48:G48"/>
    <mergeCell ref="B49:C49"/>
    <mergeCell ref="F49:G51"/>
    <mergeCell ref="B50:C50"/>
    <mergeCell ref="A51:D51"/>
    <mergeCell ref="B42:C42"/>
    <mergeCell ref="B43:C43"/>
    <mergeCell ref="B44:C44"/>
    <mergeCell ref="B45:C45"/>
    <mergeCell ref="B46:C46"/>
    <mergeCell ref="F28:G28"/>
    <mergeCell ref="B29:C29"/>
    <mergeCell ref="F29:G31"/>
    <mergeCell ref="B30:C30"/>
    <mergeCell ref="A31:D31"/>
    <mergeCell ref="B10:C10"/>
    <mergeCell ref="B25:C25"/>
    <mergeCell ref="A26:D26"/>
    <mergeCell ref="A28:E28"/>
    <mergeCell ref="A14:E14"/>
    <mergeCell ref="A1:G1"/>
    <mergeCell ref="F54:G60"/>
    <mergeCell ref="A53:E53"/>
    <mergeCell ref="F53:G53"/>
    <mergeCell ref="B54:C54"/>
    <mergeCell ref="B55:C55"/>
    <mergeCell ref="B56:C56"/>
    <mergeCell ref="B57:C57"/>
    <mergeCell ref="B58:C58"/>
    <mergeCell ref="A39:E39"/>
    <mergeCell ref="F39:G39"/>
    <mergeCell ref="B40:C40"/>
    <mergeCell ref="F40:G47"/>
    <mergeCell ref="B41:C41"/>
    <mergeCell ref="A33:E33"/>
    <mergeCell ref="F33:G33"/>
    <mergeCell ref="B34:C34"/>
    <mergeCell ref="F34:G37"/>
    <mergeCell ref="B35:C35"/>
    <mergeCell ref="B36:C36"/>
    <mergeCell ref="A37:D37"/>
    <mergeCell ref="F20:G20"/>
    <mergeCell ref="A21:E21"/>
    <mergeCell ref="F21:G21"/>
    <mergeCell ref="B22:C22"/>
    <mergeCell ref="F22:G26"/>
    <mergeCell ref="B23:C23"/>
    <mergeCell ref="B24:C24"/>
    <mergeCell ref="F14:G14"/>
    <mergeCell ref="A3:G3"/>
    <mergeCell ref="B15:C15"/>
    <mergeCell ref="F15:G19"/>
    <mergeCell ref="B16:C16"/>
    <mergeCell ref="B17:C17"/>
    <mergeCell ref="B18:C18"/>
    <mergeCell ref="A19:D19"/>
    <mergeCell ref="A5:F5"/>
    <mergeCell ref="A6:F6"/>
    <mergeCell ref="A8:E8"/>
    <mergeCell ref="F8:G8"/>
    <mergeCell ref="B9:C9"/>
    <mergeCell ref="F9:G12"/>
    <mergeCell ref="B11:C11"/>
    <mergeCell ref="A12:D12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5" tint="-0.249977111117893"/>
    <pageSetUpPr fitToPage="1"/>
  </sheetPr>
  <dimension ref="A1:K17"/>
  <sheetViews>
    <sheetView showGridLines="0" zoomScaleNormal="100" workbookViewId="0">
      <selection activeCell="J4" sqref="J4"/>
    </sheetView>
  </sheetViews>
  <sheetFormatPr defaultColWidth="11" defaultRowHeight="15.75"/>
  <cols>
    <col min="1" max="1" width="34" customWidth="1"/>
    <col min="2" max="2" width="13.75" bestFit="1" customWidth="1"/>
    <col min="3" max="3" width="8.5" customWidth="1"/>
    <col min="4" max="4" width="7.375" style="69" bestFit="1" customWidth="1"/>
    <col min="5" max="5" width="13" style="69" bestFit="1" customWidth="1"/>
    <col min="6" max="6" width="13.375" style="69" bestFit="1" customWidth="1"/>
    <col min="7" max="7" width="11" bestFit="1" customWidth="1"/>
    <col min="8" max="8" width="11.625" bestFit="1" customWidth="1"/>
    <col min="9" max="9" width="11.75" bestFit="1" customWidth="1"/>
    <col min="10" max="10" width="12" bestFit="1" customWidth="1"/>
    <col min="11" max="11" width="33.75" customWidth="1"/>
  </cols>
  <sheetData>
    <row r="1" spans="1:11">
      <c r="A1" s="427" t="s">
        <v>317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</row>
    <row r="3" spans="1:11" ht="45">
      <c r="A3" s="186" t="s">
        <v>170</v>
      </c>
      <c r="B3" s="187" t="s">
        <v>171</v>
      </c>
      <c r="C3" s="188" t="s">
        <v>172</v>
      </c>
      <c r="D3" s="189" t="s">
        <v>313</v>
      </c>
      <c r="E3" s="189" t="s">
        <v>314</v>
      </c>
      <c r="F3" s="189" t="s">
        <v>315</v>
      </c>
      <c r="G3" s="188" t="s">
        <v>173</v>
      </c>
      <c r="H3" s="188" t="s">
        <v>283</v>
      </c>
      <c r="I3" s="188" t="s">
        <v>184</v>
      </c>
      <c r="J3" s="188" t="s">
        <v>183</v>
      </c>
      <c r="K3" s="188" t="s">
        <v>174</v>
      </c>
    </row>
    <row r="4" spans="1:11">
      <c r="A4" s="66" t="s">
        <v>415</v>
      </c>
      <c r="B4" s="64">
        <v>16307.5</v>
      </c>
      <c r="C4" s="67">
        <v>180</v>
      </c>
      <c r="D4" s="68">
        <v>0.1</v>
      </c>
      <c r="E4" s="145">
        <f>(B4-200)*D4</f>
        <v>1610.75</v>
      </c>
      <c r="F4" s="146">
        <v>0</v>
      </c>
      <c r="G4" s="64">
        <f>(((B4-(B4*D4))/C4))</f>
        <v>81.537499999999994</v>
      </c>
      <c r="H4" s="64">
        <v>0</v>
      </c>
      <c r="I4" s="64">
        <f>B4*5%</f>
        <v>815.375</v>
      </c>
      <c r="J4" s="64">
        <f>G4+H4+I4</f>
        <v>896.91250000000002</v>
      </c>
      <c r="K4" s="147" t="s">
        <v>328</v>
      </c>
    </row>
    <row r="5" spans="1:11">
      <c r="A5" s="65" t="s">
        <v>374</v>
      </c>
      <c r="B5" s="64">
        <v>3718.78</v>
      </c>
      <c r="C5" s="67">
        <v>36</v>
      </c>
      <c r="D5" s="68">
        <v>0</v>
      </c>
      <c r="E5" s="145">
        <f>B5*D5</f>
        <v>0</v>
      </c>
      <c r="F5" s="146">
        <v>0</v>
      </c>
      <c r="G5" s="64">
        <f>(((B5-(B5*D5))/C5))</f>
        <v>103.29944444444445</v>
      </c>
      <c r="H5" s="64">
        <f>(F5*12.79%)/12</f>
        <v>0</v>
      </c>
      <c r="I5" s="64">
        <f>B5*10%</f>
        <v>371.87800000000004</v>
      </c>
      <c r="J5" s="64">
        <f>G5+H5+I5</f>
        <v>475.17744444444452</v>
      </c>
      <c r="K5" s="64" t="s">
        <v>341</v>
      </c>
    </row>
    <row r="6" spans="1:11">
      <c r="A6" s="65" t="s">
        <v>375</v>
      </c>
      <c r="B6" s="64">
        <v>1875.75</v>
      </c>
      <c r="C6" s="67">
        <v>36</v>
      </c>
      <c r="D6" s="68">
        <v>0</v>
      </c>
      <c r="E6" s="145">
        <f>B6*D6</f>
        <v>0</v>
      </c>
      <c r="F6" s="146">
        <v>0</v>
      </c>
      <c r="G6" s="64">
        <f>(((B6-(B6*D6))/C6))</f>
        <v>52.104166666666664</v>
      </c>
      <c r="H6" s="64">
        <f>(F6*12.79%)/12</f>
        <v>0</v>
      </c>
      <c r="I6" s="64">
        <f>B6*10%</f>
        <v>187.57500000000002</v>
      </c>
      <c r="J6" s="64">
        <f>G6+H6+I6</f>
        <v>239.67916666666667</v>
      </c>
      <c r="K6" s="64" t="s">
        <v>341</v>
      </c>
    </row>
    <row r="7" spans="1:11">
      <c r="A7" s="185" t="s">
        <v>432</v>
      </c>
      <c r="B7" s="64">
        <v>2195.7199999999998</v>
      </c>
      <c r="C7" s="67">
        <v>36</v>
      </c>
      <c r="D7" s="68">
        <v>0</v>
      </c>
      <c r="E7" s="145">
        <f>B7*D7</f>
        <v>0</v>
      </c>
      <c r="F7" s="146">
        <v>0</v>
      </c>
      <c r="G7" s="64">
        <f>(((B7-(B7*D7))/C7))</f>
        <v>60.992222222222217</v>
      </c>
      <c r="H7" s="64">
        <f>(F7*12.79%)/12</f>
        <v>0</v>
      </c>
      <c r="I7" s="64">
        <f>B7*10%</f>
        <v>219.572</v>
      </c>
      <c r="J7" s="64">
        <f>G7+H7+I7</f>
        <v>280.56422222222221</v>
      </c>
      <c r="K7" s="64" t="s">
        <v>341</v>
      </c>
    </row>
    <row r="8" spans="1:11">
      <c r="A8" s="71"/>
    </row>
    <row r="9" spans="1:11">
      <c r="A9" s="71"/>
    </row>
    <row r="15" spans="1:11">
      <c r="C15" s="72"/>
    </row>
    <row r="16" spans="1:11">
      <c r="C16" s="72"/>
    </row>
    <row r="17" spans="4:6">
      <c r="D17" s="14"/>
      <c r="E17" s="14"/>
      <c r="F17" s="14"/>
    </row>
  </sheetData>
  <mergeCells count="1">
    <mergeCell ref="A1:K1"/>
  </mergeCells>
  <phoneticPr fontId="14" type="noConversion"/>
  <pageMargins left="0.15748031496062992" right="0.15748031496062992" top="0.86614173228346458" bottom="0.74803149606299213" header="0.31496062992125984" footer="0.31496062992125984"/>
  <pageSetup paperSize="9" scale="7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5" tint="-0.249977111117893"/>
  </sheetPr>
  <dimension ref="A1:D8"/>
  <sheetViews>
    <sheetView showGridLines="0" zoomScaleNormal="100" workbookViewId="0">
      <selection activeCell="A22" sqref="A22"/>
    </sheetView>
  </sheetViews>
  <sheetFormatPr defaultRowHeight="15.75"/>
  <cols>
    <col min="1" max="1" width="38.5" customWidth="1"/>
    <col min="2" max="2" width="7.625" customWidth="1"/>
    <col min="3" max="3" width="19.5" customWidth="1"/>
    <col min="4" max="4" width="13.25" customWidth="1"/>
  </cols>
  <sheetData>
    <row r="1" spans="1:4">
      <c r="A1" s="427" t="s">
        <v>310</v>
      </c>
      <c r="B1" s="427"/>
      <c r="C1" s="427"/>
      <c r="D1" s="427"/>
    </row>
    <row r="3" spans="1:4">
      <c r="A3" s="428"/>
      <c r="B3" s="429"/>
      <c r="C3" s="429"/>
      <c r="D3" s="430"/>
    </row>
    <row r="4" spans="1:4">
      <c r="A4" s="134" t="s">
        <v>10</v>
      </c>
      <c r="B4" s="134" t="s">
        <v>311</v>
      </c>
      <c r="C4" s="135" t="s">
        <v>140</v>
      </c>
      <c r="D4" s="135" t="s">
        <v>312</v>
      </c>
    </row>
    <row r="5" spans="1:4">
      <c r="A5" s="65" t="s">
        <v>382</v>
      </c>
      <c r="B5" s="133">
        <v>1</v>
      </c>
      <c r="C5" s="64">
        <f>'(B.1) Van'!E59</f>
        <v>1882.6802177899997</v>
      </c>
      <c r="D5" s="64">
        <f>C5*B5</f>
        <v>1882.6802177899997</v>
      </c>
    </row>
    <row r="6" spans="1:4">
      <c r="A6" s="65" t="s">
        <v>381</v>
      </c>
      <c r="B6" s="133">
        <v>7</v>
      </c>
      <c r="C6" s="64">
        <f>'(B.2) Caminhão Basculante'!E60</f>
        <v>3565.2813120999999</v>
      </c>
      <c r="D6" s="64">
        <f>C6*B6</f>
        <v>24956.969184699999</v>
      </c>
    </row>
    <row r="7" spans="1:4">
      <c r="A7" s="65" t="s">
        <v>422</v>
      </c>
      <c r="B7" s="133">
        <v>1</v>
      </c>
      <c r="C7" s="64">
        <f>'(B.3) Compactador 15m³'!E66</f>
        <v>5027.2069345299997</v>
      </c>
      <c r="D7" s="64">
        <f>C7*B7</f>
        <v>5027.2069345299997</v>
      </c>
    </row>
    <row r="8" spans="1:4">
      <c r="A8" s="431" t="s">
        <v>95</v>
      </c>
      <c r="B8" s="432"/>
      <c r="C8" s="433"/>
      <c r="D8" s="135">
        <f>SUM(D5:D7)</f>
        <v>31866.856337019999</v>
      </c>
    </row>
  </sheetData>
  <mergeCells count="3">
    <mergeCell ref="A3:D3"/>
    <mergeCell ref="A1:D1"/>
    <mergeCell ref="A8:C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5</vt:i4>
      </vt:variant>
    </vt:vector>
  </HeadingPairs>
  <TitlesOfParts>
    <vt:vector size="20" baseType="lpstr">
      <vt:lpstr>Planilha</vt:lpstr>
      <vt:lpstr>(A.1) Coletores</vt:lpstr>
      <vt:lpstr>(A.2) Op Picador Triturador</vt:lpstr>
      <vt:lpstr>(A.3) Operador Pá carregadeira</vt:lpstr>
      <vt:lpstr>(A.4) Pedreiro</vt:lpstr>
      <vt:lpstr>(A.5) Operador de motosserra</vt:lpstr>
      <vt:lpstr>(A.6) Motorista Cat C</vt:lpstr>
      <vt:lpstr>(A.7) Motorista Cat D</vt:lpstr>
      <vt:lpstr>(A.8) Operador de Bobcat</vt:lpstr>
      <vt:lpstr>(A.9) Operador de roçadeira</vt:lpstr>
      <vt:lpstr>(B.1) Van</vt:lpstr>
      <vt:lpstr>(B.2) Caminhão Basculante</vt:lpstr>
      <vt:lpstr>(B.3) Compactador 15m³</vt:lpstr>
      <vt:lpstr>Equipamentos - Custo</vt:lpstr>
      <vt:lpstr>Rem. Capital</vt:lpstr>
      <vt:lpstr>'(A.3) Operador Pá carregadeira'!Area_de_impressao</vt:lpstr>
      <vt:lpstr>'(A.4) Pedreiro'!Area_de_impressao</vt:lpstr>
      <vt:lpstr>'Equipamentos - Custo'!Area_de_impressao</vt:lpstr>
      <vt:lpstr>Planilha!Area_de_impressao</vt:lpstr>
      <vt:lpstr>'Rem. Capital'!Area_de_impressao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Microsoft Office</dc:creator>
  <cp:lastModifiedBy>Luciano Brazão da Silva</cp:lastModifiedBy>
  <cp:lastPrinted>2026-02-26T19:18:20Z</cp:lastPrinted>
  <dcterms:created xsi:type="dcterms:W3CDTF">2017-08-17T18:08:06Z</dcterms:created>
  <dcterms:modified xsi:type="dcterms:W3CDTF">2026-02-26T20:06:24Z</dcterms:modified>
</cp:coreProperties>
</file>