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.1.244\Licitação\CONCORRÊNCIA ELETRÔNICA\CONCORRÊNCIA ELETRÔNICA 2026\CP 03 - 2026 = Reforma CREAS\FASE 1\"/>
    </mc:Choice>
  </mc:AlternateContent>
  <xr:revisionPtr revIDLastSave="0" documentId="13_ncr:1_{3E40EF51-82D8-4446-B6CB-846A0691A815}" xr6:coauthVersionLast="47" xr6:coauthVersionMax="47" xr10:uidLastSave="{00000000-0000-0000-0000-000000000000}"/>
  <bookViews>
    <workbookView xWindow="-108" yWindow="-108" windowWidth="23256" windowHeight="12576" xr2:uid="{DDAA7989-FA14-4C02-B567-CD519854D05A}"/>
  </bookViews>
  <sheets>
    <sheet name="ORÇAMENTO CREAS" sheetId="8" r:id="rId1"/>
    <sheet name="CRONOG CREAS" sheetId="3" r:id="rId2"/>
    <sheet name="BDI" sheetId="5" r:id="rId3"/>
  </sheets>
  <definedNames>
    <definedName name="_xlnm.Print_Area" localSheetId="0">'ORÇAMENTO CREAS'!$B$9:$K$235</definedName>
    <definedName name="_xlnm.Print_Titles" localSheetId="0">'ORÇAMENTO CREAS'!$1:$15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7" i="3" l="1"/>
  <c r="M17" i="3" s="1"/>
  <c r="P18" i="3"/>
  <c r="M18" i="3" s="1"/>
  <c r="P19" i="3"/>
  <c r="M19" i="3" s="1"/>
  <c r="P20" i="3"/>
  <c r="M20" i="3" s="1"/>
  <c r="P21" i="3"/>
  <c r="M21" i="3" s="1"/>
  <c r="P22" i="3"/>
  <c r="M22" i="3" s="1"/>
  <c r="P23" i="3"/>
  <c r="M23" i="3" s="1"/>
  <c r="P24" i="3"/>
  <c r="M24" i="3" s="1"/>
  <c r="P25" i="3"/>
  <c r="M25" i="3" s="1"/>
  <c r="P26" i="3"/>
  <c r="M26" i="3" s="1"/>
  <c r="P27" i="3"/>
  <c r="M27" i="3" s="1"/>
  <c r="P16" i="3"/>
  <c r="M16" i="3" s="1"/>
  <c r="N27" i="3"/>
  <c r="C27" i="3" s="1"/>
  <c r="N25" i="3"/>
  <c r="G25" i="3" s="1"/>
  <c r="N21" i="3"/>
  <c r="G21" i="3" s="1"/>
  <c r="N20" i="3"/>
  <c r="I20" i="3" s="1"/>
  <c r="N17" i="3"/>
  <c r="K17" i="3" s="1"/>
  <c r="G20" i="3" l="1"/>
  <c r="C20" i="3"/>
  <c r="C21" i="3"/>
  <c r="E27" i="3"/>
  <c r="I27" i="3"/>
  <c r="C25" i="3"/>
  <c r="I25" i="3"/>
  <c r="E25" i="3"/>
  <c r="I21" i="3"/>
  <c r="C17" i="3"/>
  <c r="E17" i="3"/>
  <c r="G27" i="3"/>
  <c r="K21" i="3"/>
  <c r="E21" i="3"/>
  <c r="I17" i="3"/>
  <c r="E20" i="3"/>
  <c r="K25" i="3"/>
  <c r="K20" i="3"/>
  <c r="G17" i="3"/>
  <c r="K27" i="3"/>
  <c r="J33" i="8"/>
  <c r="K33" i="8" s="1"/>
  <c r="J20" i="8" l="1"/>
  <c r="K20" i="8" s="1"/>
  <c r="J226" i="8" l="1"/>
  <c r="K226" i="8" s="1"/>
  <c r="J225" i="8"/>
  <c r="K225" i="8" s="1"/>
  <c r="J224" i="8"/>
  <c r="K224" i="8" s="1"/>
  <c r="J223" i="8"/>
  <c r="K223" i="8" s="1"/>
  <c r="J222" i="8"/>
  <c r="K222" i="8" s="1"/>
  <c r="J221" i="8"/>
  <c r="J218" i="8"/>
  <c r="K218" i="8" s="1"/>
  <c r="J217" i="8"/>
  <c r="J216" i="8"/>
  <c r="J214" i="8"/>
  <c r="J213" i="8"/>
  <c r="J211" i="8"/>
  <c r="J210" i="8"/>
  <c r="J209" i="8"/>
  <c r="J208" i="8"/>
  <c r="J207" i="8"/>
  <c r="J206" i="8"/>
  <c r="J204" i="8"/>
  <c r="K204" i="8" s="1"/>
  <c r="J203" i="8"/>
  <c r="J202" i="8"/>
  <c r="J198" i="8"/>
  <c r="J197" i="8"/>
  <c r="K197" i="8" s="1"/>
  <c r="J196" i="8"/>
  <c r="K196" i="8" s="1"/>
  <c r="J195" i="8"/>
  <c r="K195" i="8" s="1"/>
  <c r="J194" i="8"/>
  <c r="K194" i="8" s="1"/>
  <c r="J193" i="8"/>
  <c r="K193" i="8" s="1"/>
  <c r="J192" i="8"/>
  <c r="K192" i="8" s="1"/>
  <c r="J188" i="8"/>
  <c r="J187" i="8"/>
  <c r="J186" i="8"/>
  <c r="K186" i="8" s="1"/>
  <c r="J185" i="8"/>
  <c r="K185" i="8" s="1"/>
  <c r="J184" i="8"/>
  <c r="K184" i="8" s="1"/>
  <c r="J182" i="8"/>
  <c r="K182" i="8" s="1"/>
  <c r="J181" i="8"/>
  <c r="K181" i="8" s="1"/>
  <c r="J180" i="8"/>
  <c r="K180" i="8" s="1"/>
  <c r="J179" i="8"/>
  <c r="K179" i="8" s="1"/>
  <c r="J175" i="8"/>
  <c r="K175" i="8" s="1"/>
  <c r="J174" i="8"/>
  <c r="K174" i="8" s="1"/>
  <c r="J173" i="8"/>
  <c r="K173" i="8" s="1"/>
  <c r="J172" i="8"/>
  <c r="K172" i="8" s="1"/>
  <c r="J171" i="8"/>
  <c r="K171" i="8" s="1"/>
  <c r="J170" i="8"/>
  <c r="K170" i="8" s="1"/>
  <c r="J169" i="8"/>
  <c r="K169" i="8" s="1"/>
  <c r="J168" i="8"/>
  <c r="K168" i="8" s="1"/>
  <c r="J166" i="8"/>
  <c r="K166" i="8" s="1"/>
  <c r="J165" i="8"/>
  <c r="K165" i="8" s="1"/>
  <c r="J164" i="8"/>
  <c r="J163" i="8"/>
  <c r="K163" i="8" s="1"/>
  <c r="J162" i="8"/>
  <c r="K162" i="8" s="1"/>
  <c r="J160" i="8"/>
  <c r="K160" i="8" s="1"/>
  <c r="J159" i="8"/>
  <c r="K159" i="8" s="1"/>
  <c r="J158" i="8"/>
  <c r="K158" i="8" s="1"/>
  <c r="J157" i="8"/>
  <c r="J156" i="8"/>
  <c r="J155" i="8"/>
  <c r="J153" i="8"/>
  <c r="K153" i="8" s="1"/>
  <c r="J152" i="8"/>
  <c r="K152" i="8" s="1"/>
  <c r="J151" i="8"/>
  <c r="K151" i="8" s="1"/>
  <c r="J150" i="8"/>
  <c r="K150" i="8" s="1"/>
  <c r="J149" i="8"/>
  <c r="K149" i="8" s="1"/>
  <c r="J148" i="8"/>
  <c r="K148" i="8" s="1"/>
  <c r="J147" i="8"/>
  <c r="K147" i="8" s="1"/>
  <c r="J146" i="8"/>
  <c r="K146" i="8" s="1"/>
  <c r="J145" i="8"/>
  <c r="K145" i="8" s="1"/>
  <c r="J144" i="8"/>
  <c r="K144" i="8" s="1"/>
  <c r="J143" i="8"/>
  <c r="K143" i="8" s="1"/>
  <c r="J142" i="8"/>
  <c r="K142" i="8" s="1"/>
  <c r="J141" i="8"/>
  <c r="K141" i="8" s="1"/>
  <c r="J137" i="8"/>
  <c r="K137" i="8" s="1"/>
  <c r="J136" i="8"/>
  <c r="K136" i="8" s="1"/>
  <c r="J135" i="8"/>
  <c r="K135" i="8" s="1"/>
  <c r="J134" i="8"/>
  <c r="K134" i="8" s="1"/>
  <c r="J133" i="8"/>
  <c r="K133" i="8" s="1"/>
  <c r="J132" i="8"/>
  <c r="K132" i="8" s="1"/>
  <c r="J131" i="8"/>
  <c r="K131" i="8" s="1"/>
  <c r="J130" i="8"/>
  <c r="J129" i="8"/>
  <c r="K129" i="8" s="1"/>
  <c r="J128" i="8"/>
  <c r="K128" i="8" s="1"/>
  <c r="J127" i="8"/>
  <c r="K127" i="8" s="1"/>
  <c r="J126" i="8"/>
  <c r="K126" i="8" s="1"/>
  <c r="J125" i="8"/>
  <c r="K125" i="8" s="1"/>
  <c r="J124" i="8"/>
  <c r="K124" i="8" s="1"/>
  <c r="J122" i="8"/>
  <c r="J121" i="8"/>
  <c r="J120" i="8"/>
  <c r="K120" i="8" s="1"/>
  <c r="J119" i="8"/>
  <c r="K119" i="8" s="1"/>
  <c r="J118" i="8"/>
  <c r="K118" i="8" s="1"/>
  <c r="J117" i="8"/>
  <c r="J116" i="8"/>
  <c r="K116" i="8" s="1"/>
  <c r="J115" i="8"/>
  <c r="J114" i="8"/>
  <c r="J113" i="8"/>
  <c r="K113" i="8" s="1"/>
  <c r="J112" i="8"/>
  <c r="K112" i="8" s="1"/>
  <c r="J111" i="8"/>
  <c r="K111" i="8" s="1"/>
  <c r="J110" i="8"/>
  <c r="K110" i="8" s="1"/>
  <c r="J109" i="8"/>
  <c r="K109" i="8" s="1"/>
  <c r="J108" i="8"/>
  <c r="K108" i="8" s="1"/>
  <c r="J107" i="8"/>
  <c r="K107" i="8" s="1"/>
  <c r="J106" i="8"/>
  <c r="J105" i="8"/>
  <c r="J104" i="8"/>
  <c r="J102" i="8"/>
  <c r="J101" i="8"/>
  <c r="K101" i="8" s="1"/>
  <c r="J99" i="8"/>
  <c r="K99" i="8" s="1"/>
  <c r="J98" i="8"/>
  <c r="K98" i="8" s="1"/>
  <c r="J97" i="8"/>
  <c r="J96" i="8"/>
  <c r="K96" i="8" s="1"/>
  <c r="J95" i="8"/>
  <c r="J94" i="8"/>
  <c r="K94" i="8" s="1"/>
  <c r="J93" i="8"/>
  <c r="J92" i="8"/>
  <c r="J91" i="8"/>
  <c r="J90" i="8"/>
  <c r="K90" i="8" s="1"/>
  <c r="J89" i="8"/>
  <c r="K89" i="8" s="1"/>
  <c r="J88" i="8"/>
  <c r="K88" i="8" s="1"/>
  <c r="J87" i="8"/>
  <c r="K87" i="8" s="1"/>
  <c r="J86" i="8"/>
  <c r="K86" i="8" s="1"/>
  <c r="J85" i="8"/>
  <c r="K85" i="8" s="1"/>
  <c r="J84" i="8"/>
  <c r="K84" i="8" s="1"/>
  <c r="J83" i="8"/>
  <c r="K83" i="8" s="1"/>
  <c r="J82" i="8"/>
  <c r="K82" i="8" s="1"/>
  <c r="J78" i="8"/>
  <c r="K78" i="8" s="1"/>
  <c r="J77" i="8"/>
  <c r="K77" i="8" s="1"/>
  <c r="J76" i="8"/>
  <c r="K76" i="8" s="1"/>
  <c r="J75" i="8"/>
  <c r="K75" i="8" s="1"/>
  <c r="J74" i="8"/>
  <c r="K74" i="8" s="1"/>
  <c r="J73" i="8"/>
  <c r="K73" i="8" s="1"/>
  <c r="K79" i="8" s="1"/>
  <c r="J70" i="8"/>
  <c r="K70" i="8" s="1"/>
  <c r="J69" i="8"/>
  <c r="K69" i="8" s="1"/>
  <c r="J68" i="8"/>
  <c r="K68" i="8" s="1"/>
  <c r="J67" i="8"/>
  <c r="K67" i="8" s="1"/>
  <c r="J64" i="8"/>
  <c r="K64" i="8" s="1"/>
  <c r="J63" i="8"/>
  <c r="K63" i="8" s="1"/>
  <c r="J62" i="8"/>
  <c r="K62" i="8" s="1"/>
  <c r="J61" i="8"/>
  <c r="K61" i="8" s="1"/>
  <c r="J60" i="8"/>
  <c r="K60" i="8" s="1"/>
  <c r="J59" i="8"/>
  <c r="K59" i="8" s="1"/>
  <c r="J58" i="8"/>
  <c r="K58" i="8" s="1"/>
  <c r="J56" i="8"/>
  <c r="K56" i="8" s="1"/>
  <c r="J55" i="8"/>
  <c r="K55" i="8" s="1"/>
  <c r="J54" i="8"/>
  <c r="K54" i="8" s="1"/>
  <c r="J53" i="8"/>
  <c r="K53" i="8" s="1"/>
  <c r="J52" i="8"/>
  <c r="K52" i="8" s="1"/>
  <c r="J50" i="8"/>
  <c r="K50" i="8" s="1"/>
  <c r="J49" i="8"/>
  <c r="K49" i="8" s="1"/>
  <c r="J48" i="8"/>
  <c r="K48" i="8" s="1"/>
  <c r="J47" i="8"/>
  <c r="K47" i="8" s="1"/>
  <c r="J46" i="8"/>
  <c r="K46" i="8" s="1"/>
  <c r="J42" i="8"/>
  <c r="K42" i="8" s="1"/>
  <c r="J41" i="8"/>
  <c r="K41" i="8" s="1"/>
  <c r="J40" i="8"/>
  <c r="K40" i="8" s="1"/>
  <c r="J39" i="8"/>
  <c r="K39" i="8" s="1"/>
  <c r="J38" i="8"/>
  <c r="K38" i="8" s="1"/>
  <c r="J37" i="8"/>
  <c r="K37" i="8" s="1"/>
  <c r="J36" i="8"/>
  <c r="K36" i="8" s="1"/>
  <c r="J34" i="8"/>
  <c r="K34" i="8" s="1"/>
  <c r="J32" i="8"/>
  <c r="K32" i="8" s="1"/>
  <c r="J31" i="8"/>
  <c r="K31" i="8" s="1"/>
  <c r="J30" i="8"/>
  <c r="K30" i="8" s="1"/>
  <c r="J19" i="8"/>
  <c r="K19" i="8" s="1"/>
  <c r="J18" i="8"/>
  <c r="J17" i="8"/>
  <c r="G164" i="8"/>
  <c r="G157" i="8"/>
  <c r="G156" i="8"/>
  <c r="G155" i="8"/>
  <c r="G217" i="8"/>
  <c r="G214" i="8"/>
  <c r="G213" i="8" s="1"/>
  <c r="G211" i="8"/>
  <c r="G210" i="8"/>
  <c r="G207" i="8" s="1"/>
  <c r="K65" i="8" l="1"/>
  <c r="N19" i="3" s="1"/>
  <c r="K43" i="8"/>
  <c r="N18" i="3" s="1"/>
  <c r="K71" i="8"/>
  <c r="K164" i="8"/>
  <c r="K207" i="8"/>
  <c r="K217" i="8"/>
  <c r="K155" i="8"/>
  <c r="K156" i="8"/>
  <c r="K157" i="8"/>
  <c r="K210" i="8"/>
  <c r="K211" i="8"/>
  <c r="K213" i="8"/>
  <c r="K214" i="8"/>
  <c r="G209" i="8"/>
  <c r="K209" i="8" s="1"/>
  <c r="K19" i="3" l="1"/>
  <c r="G19" i="3"/>
  <c r="C19" i="3"/>
  <c r="E19" i="3"/>
  <c r="I19" i="3"/>
  <c r="G18" i="3"/>
  <c r="C18" i="3"/>
  <c r="I18" i="3"/>
  <c r="K18" i="3"/>
  <c r="E18" i="3"/>
  <c r="K176" i="8"/>
  <c r="N23" i="3" s="1"/>
  <c r="G208" i="8"/>
  <c r="K208" i="8" s="1"/>
  <c r="G206" i="8"/>
  <c r="K206" i="8" s="1"/>
  <c r="I23" i="3" l="1"/>
  <c r="C23" i="3"/>
  <c r="E23" i="3"/>
  <c r="K23" i="3"/>
  <c r="G23" i="3"/>
  <c r="I191" i="8"/>
  <c r="J191" i="8" s="1"/>
  <c r="K191" i="8" s="1"/>
  <c r="J26" i="8"/>
  <c r="K26" i="8" s="1"/>
  <c r="J25" i="8"/>
  <c r="J24" i="8"/>
  <c r="J23" i="8"/>
  <c r="K23" i="8" s="1"/>
  <c r="G202" i="8" l="1"/>
  <c r="K202" i="8" s="1"/>
  <c r="G203" i="8" l="1"/>
  <c r="K203" i="8" s="1"/>
  <c r="G122" i="8"/>
  <c r="K122" i="8" s="1"/>
  <c r="G121" i="8"/>
  <c r="K121" i="8" s="1"/>
  <c r="G216" i="8"/>
  <c r="K216" i="8" s="1"/>
  <c r="G117" i="8"/>
  <c r="K117" i="8" s="1"/>
  <c r="G106" i="8"/>
  <c r="K106" i="8" s="1"/>
  <c r="G105" i="8"/>
  <c r="K105" i="8" s="1"/>
  <c r="G114" i="8"/>
  <c r="K114" i="8" s="1"/>
  <c r="G115" i="8"/>
  <c r="K115" i="8" s="1"/>
  <c r="G104" i="8"/>
  <c r="K104" i="8" s="1"/>
  <c r="G91" i="8"/>
  <c r="K91" i="8" s="1"/>
  <c r="G92" i="8"/>
  <c r="K92" i="8" s="1"/>
  <c r="G102" i="8"/>
  <c r="K102" i="8" s="1"/>
  <c r="G97" i="8"/>
  <c r="K97" i="8" s="1"/>
  <c r="G93" i="8"/>
  <c r="K93" i="8" s="1"/>
  <c r="K95" i="8"/>
  <c r="G130" i="8"/>
  <c r="K130" i="8" s="1"/>
  <c r="K219" i="8" l="1"/>
  <c r="N26" i="3" s="1"/>
  <c r="K138" i="8"/>
  <c r="N22" i="3" s="1"/>
  <c r="G198" i="8"/>
  <c r="K198" i="8" s="1"/>
  <c r="K199" i="8" s="1"/>
  <c r="I22" i="3" l="1"/>
  <c r="E22" i="3"/>
  <c r="G22" i="3"/>
  <c r="C22" i="3"/>
  <c r="K22" i="3"/>
  <c r="E26" i="3"/>
  <c r="I26" i="3"/>
  <c r="C26" i="3"/>
  <c r="G26" i="3"/>
  <c r="K26" i="3"/>
  <c r="G187" i="8"/>
  <c r="K187" i="8" s="1"/>
  <c r="G25" i="8"/>
  <c r="K25" i="8" s="1"/>
  <c r="G188" i="8" l="1"/>
  <c r="K188" i="8" s="1"/>
  <c r="K189" i="8" s="1"/>
  <c r="N24" i="3" s="1"/>
  <c r="G18" i="8"/>
  <c r="K18" i="8" s="1"/>
  <c r="G24" i="3" l="1"/>
  <c r="I24" i="3"/>
  <c r="K24" i="3"/>
  <c r="C24" i="3"/>
  <c r="E24" i="3"/>
  <c r="G221" i="8"/>
  <c r="K221" i="8" s="1"/>
  <c r="K227" i="8" s="1"/>
  <c r="G24" i="8" l="1"/>
  <c r="K24" i="8" s="1"/>
  <c r="K27" i="8" s="1"/>
  <c r="J189" i="8"/>
  <c r="J199" i="8"/>
  <c r="J79" i="8"/>
  <c r="J71" i="8"/>
  <c r="J65" i="8"/>
  <c r="J43" i="8"/>
  <c r="G17" i="8" l="1"/>
  <c r="K17" i="8" s="1"/>
  <c r="K21" i="8" s="1"/>
  <c r="K229" i="8" l="1"/>
  <c r="K230" i="8" s="1"/>
  <c r="K231" i="8" s="1"/>
  <c r="N16" i="3"/>
  <c r="J219" i="8"/>
  <c r="J176" i="8"/>
  <c r="J138" i="8"/>
  <c r="E16" i="3" l="1"/>
  <c r="C16" i="3"/>
  <c r="C28" i="3" s="1"/>
  <c r="C29" i="3" s="1"/>
  <c r="N28" i="3"/>
  <c r="K16" i="3"/>
  <c r="K28" i="3" s="1"/>
  <c r="I16" i="3"/>
  <c r="G16" i="3"/>
  <c r="G28" i="3" s="1"/>
  <c r="H28" i="3" s="1"/>
  <c r="I28" i="3"/>
  <c r="J28" i="3" s="1"/>
  <c r="E28" i="3"/>
  <c r="F28" i="3" s="1"/>
  <c r="D28" i="3" l="1"/>
  <c r="D29" i="3" s="1"/>
  <c r="E29" i="3"/>
  <c r="G29" i="3" s="1"/>
  <c r="L28" i="3"/>
  <c r="O26" i="3"/>
  <c r="O17" i="3"/>
  <c r="O21" i="3"/>
  <c r="O22" i="3"/>
  <c r="O23" i="3"/>
  <c r="O25" i="3"/>
  <c r="O18" i="3"/>
  <c r="O19" i="3"/>
  <c r="O20" i="3"/>
  <c r="O24" i="3"/>
  <c r="O27" i="3"/>
  <c r="I29" i="3"/>
  <c r="K29" i="3" s="1"/>
  <c r="O16" i="3"/>
  <c r="F29" i="3"/>
  <c r="H29" i="3" s="1"/>
  <c r="J29" i="3" s="1"/>
  <c r="L29" i="3" s="1"/>
  <c r="O28" i="3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E24" authorId="0" shapeId="0" xr:uid="{C303FE04-109F-4994-8A17-E4B8B2167189}">
      <text>
        <r>
          <rPr>
            <b/>
            <sz val="9"/>
            <color indexed="81"/>
            <rFont val="Segoe UI"/>
            <family val="2"/>
          </rPr>
          <t>User:</t>
        </r>
        <r>
          <rPr>
            <sz val="9"/>
            <color indexed="81"/>
            <rFont val="Segoe UI"/>
            <family val="2"/>
          </rPr>
          <t xml:space="preserve">
REMOÇÃO DA JANELA DA IMPRESSORA E INSTALAÇÃO ATRAS</t>
        </r>
      </text>
    </comment>
    <comment ref="G24" authorId="0" shapeId="0" xr:uid="{F6F64E5B-5A82-4D75-B4DB-3F04C082D4C7}">
      <text>
        <r>
          <rPr>
            <b/>
            <sz val="9"/>
            <color indexed="81"/>
            <rFont val="Segoe UI"/>
            <family val="2"/>
          </rPr>
          <t>User:</t>
        </r>
        <r>
          <rPr>
            <sz val="9"/>
            <color indexed="81"/>
            <rFont val="Segoe UI"/>
            <family val="2"/>
          </rPr>
          <t xml:space="preserve">
janela + porta</t>
        </r>
      </text>
    </comment>
    <comment ref="G25" authorId="0" shapeId="0" xr:uid="{9D2AF220-C214-4970-B2BE-7A38A5049E7F}">
      <text>
        <r>
          <rPr>
            <b/>
            <sz val="9"/>
            <color indexed="81"/>
            <rFont val="Segoe UI"/>
            <family val="2"/>
          </rPr>
          <t>User:</t>
        </r>
        <r>
          <rPr>
            <sz val="9"/>
            <color indexed="81"/>
            <rFont val="Segoe UI"/>
            <family val="2"/>
          </rPr>
          <t xml:space="preserve">
área piso cimentado em frente o auditório</t>
        </r>
      </text>
    </comment>
    <comment ref="G26" authorId="0" shapeId="0" xr:uid="{6321A3C1-D7F4-4A79-8E65-B76AF46F9EA7}">
      <text>
        <r>
          <rPr>
            <b/>
            <sz val="9"/>
            <color indexed="81"/>
            <rFont val="Segoe UI"/>
            <family val="2"/>
          </rPr>
          <t>User:</t>
        </r>
        <r>
          <rPr>
            <sz val="9"/>
            <color indexed="81"/>
            <rFont val="Segoe UI"/>
            <family val="2"/>
          </rPr>
          <t xml:space="preserve">
área de grama em frente o auditório</t>
        </r>
      </text>
    </comment>
    <comment ref="G107" authorId="0" shapeId="0" xr:uid="{1AA5D2B1-5FC3-47EE-B16A-EB39326A851A}">
      <text>
        <r>
          <rPr>
            <b/>
            <sz val="9"/>
            <color indexed="81"/>
            <rFont val="Segoe UI"/>
            <family val="2"/>
          </rPr>
          <t>User:</t>
        </r>
        <r>
          <rPr>
            <sz val="9"/>
            <color indexed="81"/>
            <rFont val="Segoe UI"/>
            <family val="2"/>
          </rPr>
          <t xml:space="preserve">
LAVATÓRIO</t>
        </r>
      </text>
    </comment>
    <comment ref="G108" authorId="0" shapeId="0" xr:uid="{F3EE51E2-224B-4CA7-836F-7150617444F2}">
      <text>
        <r>
          <rPr>
            <b/>
            <sz val="9"/>
            <color indexed="81"/>
            <rFont val="Segoe UI"/>
            <family val="2"/>
          </rPr>
          <t>User:</t>
        </r>
        <r>
          <rPr>
            <sz val="9"/>
            <color indexed="81"/>
            <rFont val="Segoe UI"/>
            <family val="2"/>
          </rPr>
          <t xml:space="preserve">
LAVATÓRIO</t>
        </r>
      </text>
    </comment>
    <comment ref="G187" authorId="0" shapeId="0" xr:uid="{2AEEE3DA-D009-4C94-8F9C-53B39EB5BA32}">
      <text>
        <r>
          <rPr>
            <b/>
            <sz val="9"/>
            <color indexed="81"/>
            <rFont val="Segoe UI"/>
            <family val="2"/>
          </rPr>
          <t>User:</t>
        </r>
        <r>
          <rPr>
            <sz val="9"/>
            <color indexed="81"/>
            <rFont val="Segoe UI"/>
            <family val="2"/>
          </rPr>
          <t xml:space="preserve">
piso cimentado em frente ao auditório</t>
        </r>
      </text>
    </comment>
    <comment ref="E191" authorId="0" shapeId="0" xr:uid="{C4C0965A-9EC1-4D1C-893E-6F61099C771E}">
      <text>
        <r>
          <rPr>
            <b/>
            <sz val="9"/>
            <color indexed="81"/>
            <rFont val="Segoe UI"/>
            <family val="2"/>
          </rPr>
          <t>User:</t>
        </r>
        <r>
          <rPr>
            <sz val="9"/>
            <color indexed="81"/>
            <rFont val="Segoe UI"/>
            <family val="2"/>
          </rPr>
          <t xml:space="preserve">
Somente instalação janela da impressora (sem a janela)</t>
        </r>
      </text>
    </comment>
    <comment ref="G206" authorId="0" shapeId="0" xr:uid="{96480149-DABD-46E1-BA5B-52DDC5997E68}">
      <text>
        <r>
          <rPr>
            <b/>
            <sz val="9"/>
            <color indexed="81"/>
            <rFont val="Segoe UI"/>
            <charset val="1"/>
          </rPr>
          <t>User:</t>
        </r>
        <r>
          <rPr>
            <sz val="9"/>
            <color indexed="81"/>
            <rFont val="Segoe UI"/>
            <charset val="1"/>
          </rPr>
          <t xml:space="preserve">
PINTURA LATEX + TEXTURIZADA</t>
        </r>
      </text>
    </comment>
    <comment ref="G207" authorId="0" shapeId="0" xr:uid="{115C93E2-B3AE-4FEF-8E70-ABFC3C384706}">
      <text>
        <r>
          <rPr>
            <b/>
            <sz val="9"/>
            <color indexed="81"/>
            <rFont val="Segoe UI"/>
            <charset val="1"/>
          </rPr>
          <t>User:</t>
        </r>
        <r>
          <rPr>
            <sz val="9"/>
            <color indexed="81"/>
            <rFont val="Segoe UI"/>
            <charset val="1"/>
          </rPr>
          <t xml:space="preserve">
PINTURA ESMALTE</t>
        </r>
      </text>
    </comment>
    <comment ref="G208" authorId="0" shapeId="0" xr:uid="{05CE598F-ECF4-420F-8AE2-757D65F14754}">
      <text>
        <r>
          <rPr>
            <b/>
            <sz val="9"/>
            <color indexed="81"/>
            <rFont val="Segoe UI"/>
            <charset val="1"/>
          </rPr>
          <t>User:</t>
        </r>
        <r>
          <rPr>
            <sz val="9"/>
            <color indexed="81"/>
            <rFont val="Segoe UI"/>
            <charset val="1"/>
          </rPr>
          <t xml:space="preserve">
PINTURA LATEX + ESMALTE</t>
        </r>
      </text>
    </comment>
    <comment ref="E209" authorId="0" shapeId="0" xr:uid="{898C9433-E485-4E4E-AC6F-89D67E7F398E}">
      <text>
        <r>
          <rPr>
            <b/>
            <sz val="9"/>
            <color indexed="81"/>
            <rFont val="Segoe UI"/>
            <charset val="1"/>
          </rPr>
          <t>User:</t>
        </r>
        <r>
          <rPr>
            <sz val="9"/>
            <color indexed="81"/>
            <rFont val="Segoe UI"/>
            <charset val="1"/>
          </rPr>
          <t xml:space="preserve">
LISO</t>
        </r>
      </text>
    </comment>
    <comment ref="G209" authorId="0" shapeId="0" xr:uid="{33261399-5490-4DEE-9A30-DD989B93A37C}">
      <text>
        <r>
          <rPr>
            <b/>
            <sz val="9"/>
            <color indexed="81"/>
            <rFont val="Segoe UI"/>
            <charset val="1"/>
          </rPr>
          <t>User:</t>
        </r>
        <r>
          <rPr>
            <sz val="9"/>
            <color indexed="81"/>
            <rFont val="Segoe UI"/>
            <charset val="1"/>
          </rPr>
          <t xml:space="preserve">
CREAS INTERNO + CRIAP INTERNO</t>
        </r>
      </text>
    </comment>
    <comment ref="E210" authorId="0" shapeId="0" xr:uid="{02BEB70A-DB09-4E50-AC42-5801E9C93503}">
      <text>
        <r>
          <rPr>
            <b/>
            <sz val="9"/>
            <color indexed="81"/>
            <rFont val="Segoe UI"/>
            <charset val="1"/>
          </rPr>
          <t>User:</t>
        </r>
        <r>
          <rPr>
            <sz val="9"/>
            <color indexed="81"/>
            <rFont val="Segoe UI"/>
            <charset val="1"/>
          </rPr>
          <t xml:space="preserve">
BARRADO</t>
        </r>
      </text>
    </comment>
    <comment ref="G210" authorId="0" shapeId="0" xr:uid="{D3EC0B8A-D878-4C9B-A3F1-2F0F792C8713}">
      <text>
        <r>
          <rPr>
            <b/>
            <sz val="9"/>
            <color indexed="81"/>
            <rFont val="Segoe UI"/>
            <family val="2"/>
          </rPr>
          <t>User:</t>
        </r>
        <r>
          <rPr>
            <sz val="9"/>
            <color indexed="81"/>
            <rFont val="Segoe UI"/>
            <family val="2"/>
          </rPr>
          <t xml:space="preserve">
CREAS INTERNO  BARRADO</t>
        </r>
      </text>
    </comment>
    <comment ref="G211" authorId="0" shapeId="0" xr:uid="{C6004629-3CC4-4B30-9DA2-69B60A84D1C4}">
      <text>
        <r>
          <rPr>
            <b/>
            <sz val="9"/>
            <color indexed="81"/>
            <rFont val="Segoe UI"/>
            <charset val="1"/>
          </rPr>
          <t>User:</t>
        </r>
        <r>
          <rPr>
            <sz val="9"/>
            <color indexed="81"/>
            <rFont val="Segoe UI"/>
            <charset val="1"/>
          </rPr>
          <t xml:space="preserve">
AUDITÓRIO INTERNO</t>
        </r>
      </text>
    </comment>
    <comment ref="G214" authorId="0" shapeId="0" xr:uid="{3EC652BB-5E0D-49F5-A51D-ADBF72591E7A}">
      <text>
        <r>
          <rPr>
            <b/>
            <sz val="9"/>
            <color indexed="81"/>
            <rFont val="Segoe UI"/>
            <family val="2"/>
          </rPr>
          <t>User:</t>
        </r>
        <r>
          <rPr>
            <sz val="9"/>
            <color indexed="81"/>
            <rFont val="Segoe UI"/>
            <family val="2"/>
          </rPr>
          <t xml:space="preserve">
(CREAS EXTERNO + AUDITÓRIO EXTERNO + CRIAP EXTERNO)  + (MURO + MURETA)</t>
        </r>
      </text>
    </comment>
  </commentList>
</comments>
</file>

<file path=xl/sharedStrings.xml><?xml version="1.0" encoding="utf-8"?>
<sst xmlns="http://schemas.openxmlformats.org/spreadsheetml/2006/main" count="841" uniqueCount="457">
  <si>
    <t>ITEM</t>
  </si>
  <si>
    <t>SERVIÇO</t>
  </si>
  <si>
    <t>QTD</t>
  </si>
  <si>
    <t>UND</t>
  </si>
  <si>
    <t>VALOR MÃO DE OBRA</t>
  </si>
  <si>
    <t>VALOR MATERIAL</t>
  </si>
  <si>
    <t>VALOR TOTAL</t>
  </si>
  <si>
    <t>VALOR UNITÁRIO</t>
  </si>
  <si>
    <t>PLANILHA ORÇAMENTÁRIA</t>
  </si>
  <si>
    <t>SERVIÇOS PRELIMINARES</t>
  </si>
  <si>
    <t>COBERTURA</t>
  </si>
  <si>
    <t>INSTALAÇÕES HIDROSSANITÁRIAS</t>
  </si>
  <si>
    <t>INSTALAÇÕES ELÉTRICAS</t>
  </si>
  <si>
    <t>GOINFRA</t>
  </si>
  <si>
    <t>TUBO SOLDAVEL PVC MARROM DIAM. 25 MM</t>
  </si>
  <si>
    <t>JOELHO 90 GRAUS SOLDAVEL COM BUCHA DE LATAO 25 X 3/4"</t>
  </si>
  <si>
    <t>JOELHO 90 GRAUS SOLDAVEL DIAMETRO 25 MM</t>
  </si>
  <si>
    <t>TE 90 GRAUS SOLDAVEL DIAMETRO 25 MM</t>
  </si>
  <si>
    <t>ADAPTADOR SOLDÁVEL CURTO C/ BOLSA E ROSCA PARA REGISTRO 25X3/4"</t>
  </si>
  <si>
    <t>LIGAÇÃO FLEXÍVEL PVC DIAM.1/2" (ENGATE)</t>
  </si>
  <si>
    <t>TORNEIRA DE JARDIM COM BICO PARA MANGUEIRA DIÂMETRO DE 1/2" E 3/4"</t>
  </si>
  <si>
    <t>TOMADA HEXAGONAL 2P + T - 10A - 250V</t>
  </si>
  <si>
    <t>TOMADA HEXAGONAL 2P + T - 20A - 250V</t>
  </si>
  <si>
    <t>INTERRUPTOR SIMPLES (2 SECOES)</t>
  </si>
  <si>
    <t>ELETRODUTO PVC FLEXÍVEL - MANGUEIRA CORRUGADA LEVE - DIAM. 25MM</t>
  </si>
  <si>
    <t>CABO FLEXÍVEL, PVC (70° C), 450/750 V, 2,5 MM2</t>
  </si>
  <si>
    <t>CABO FLEXÍVEL PVC (70° C), 0,6/1 KV, 1,5 MM2</t>
  </si>
  <si>
    <t>SERVIÇOS FINAIS</t>
  </si>
  <si>
    <t>LIMPEZA FINAL DE OBRA - (OBRAS CIVIS)</t>
  </si>
  <si>
    <t>TUBO SOLDAVEL PARA ESGOTO DIAMETRO 40 MM</t>
  </si>
  <si>
    <t>CORPO CAIXA SIFONADA DIAM. 100 X 100 X 50</t>
  </si>
  <si>
    <t>%</t>
  </si>
  <si>
    <t>PINTURA LATEX ACRILICA 2 DEMAOS C/SELADOR</t>
  </si>
  <si>
    <t>PINTURA GERAL</t>
  </si>
  <si>
    <t>PINTURA VERNIZ EM MADEIRA 2 DEMAOS</t>
  </si>
  <si>
    <t>SINAPI</t>
  </si>
  <si>
    <t>TOTAL</t>
  </si>
  <si>
    <t>CRONOGRAMA FÍSICO FINANCEIRO</t>
  </si>
  <si>
    <t>1.1</t>
  </si>
  <si>
    <t>1.2</t>
  </si>
  <si>
    <t>FONTE</t>
  </si>
  <si>
    <t>2.1</t>
  </si>
  <si>
    <t>2.2</t>
  </si>
  <si>
    <t>2.3</t>
  </si>
  <si>
    <t>2.4</t>
  </si>
  <si>
    <t>3.1</t>
  </si>
  <si>
    <t>3.2</t>
  </si>
  <si>
    <t>4.1</t>
  </si>
  <si>
    <t>4.2</t>
  </si>
  <si>
    <t>4.3</t>
  </si>
  <si>
    <t>5.1</t>
  </si>
  <si>
    <t>5.2</t>
  </si>
  <si>
    <t>5.3</t>
  </si>
  <si>
    <t>6.1</t>
  </si>
  <si>
    <t>6.2</t>
  </si>
  <si>
    <t>6.3</t>
  </si>
  <si>
    <t>6.4</t>
  </si>
  <si>
    <t>6.5</t>
  </si>
  <si>
    <t>6.6</t>
  </si>
  <si>
    <t>7.1</t>
  </si>
  <si>
    <t>7.2</t>
  </si>
  <si>
    <t>FERRAMENTAS ELÉTRICAS, EQUIPAMENTOS E MATERIAL DE LIMPEZA PERMANENTE DA OBRA - ÁREAS EDIFICADAS/COBERTAS/FECHADAS</t>
  </si>
  <si>
    <t>CÓD</t>
  </si>
  <si>
    <t>DEMONSTRATIVO DE BDI</t>
  </si>
  <si>
    <t xml:space="preserve">Para o cálculo do BDI, utilizou-se o ACÓRDÃO 2.622/2013 – TCU – PLENÁRIO / PORTARIA 449/2015 PR-AGETOP </t>
  </si>
  <si>
    <t>Coeficientes adotados:</t>
  </si>
  <si>
    <t>Administração central (AC): Valores definidos a partir dos limites no Acórdão nº 2.622/2013 - TCU – Plenário. Valores médios.</t>
  </si>
  <si>
    <t xml:space="preserve">Lucro (L): Valores definidos a partir dos limites definidos no Acórdão nº 2.622/2013 - TCU – Plenário. </t>
  </si>
  <si>
    <t>Valores adotados e praticados no mercado</t>
  </si>
  <si>
    <t xml:space="preserve">Despesas financeiras (DF): Valor calculado pela expressão matemática do acórdão 2.369/2011 – TCU – Plenário. </t>
  </si>
  <si>
    <t>(Foi utilizado para o cálculo a média da Taxa SELIC do ano de 2015)</t>
  </si>
  <si>
    <t xml:space="preserve">Seguros + Garantias (S + G): Valores definidos a partir dos limites no Acórdão nº 2.622/2013 - TCU – Plenário. </t>
  </si>
  <si>
    <t>Valores médios. (Seguros contra erros de execução, incêndio e explosão, danos da natureza (vendaval, destelhamento, alagamento, inundação, desmoronamento, geadas etc.), emprego de material defeituoso ou inadequado, roubo e/ou furto qualificado, quebra de equipamentos, desmoronamento de estrutura, nas modalidades de Obras Civis em Construção (OCC); Instalação e Montagem (IM); e Obras Civis em Construção e Instalação e Montagem (OCC/IM). Bem como coberturas adicionais para ampliação dessas coberturas básicas, como: cobertura de responsabilidade civil geral, cobertura de responsabilidade civil cruzada, cobertura de despesas extraordinárias, cobertura de tumultos, cobertura de desentulho do local, cobertura de riscos do fabricante, dentre outras, incluindo o seguro de vida em grupo regido pela convenção coletiva dos trabalhadores na indústria da construção civil). A partir de 24/02/2015 por intermédio da Portaria 449/2015 a Presidência desta casa, na pessoa do Senhor Jayme Eduardo Rincon, determinou a exclusão dos valores referentes aos Seguros de Risco de Engenharia e Responsabilidade Civil do Profissional na composição do cálculo do B.D.I..</t>
  </si>
  <si>
    <t>Riscos ( R ): Valores definidos a partir dos limites no Acórdão nº 2.622/2013 - TCU – Plenário. Valores 1º quartil.</t>
  </si>
  <si>
    <t>PIS: Alíquota definida por lei (lucro presumido) = 0,65%</t>
  </si>
  <si>
    <t>COFINS: Alíquota definida por lei (lucro presumido) = 3,00%</t>
  </si>
  <si>
    <t xml:space="preserve">CPRB: Alíquota definida pelas leis 12.546/11, 12844/13 e 13.161/15 </t>
  </si>
  <si>
    <t>(CPRB – contribuição previdenciária sobre a receita bruta) = 4,50%</t>
  </si>
  <si>
    <t>1 - BDI PARA OBRAS DE EDIFICAÇÕES</t>
  </si>
  <si>
    <t>BDI GERAL</t>
  </si>
  <si>
    <t>Administração
central</t>
  </si>
  <si>
    <t>Lucro</t>
  </si>
  <si>
    <t>Despesas
financeiras</t>
  </si>
  <si>
    <t>Seguros +
Garantias</t>
  </si>
  <si>
    <t>Riscos</t>
  </si>
  <si>
    <t>Tributos</t>
  </si>
  <si>
    <t>Resultado</t>
  </si>
  <si>
    <t>A fórmula para estipulação da taxa de BDI estimado adotado é a mesma que foi aplicada para a obtenção das tabelas contidas no Acórdão n. 2.622/2013 – TCUPlenário:</t>
  </si>
  <si>
    <t>(1-l)</t>
  </si>
  <si>
    <t>(1-0,1104)</t>
  </si>
  <si>
    <r>
      <t xml:space="preserve">BDI = </t>
    </r>
    <r>
      <rPr>
        <b/>
        <u/>
        <sz val="12"/>
        <rFont val="Arial"/>
        <family val="2"/>
      </rPr>
      <t>(1+AC+S+R+G)*(1+DF)*(1+L)</t>
    </r>
    <r>
      <rPr>
        <b/>
        <sz val="12"/>
        <rFont val="Arial"/>
        <family val="2"/>
      </rPr>
      <t xml:space="preserve"> -1</t>
    </r>
  </si>
  <si>
    <r>
      <t xml:space="preserve">Tributos: </t>
    </r>
    <r>
      <rPr>
        <sz val="12"/>
        <rFont val="Arial"/>
        <family val="2"/>
      </rPr>
      <t>ISS + PIS + COFINS + CPRB</t>
    </r>
    <r>
      <rPr>
        <b/>
        <sz val="12"/>
        <rFont val="Arial"/>
        <family val="2"/>
      </rPr>
      <t xml:space="preserve"> = 11,04%</t>
    </r>
  </si>
  <si>
    <t>________________________________________________________</t>
  </si>
  <si>
    <t>Valor</t>
  </si>
  <si>
    <t>TUBO SOLDAVEL PARA ESGOTO DIAMETRO 100 MM</t>
  </si>
  <si>
    <t>LOCAL: RUA CASTRO ALVES, ESQ. C/ RUA CEL. JOÃO LOPES ZEDES, LOTE N° 04-A, QUADRA 80, CENTRO - MORRINHOS/GO, CEP: 75650-098</t>
  </si>
  <si>
    <t>SUPERESTRUTURA</t>
  </si>
  <si>
    <t>ALVENARIA E VEDAÇÕES</t>
  </si>
  <si>
    <t>ESQUADRIAS</t>
  </si>
  <si>
    <t>REVESTIMENTOS E ACABAMENTOS</t>
  </si>
  <si>
    <t>DEMOLIÇÃO MANUAL ALVENARIA TIJOLO SEM REAPROVEITAMENTO COM TRANSPORTE ATE CAÇAMBA E CARGA</t>
  </si>
  <si>
    <t>VERGA/CONTRAVERGA EM CONCRETO ARMADO FCK = 20 MPA</t>
  </si>
  <si>
    <t>JANELA DE CORRER CHAPA/VIDRO J9/J10/J12/J13 C/FERRAGENS</t>
  </si>
  <si>
    <t xml:space="preserve">PORTA LISA 90X210 COM PORTAL E ALISAR SEM FERRAGENS </t>
  </si>
  <si>
    <t>PORTA DE CORRER DE 02 OU 04 FOLHAS DE VIDRO (METADE FIXA/METADE MÓVEL) C/BASCULA SUPERIOR PF-7/PF-8 C/ FERRAGENS</t>
  </si>
  <si>
    <t>JANELA MAXIM AR CHAPA/VIDRO J3/J5/J6/J8 C/FERRAGENS</t>
  </si>
  <si>
    <t>DOBRADICA 3" x 3 1/2" FERRO POLIDO</t>
  </si>
  <si>
    <t>PAREDE COM SISTEMA EM CHAPAS DE GESSO PARA DRYWALL, USO INTERNO, COM DUAS FACES DUPLAS E ESTRUTURA METÁLICA COM GUIAS SIMPLES, SEM VÃOS. AF_07/2023_PS</t>
  </si>
  <si>
    <t>ALVENARIA DE TIJOLO COMUM 1/2 VEZ - ARGAMASSA (1CI : 2CH : 8ARML)</t>
  </si>
  <si>
    <t>REVESTIMENTO COM CERÂMICA</t>
  </si>
  <si>
    <t>TETO</t>
  </si>
  <si>
    <t>PAREDE INTERNA</t>
  </si>
  <si>
    <t>REMOCAO DE PINTURA ANTIGA A LATEX</t>
  </si>
  <si>
    <t>EMASSAMENTO COM MASSA PVA DUAS DEMAOS</t>
  </si>
  <si>
    <t>EMASSAMENTO ACRILICO 2 DEMAOS</t>
  </si>
  <si>
    <t>REMOCAO DE PINTURA ANTIGA A OLEO OU ESMALTE</t>
  </si>
  <si>
    <t>EMASSAMENTO/OLEO/ESQUADRIAS MADEIRA</t>
  </si>
  <si>
    <t>CALHA DE CHAPA GALVANIZADA Nº 26 DESENVOLVIMENTO 60 CM</t>
  </si>
  <si>
    <t>RUFO DE CHAPA GALVANIZADA Nº 26 DESENVOLVIMENTO 40 CM</t>
  </si>
  <si>
    <t>COBERTURA COM TELHA ONDULADA DE FIBROCIMENTO</t>
  </si>
  <si>
    <t>TRAMA DE AÇO COMPOSTA POR TERÇAS PARA TELHADOS DE ATÉ 2 ÁGUAS PARA TELHA ONDULADA DE FIBROCIMENTO, METÁLICA, PLÁSTICA OU TERMOACÚSTICA, INCLUSO TRANSPORTE VERTICAL, EXCLUSIVE PINTURA. AF_10/2025_PS</t>
  </si>
  <si>
    <t>MOLDURA TIPO "U" INVERTIDO EM ARGAMASSA COM 2CM DE ESPESSURA TIPO PINGADEIRA EM MURO/PLATIBANDA ( A PARTE VERTICAL DESCE 2,5CM)</t>
  </si>
  <si>
    <t>FABRICAÇÃO E INSTALAÇÃO DE TESOURA (INTEIRA OU MEIA) EM AÇO, VÃOS MAIORES OU IGUAIS A 3,0 M E MENORES QUE 6,0 M, INCLUSO IÇAMENTO, EXCLUSIVE PINTURA. AF_10/2025</t>
  </si>
  <si>
    <t>INSTALAÇÃO HIDRÁULICA</t>
  </si>
  <si>
    <t>INSTALAÇÃO DE ÁGUAS PLUVIAIS</t>
  </si>
  <si>
    <t>INSTALAÇÃO SANITÁRIA</t>
  </si>
  <si>
    <t>ASSENTO EM POLIPROPILENO COM SISTEMA DE FECHAMENTO SUAVE PARA VASO SANITÁRIO</t>
  </si>
  <si>
    <t>VASO SANITÁRIO COM CAIXA ACOPLADA COM DUPLO ACIONAMENTO (1ª LINHA) - COMPLETO EXCLUSO O ASSENTO</t>
  </si>
  <si>
    <t>REGISTRO DE GAVETA C/CANOPLA DIAMETRO 3/4"</t>
  </si>
  <si>
    <t>LAVATÓRIO DE CANTO SEM COLUNA</t>
  </si>
  <si>
    <t>PORTA PAPEL HIGIÊNICO EM METAL/ACABAMENTO CROMADO</t>
  </si>
  <si>
    <t>TORNEIRA DE MESA PARA LAVATÓRIO DIÂMETRO DE 1/2"</t>
  </si>
  <si>
    <t>SIFAO PARA LAVATORIO PVC DIAM.1"X1.1/2"</t>
  </si>
  <si>
    <t>VALVULA PARA LAVATORIO OU BEBEDOURO METALICO DIAMETRO 1"</t>
  </si>
  <si>
    <t>LOUÇAS, METAIS E COMPLEMENTARES</t>
  </si>
  <si>
    <t xml:space="preserve">BANCADA DE GRANITO C/ ESPELHO </t>
  </si>
  <si>
    <t>BARRA DE APOIO EM AÇO INOX - 80 CM</t>
  </si>
  <si>
    <t>RASPAGEM E LIMPEZA MANUAL DO TERRENO</t>
  </si>
  <si>
    <t>DEMOLIÇÃO MANUAL DE PISO CIMENTICIO SOBRE LASTRO DE CONCRETO COM TRANSPORTE ATE CAÇAMBA E CARGA</t>
  </si>
  <si>
    <t>FUNDAÇÃO</t>
  </si>
  <si>
    <t>VIGA BALDRAME</t>
  </si>
  <si>
    <t>PILAR</t>
  </si>
  <si>
    <t>VIGA</t>
  </si>
  <si>
    <t>ESCAVACAO MANUAL DE VALAS &lt; 1 MTS. (OBRAS CIVIS)</t>
  </si>
  <si>
    <t xml:space="preserve">ACO CA-50 - 8,0 MM (5/16") - (OBRAS CIVIS) </t>
  </si>
  <si>
    <t>ACO CA-60 - 5,0 MM - (OBRAS CIVIS)</t>
  </si>
  <si>
    <t>ESTACA A TRADO MANUAL (BROCA) Ø 25 CM EM CONCRETO FCK 20MPA, SEM ARMADURA</t>
  </si>
  <si>
    <t>LANÇAMENTO/APLICAÇÃO/ADENSAMENTO MANUAL DE CONCRETO - (O.C.)</t>
  </si>
  <si>
    <t>PREPARO COM BETONEIRA E TRANSPORTE MANUAL DE CONCRETO FCK-20 - (O.C.)</t>
  </si>
  <si>
    <t>FORMA DE TABUA CINTA BALDRAME U=8 VEZES</t>
  </si>
  <si>
    <t>FORMA DE TABUA CINTA/PILAR SOBRE/ENTRE ALVENARIA U=8 VEZES</t>
  </si>
  <si>
    <t>DEMOLIÇÕES E LIMPEZA</t>
  </si>
  <si>
    <t>1.3</t>
  </si>
  <si>
    <t>LOCAÇÃO DA OBRA, EXECUÇÃO DE GABARITO SEM REAPROVEITAMENTO, INCLUSO PINTURA (FACE INTERNA DO RIPÃO 15CM) E PIQUETE COM TESTEMUNHA</t>
  </si>
  <si>
    <t>PINTURA TINTA POLIESPORTIVA - 2 DEMÃOS (PISOS E CIMENTADOS)</t>
  </si>
  <si>
    <t xml:space="preserve">PISO CONCRETO DESEMPENADO ESPESSURA = 5 CM 1:2,5:3,5 </t>
  </si>
  <si>
    <t>MARQUISE</t>
  </si>
  <si>
    <t>ACO CA-50 - 10,0 MM (3/8") - (OBRAS CIVIS)</t>
  </si>
  <si>
    <t>ACO CA-50 - 6,3 MM (1/4") - (OBRAS CIVIS)</t>
  </si>
  <si>
    <t xml:space="preserve">ESCORAMENTO METALICO - VIGAS/LAJES (ALUGUEL/MES) </t>
  </si>
  <si>
    <t>PROTEÇÃO MECÂNICA, TÉRMICA E ACÚSTICA DE IMPERMEABILIZAÇÃO PARA LAJE COM VERMICULITA (1CI:2ARM:3VERM) ESP.=3C</t>
  </si>
  <si>
    <t>REVESTIMENTO PAREDES</t>
  </si>
  <si>
    <t>CHAPISCO COMUM</t>
  </si>
  <si>
    <t>EMBOÇO (1CI:4 ARML)</t>
  </si>
  <si>
    <t xml:space="preserve">REBOCO (1 CALH:4 ARFC+100kgCI/M3) </t>
  </si>
  <si>
    <t>PORTA DE ABRIR DE 01 FOLHA EM CHAPA METÁLICA PF-1B C/FERRAGENS</t>
  </si>
  <si>
    <t>JOELHO 90 GRAUS SOLDAVEL DIAMETRO 32 MM (1")</t>
  </si>
  <si>
    <t>TE 90 GRAUS SOLDAVEL DIAMETRO 32 MM</t>
  </si>
  <si>
    <t>ABRAÇADEIRA METALICA TIPO "U" DIAM. 3/4"</t>
  </si>
  <si>
    <t>CAIXA D'AGUA POLIETILENO 500 LTS. COM TAMPA</t>
  </si>
  <si>
    <t>REGISTRO DE ESFERA METAL DIAMETRO 3/4"</t>
  </si>
  <si>
    <t>REGISTRO DE ESFERA METAL DIAMETRO 1"</t>
  </si>
  <si>
    <t>ADAPTADOR SOLDÁVEL COM FLANGES LIVRES PARA CAIXA D'ÁGUA 25X3/4"</t>
  </si>
  <si>
    <t>ADAPTADOR SOLDÁVEL COM FLANGES LIVRES PARA CAIXA D'ÁGUA 32X1"</t>
  </si>
  <si>
    <t>LUVA DE REDUÇÃO SOLDÁVEL COM BUCHA LATAO 25X1/2"</t>
  </si>
  <si>
    <t>DUCHA HIGIÊNICA EM METAL CROMADO, COM GATILHO E REGISTRO - FORNECIMENTO E INSTALAÇÃO. AF_02/2026</t>
  </si>
  <si>
    <t xml:space="preserve">BARRA DE APOIO EM AÇO INOX - 40 CM </t>
  </si>
  <si>
    <t xml:space="preserve">TUBO SOLDAVEL PARA ESGOTO DIAMETRO 100 MM </t>
  </si>
  <si>
    <t xml:space="preserve">JOELHO 90 GRAUS DIAMETRO 100 MM (ESGOTO) </t>
  </si>
  <si>
    <t>JOELHO DE REDUÇÃO 90 GRAUS SOLDAVEL DIAM. 32 MM X 25 MM</t>
  </si>
  <si>
    <t xml:space="preserve">TUBO SOLDAVEL PVC MARROM DIAM. 32 MM </t>
  </si>
  <si>
    <t>TUBO SOLDAVEL PARA ESGOTO DIAMETRO 50 MM</t>
  </si>
  <si>
    <t>GRELHA QUADRADA ACO INOX ROTATIVO DIAM.100 MM</t>
  </si>
  <si>
    <t xml:space="preserve">BUCHA DE REDUCAO LONGA 50 X 40 MM - (ESGOTO) </t>
  </si>
  <si>
    <t>TERMINAL DE VENTILACAO DIAMETRO 50 MM (ESGOTO)</t>
  </si>
  <si>
    <t xml:space="preserve">PORTA GRELHA QUADRADO PARA GRELHA QUADRADA DIAM. 100 MM </t>
  </si>
  <si>
    <t>JOELHO 90 GRAUS C/ANEL 40 MM</t>
  </si>
  <si>
    <t xml:space="preserve">CURVA 90 GRAUS CURTA DIAM. 40 MM (ESGOTO) </t>
  </si>
  <si>
    <t>TE SANITARIO DIAMETRO 100 X 50 MM (ESGOTO)</t>
  </si>
  <si>
    <t>JOELHO 90 GRAUS DIAMETRO 50 MM (ESGOTO)</t>
  </si>
  <si>
    <t xml:space="preserve">JOELHO 45 GRAUS DIAMETRO 50 MM (ESGOTO) </t>
  </si>
  <si>
    <t>JOELHO 45 GRAUS DIAMETRO 100 MM (ESGOTO)</t>
  </si>
  <si>
    <t>JUNCAO SIMPLES DIAM. 100 X 100 MM (ESGOTO)</t>
  </si>
  <si>
    <t>LUVA SIMPLES DIAMETRO 100 mm - (ESGOTO)</t>
  </si>
  <si>
    <t>ADESIVO PLASTICO - FRASCO 850 G</t>
  </si>
  <si>
    <t>CAIXA DE INSPEÇÃO - LASTRO DE CONCRETO (COM ADIÇÃO DE
IMPERMEABILIZANTE) 20 MPA E=5CM PARA O FUNDO</t>
  </si>
  <si>
    <t>CAIXA DE INSPEÇÃO - TAMPA EM CONCRETO ARMADO 25 MPA E=5CM</t>
  </si>
  <si>
    <t>PINTURA LATEX PVA DUAS DEMAOS COM SELADOR</t>
  </si>
  <si>
    <t>PINTURA TEXTURIZADA ACRÍLICA COM ROLO COM SELADOR ACRILICO</t>
  </si>
  <si>
    <t>CURVA 90 GRAUS CURTA DIAM. 100 MM (ESGOTO)</t>
  </si>
  <si>
    <t>10.1</t>
  </si>
  <si>
    <t>3.1.1</t>
  </si>
  <si>
    <t>3.1.2</t>
  </si>
  <si>
    <t>3.1.3</t>
  </si>
  <si>
    <t>3.1.4</t>
  </si>
  <si>
    <t>3.2.1</t>
  </si>
  <si>
    <t>3.2.2</t>
  </si>
  <si>
    <t>3.2.3</t>
  </si>
  <si>
    <t>3.2.4</t>
  </si>
  <si>
    <t>3.2.5</t>
  </si>
  <si>
    <t>3.2.6</t>
  </si>
  <si>
    <t>3.2.7</t>
  </si>
  <si>
    <t>4.1.1</t>
  </si>
  <si>
    <t>4.2.1</t>
  </si>
  <si>
    <t>4.3.1</t>
  </si>
  <si>
    <t>4.3.4</t>
  </si>
  <si>
    <t>4.1.2</t>
  </si>
  <si>
    <t>4.1.3</t>
  </si>
  <si>
    <t>4.1.4</t>
  </si>
  <si>
    <t>4.1.5</t>
  </si>
  <si>
    <t>4.2.2</t>
  </si>
  <si>
    <t>4.2.3</t>
  </si>
  <si>
    <t>4.2.4</t>
  </si>
  <si>
    <t>4.2.5</t>
  </si>
  <si>
    <t>4.3.2</t>
  </si>
  <si>
    <t>4.3.3</t>
  </si>
  <si>
    <t>4.3.5</t>
  </si>
  <si>
    <t>4.3.6</t>
  </si>
  <si>
    <t>4.3.7</t>
  </si>
  <si>
    <t>5.4</t>
  </si>
  <si>
    <t>7.1.1</t>
  </si>
  <si>
    <t>7.1.2</t>
  </si>
  <si>
    <t>7.1.3</t>
  </si>
  <si>
    <t>7.1.4</t>
  </si>
  <si>
    <t>7.1.5</t>
  </si>
  <si>
    <t>7.1.6</t>
  </si>
  <si>
    <t>7.1.7</t>
  </si>
  <si>
    <t>7.1.8</t>
  </si>
  <si>
    <t>7.1.9</t>
  </si>
  <si>
    <t>7.1.10</t>
  </si>
  <si>
    <t>7.1.11</t>
  </si>
  <si>
    <t>7.1.12</t>
  </si>
  <si>
    <t>7.1.13</t>
  </si>
  <si>
    <t>7.1.14</t>
  </si>
  <si>
    <t>7.1.15</t>
  </si>
  <si>
    <t>7.1.16</t>
  </si>
  <si>
    <t>7.1.17</t>
  </si>
  <si>
    <t>7.1.18</t>
  </si>
  <si>
    <t>7.2.1</t>
  </si>
  <si>
    <t>7.2.2</t>
  </si>
  <si>
    <t>7.3</t>
  </si>
  <si>
    <t>7.3.1</t>
  </si>
  <si>
    <t>7.3.2</t>
  </si>
  <si>
    <t>7.3.3</t>
  </si>
  <si>
    <t>7.3.4</t>
  </si>
  <si>
    <t>7.3.5</t>
  </si>
  <si>
    <t>7.3.6</t>
  </si>
  <si>
    <t>7.3.7</t>
  </si>
  <si>
    <t>7.3.8</t>
  </si>
  <si>
    <t>7.3.9</t>
  </si>
  <si>
    <t>7.3.10</t>
  </si>
  <si>
    <t>7.3.11</t>
  </si>
  <si>
    <t>7.3.12</t>
  </si>
  <si>
    <t>7.3.13</t>
  </si>
  <si>
    <t>7.3.14</t>
  </si>
  <si>
    <t>7.3.15</t>
  </si>
  <si>
    <t>7.3.16</t>
  </si>
  <si>
    <t>7.3.17</t>
  </si>
  <si>
    <t>7.3.18</t>
  </si>
  <si>
    <t>7.3.19</t>
  </si>
  <si>
    <t>7.4</t>
  </si>
  <si>
    <t>7.4.1</t>
  </si>
  <si>
    <t>7.4.7</t>
  </si>
  <si>
    <t>7.4.8</t>
  </si>
  <si>
    <t>7.4.2</t>
  </si>
  <si>
    <t>7.4.3</t>
  </si>
  <si>
    <t>7.4.4</t>
  </si>
  <si>
    <t>7.4.5</t>
  </si>
  <si>
    <t>7.4.6</t>
  </si>
  <si>
    <t>7.4.9</t>
  </si>
  <si>
    <t>7.4.10</t>
  </si>
  <si>
    <t>7.4.11</t>
  </si>
  <si>
    <t>7.4.12</t>
  </si>
  <si>
    <t>7.4.13</t>
  </si>
  <si>
    <t>7.4.14</t>
  </si>
  <si>
    <t>9.1</t>
  </si>
  <si>
    <t>9.1.1</t>
  </si>
  <si>
    <t>9.1.2</t>
  </si>
  <si>
    <t>9.1.3</t>
  </si>
  <si>
    <t>9.1.4</t>
  </si>
  <si>
    <t>9.2</t>
  </si>
  <si>
    <t>9.2.1</t>
  </si>
  <si>
    <t>9.2.2</t>
  </si>
  <si>
    <t>9.2.3</t>
  </si>
  <si>
    <t>9.2.4</t>
  </si>
  <si>
    <t>10.2</t>
  </si>
  <si>
    <t>10.3</t>
  </si>
  <si>
    <t>10.4</t>
  </si>
  <si>
    <t>10.5</t>
  </si>
  <si>
    <t>10.6</t>
  </si>
  <si>
    <t>10.7</t>
  </si>
  <si>
    <t>10.8</t>
  </si>
  <si>
    <t>12.1</t>
  </si>
  <si>
    <t>12.2</t>
  </si>
  <si>
    <t>12.3</t>
  </si>
  <si>
    <t>EXTINTOR MULTI USO EM PO A B C (6 KG) - CAPACIDADE EXTINTORA 3A 20BC</t>
  </si>
  <si>
    <t>LUMINÁRIA DE EMERGÊNCIA 30 LEDS</t>
  </si>
  <si>
    <t>PLACA DE SINALIZAÇÃO EM ALUMÍNIO 35 X 25 CM - "PERIGO - GÁS INFLAMÁVEL - PROIBIDO FUMAR" (EXTINTOR - SAÍDA EMERGÊNCIA)</t>
  </si>
  <si>
    <t>12.4</t>
  </si>
  <si>
    <t>12.5</t>
  </si>
  <si>
    <t>12.6</t>
  </si>
  <si>
    <t>REVESTIMENTO CERÂMICO PARA PISO COM PLACAS TIPO PORCELANATO DE DIMENSÕES 80X80 CM APLICADA EM AMBIENTES DE ÁREA MAIOR QUE 10 M². AF_02/2023_PE</t>
  </si>
  <si>
    <t>9.2.5</t>
  </si>
  <si>
    <t>SOLEIRA EM GRANITO IMPERMEABILIZADA COM CONTRAPISO (1CI:3ARML)</t>
  </si>
  <si>
    <t>RODAPÉ CERÂMICO DE 7CM DE ALTURA COM PLACAS TIPO ESMALTADA DE DIMENSÕES 80X80CM. AF_02/2023</t>
  </si>
  <si>
    <t>11.1</t>
  </si>
  <si>
    <t>11.1.1</t>
  </si>
  <si>
    <t>11.2.2</t>
  </si>
  <si>
    <t>11.1.2</t>
  </si>
  <si>
    <t>11.1.3</t>
  </si>
  <si>
    <t>11.2</t>
  </si>
  <si>
    <t>11.2.1</t>
  </si>
  <si>
    <t>11.3</t>
  </si>
  <si>
    <t>11.3.1</t>
  </si>
  <si>
    <t>11.3.2</t>
  </si>
  <si>
    <t>11.4</t>
  </si>
  <si>
    <t>11.4.1</t>
  </si>
  <si>
    <t>11.2.3</t>
  </si>
  <si>
    <t>11.4.2</t>
  </si>
  <si>
    <t>JANELA EM ALUMÍNIO ANODIZADO MAXIM AR C/FERRAGENS (INSTALAÇÃO)</t>
  </si>
  <si>
    <t>REVESTIMENTO PISOS</t>
  </si>
  <si>
    <t>11.2.4</t>
  </si>
  <si>
    <t>11.2.5</t>
  </si>
  <si>
    <t>PAREDE EXTERNA E MURO</t>
  </si>
  <si>
    <t>11.4.3</t>
  </si>
  <si>
    <t>TORNEIRA BOIA DIAMETRO 1" (25 MM)</t>
  </si>
  <si>
    <t>LETRA CAIXA INOX ESCOVADO COLOCADA (CRIAP)</t>
  </si>
  <si>
    <t>11.2.6</t>
  </si>
  <si>
    <t>8.1</t>
  </si>
  <si>
    <t>8.1.1</t>
  </si>
  <si>
    <t>ABRAÇADEIRA METALICA TIPO "D" DIAM. 1/2"</t>
  </si>
  <si>
    <t>ABRAÇADEIRA METALICA TIPO "D" DIAM. 3/4"</t>
  </si>
  <si>
    <t>ABRAÇADEIRA METALICA TIPO "D" DIAM. 1"</t>
  </si>
  <si>
    <t>BUCHA E ARRUELA METALICA Ø 1/2"</t>
  </si>
  <si>
    <t>BUCHA E ARRUELA METALICA Ø 3/4"</t>
  </si>
  <si>
    <t>BUCHA E ARRUELA METALICA Ø 1"</t>
  </si>
  <si>
    <t>8.2</t>
  </si>
  <si>
    <t>8.2.1</t>
  </si>
  <si>
    <t xml:space="preserve">BUCHA DE NYLON S-6 </t>
  </si>
  <si>
    <t>CABO FLEXÍVEL, PVC (70° C), 450/750 V, 10 MM2</t>
  </si>
  <si>
    <t>8.3</t>
  </si>
  <si>
    <t>PROTEÇÃO E DISTRIBUIÇÃO</t>
  </si>
  <si>
    <t>CABEAMENTO E CONEXÕES</t>
  </si>
  <si>
    <t>INFRAESTRUTURA ELÉTRICA</t>
  </si>
  <si>
    <t>ILUMINAÇÃO, INTERRUPTORES E TOMADAS</t>
  </si>
  <si>
    <t>8.3.1</t>
  </si>
  <si>
    <t>8.4</t>
  </si>
  <si>
    <t>8.4.1</t>
  </si>
  <si>
    <t>CAIXA OCTOGONAL 4" X 4", PVC, INSTALADA EM LAJE - FORNECIMENTO E INSTALAÇÃO. AF_03/2023</t>
  </si>
  <si>
    <t>CANALETA COM TAMPA (LINHA X OU EQUIVALENTE) 20X12X2000 MM</t>
  </si>
  <si>
    <t>CONECTOR TRIPOLAR EM PORCELANA PARA FIOS DE ATÉ 10MM2 (BORNES) 50A250V (CHUVEIRO)</t>
  </si>
  <si>
    <t>ELETRODUTO PVC FLEXÍVEL - MANGUEIRA CORRUGADA LEVE - DIAM. 20MM</t>
  </si>
  <si>
    <t>ELETRODUTO PVC FLEXÍVEL - MANGUEIRA CORRUGADA LEVE - DIAM. 32MM</t>
  </si>
  <si>
    <t xml:space="preserve">ELETRODUTO METALICO FLEXIVEL DIAMETRO DIAM.1/2" </t>
  </si>
  <si>
    <t>LUMINÁRIA LED RETANGULAR DE SOBREPOR COM REFLETOR DE ALUMÍNIO COM ALETAS, DE 36W A 39W</t>
  </si>
  <si>
    <t>LUMINÁRIA TIPO PROJETOR CIRCULAR ATÉ 200 W - BASE E-27</t>
  </si>
  <si>
    <t>LUMINÁRIA DE EMBUTIR REGULÁVEL ("OLHO DE BOI") - BASE E-27 - INCLUSO CORTE NO FORRO</t>
  </si>
  <si>
    <t>INTERRUPTOR SIMPLES 1 SEÇÃO E 1 TOMADA HEXAGONAL 2P + T - 10A CONJUGADOS</t>
  </si>
  <si>
    <t>INTERRUPTOR SIMPLES (1 SECAO)</t>
  </si>
  <si>
    <t>DISPOSITIVO DE PROTEÇÃO CONTRA SURTOS (D.P.S.) 275V DE 8 A 40KA</t>
  </si>
  <si>
    <t>INTERRUPTOR DIFERENCIAL RESIDUAL (D.R.) BIPOLAR DE 25A-30mA</t>
  </si>
  <si>
    <t>DISJUNTOR MONOPOLAR DE 10 A 32-A</t>
  </si>
  <si>
    <t>DISJUNTOR MONOPOLAR DE 35 A 50-A</t>
  </si>
  <si>
    <t>QUADRO DE DISTRIBUIÇÃO DE EMBUTIR EM PVC CB 36E - 80A</t>
  </si>
  <si>
    <t>FITA ISOLANTE, ROLO DE 20,00 M</t>
  </si>
  <si>
    <t>FITA DE AUTO FUSAO, ROLO E 10,00 MM</t>
  </si>
  <si>
    <t>8.1.2</t>
  </si>
  <si>
    <t>8.1.3</t>
  </si>
  <si>
    <t>8.1.4</t>
  </si>
  <si>
    <t>8.1.5</t>
  </si>
  <si>
    <t>8.1.6</t>
  </si>
  <si>
    <t>8.1.7</t>
  </si>
  <si>
    <t>8.1.8</t>
  </si>
  <si>
    <t>8.1.9</t>
  </si>
  <si>
    <t>8.1.10</t>
  </si>
  <si>
    <t>8.1.11</t>
  </si>
  <si>
    <t>8.1.12</t>
  </si>
  <si>
    <t>8.1.13</t>
  </si>
  <si>
    <t>8.2.2</t>
  </si>
  <si>
    <t>8.2.3</t>
  </si>
  <si>
    <t>8.2.4</t>
  </si>
  <si>
    <t>8.2.5</t>
  </si>
  <si>
    <t>8.2.6</t>
  </si>
  <si>
    <t>8.3.2</t>
  </si>
  <si>
    <t>8.3.3</t>
  </si>
  <si>
    <t>8.3.4</t>
  </si>
  <si>
    <t>8.3.5</t>
  </si>
  <si>
    <t>8.4.2</t>
  </si>
  <si>
    <t>8.4.3</t>
  </si>
  <si>
    <t>8.4.4</t>
  </si>
  <si>
    <t>8.4.5</t>
  </si>
  <si>
    <t>8.4.6</t>
  </si>
  <si>
    <t>8.4.7</t>
  </si>
  <si>
    <t>8.4.8</t>
  </si>
  <si>
    <t>DESCRIÇÃO</t>
  </si>
  <si>
    <t>Mês 1</t>
  </si>
  <si>
    <t>Mês 2</t>
  </si>
  <si>
    <t>Mês 3</t>
  </si>
  <si>
    <t>Mês 4</t>
  </si>
  <si>
    <t>TOTAL:</t>
  </si>
  <si>
    <t>TOTAL ACUMULADO C/ BDI:</t>
  </si>
  <si>
    <t>1.4</t>
  </si>
  <si>
    <t xml:space="preserve">ENCARREGADO - (OBRAS CIVIS) </t>
  </si>
  <si>
    <t>OBRA: Reforma do Centro de Referência Especializado de Assistência Social (CREAS) e ampliação destinada ao funcionamento do Centro de Referência da Infância e Adolescência Protegida (CRIAP)</t>
  </si>
  <si>
    <t>Morrinhos - GO, 02 de junho de 2026.</t>
  </si>
  <si>
    <r>
      <rPr>
        <b/>
        <sz val="12"/>
        <rFont val="Arial"/>
        <family val="2"/>
      </rPr>
      <t>ISS</t>
    </r>
    <r>
      <rPr>
        <sz val="12"/>
        <rFont val="Arial"/>
        <family val="2"/>
      </rPr>
      <t>: Alíquota conforme o Código Tributário do Município de Morrinhos, que é de 2,89</t>
    </r>
    <r>
      <rPr>
        <b/>
        <sz val="12"/>
        <rFont val="Arial"/>
        <family val="2"/>
      </rPr>
      <t>%</t>
    </r>
  </si>
  <si>
    <r>
      <t>BDI=</t>
    </r>
    <r>
      <rPr>
        <b/>
        <u/>
        <sz val="12"/>
        <rFont val="Arial"/>
        <family val="2"/>
      </rPr>
      <t xml:space="preserve"> (1+0,04+0,0006+0,0097+0,0006).(1+0,01).(1+0,0225)   -</t>
    </r>
    <r>
      <rPr>
        <b/>
        <sz val="12"/>
        <rFont val="Arial"/>
        <family val="2"/>
      </rPr>
      <t>1 = 22,00%</t>
    </r>
  </si>
  <si>
    <t>ENG° CIVIL - CREA: 10221/D-GO</t>
  </si>
  <si>
    <t>LEONARDO DE BESSA FREITAS</t>
  </si>
  <si>
    <t>m²</t>
  </si>
  <si>
    <t>m</t>
  </si>
  <si>
    <t>kg</t>
  </si>
  <si>
    <t>m³</t>
  </si>
  <si>
    <t>m²xmês</t>
  </si>
  <si>
    <t>unid</t>
  </si>
  <si>
    <t>mês</t>
  </si>
  <si>
    <t>REFERÊNCIA: TABELA GOINFRA - FEVEREIRO/2026 - ONERADA ; TABELA SINAPI 04/2026 - ONERADA</t>
  </si>
  <si>
    <t>BDI:</t>
  </si>
  <si>
    <t>TOTAL GERAL:</t>
  </si>
  <si>
    <t>VALOR TOTAL:</t>
  </si>
  <si>
    <t>3.1.5</t>
  </si>
  <si>
    <t xml:space="preserve">ACO CA-50 - 10,0 MM (3/8") - (OBRAS CIVIS) </t>
  </si>
  <si>
    <t>ACO CA-60 - 4.2 MM - (OBRAS CIVIS)</t>
  </si>
  <si>
    <t>LOCAL: Rua Castro Alves esq rua Cel. João Lopes Zedes, Qd 80, Lt 4A, Centro</t>
  </si>
  <si>
    <t>Estado de Goiás</t>
  </si>
  <si>
    <t>ASSESSORIA DE PLANEJAMENTO</t>
  </si>
  <si>
    <t>PLACA OBRA PLOTADA EM CHAPA METÁLICA 26 , FIXADA CAVALETES DE MADEIRA DE LEI (VIGOTAS 6X12CM) - PADRÃO GOINFRA</t>
  </si>
  <si>
    <t>REMOÇÃO MANUAL JANELA OU PORTAL COM TRANSPORTE ATÉ CAÇAMBA E CARGA</t>
  </si>
  <si>
    <t xml:space="preserve">LANÇAMENTO/APLICAÇÃO/ADENSAMENTO CONCRETO EM FUNDAÇÃO(O.C.) </t>
  </si>
  <si>
    <t>PREPARO COM BETONEIRA E TRANSPORTE MANUAL DE CONCRETO FCK-20</t>
  </si>
  <si>
    <t>IMPERMEAB VIGAS BALDRAMES COM EMULSÃO ASFÁLTICA(2 DEMÃOS)</t>
  </si>
  <si>
    <t>FORRO DE PVC COM ESTRUTURA EM METALON PINTADA COM TINTA EPOXI</t>
  </si>
  <si>
    <t>FECHADURA TIPO ALAVANCA REF.: LAFONTE 6236 B/8766-B19 IMAB OU EQUIV</t>
  </si>
  <si>
    <t>PINT TINTA ESMALTE SINTETICO PAREDE - 2 DEMAO C/SELADOR-(BARRADO)</t>
  </si>
  <si>
    <t>PINTURA ESMALTE ESQUADRIAS DE FERRO C/ FUNDO ANTICORROSIVO</t>
  </si>
  <si>
    <t>PLANTIO GRAMA ESMERALDA PLACA C/ M.O. IRRIG., ADUBO,TERRA VEGETAL</t>
  </si>
  <si>
    <r>
      <t xml:space="preserve">OBRA: </t>
    </r>
    <r>
      <rPr>
        <sz val="12"/>
        <color theme="1"/>
        <rFont val="Arial"/>
        <family val="2"/>
      </rPr>
      <t>Reforma do CREAS e construção do CRIAP</t>
    </r>
  </si>
  <si>
    <r>
      <t xml:space="preserve">LOCAL: </t>
    </r>
    <r>
      <rPr>
        <sz val="12"/>
        <color theme="1"/>
        <rFont val="Arial"/>
        <family val="2"/>
      </rPr>
      <t>Rua Castro Alves esq rua Cel. João Lopes Zedes, Qd 80,  Lt 4A, Centro</t>
    </r>
  </si>
  <si>
    <t>Morrinhos - GO, 11 de junho de 2026.</t>
  </si>
  <si>
    <t>PREFEITURA DE MORRINHOS</t>
  </si>
  <si>
    <t>Mês 5</t>
  </si>
  <si>
    <t>VALOR</t>
  </si>
  <si>
    <t>Somat %</t>
  </si>
  <si>
    <t>REVESTIMENTOS ACABAMENTOS</t>
  </si>
  <si>
    <t>INSTALAÇÕES HIDROSSANIT</t>
  </si>
  <si>
    <t>INFRAESTRUTURA</t>
  </si>
  <si>
    <t xml:space="preserve">OBRA: Reforma do CREAS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</si>
</sst>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164" formatCode="000000"/>
    <numFmt numFmtId="165" formatCode="#"/>
    <numFmt numFmtId="166" formatCode="&quot;R$&quot;\ #,##0.00"/>
  </numFmts>
  <fonts count="29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sz val="12"/>
      <color theme="1"/>
      <name val="Calibri"/>
      <family val="2"/>
      <scheme val="minor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  <font>
      <b/>
      <sz val="20"/>
      <color rgb="FF00008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color indexed="8"/>
      <name val="Arial"/>
      <family val="2"/>
    </font>
    <font>
      <b/>
      <sz val="12"/>
      <color rgb="FF000000"/>
      <name val="Arial"/>
      <family val="2"/>
    </font>
    <font>
      <b/>
      <u/>
      <sz val="12"/>
      <name val="Arial"/>
      <family val="2"/>
    </font>
    <font>
      <b/>
      <u/>
      <sz val="18"/>
      <name val="Arial"/>
      <family val="2"/>
    </font>
    <font>
      <b/>
      <sz val="14"/>
      <color theme="1"/>
      <name val="Arial"/>
      <family val="2"/>
    </font>
    <font>
      <sz val="8"/>
      <name val="Calibri"/>
      <family val="2"/>
      <scheme val="minor"/>
    </font>
    <font>
      <b/>
      <sz val="12"/>
      <color rgb="FFFF0000"/>
      <name val="Arial"/>
      <family val="2"/>
    </font>
    <font>
      <b/>
      <sz val="11"/>
      <name val="Arial"/>
      <family val="2"/>
    </font>
    <font>
      <sz val="9"/>
      <color indexed="81"/>
      <name val="Segoe UI"/>
      <charset val="1"/>
    </font>
    <font>
      <b/>
      <sz val="9"/>
      <color indexed="81"/>
      <name val="Segoe UI"/>
      <charset val="1"/>
    </font>
    <font>
      <sz val="12"/>
      <color theme="1"/>
      <name val="Calibri"/>
      <family val="2"/>
    </font>
    <font>
      <sz val="12"/>
      <color rgb="FF000000"/>
      <name val="Arial"/>
      <family val="2"/>
    </font>
    <font>
      <sz val="10"/>
      <color rgb="FF000000"/>
      <name val="Arial"/>
      <family val="2"/>
    </font>
    <font>
      <sz val="16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rgb="FFC0C0C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2" tint="-9.9978637043366805E-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</cellStyleXfs>
  <cellXfs count="14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1" fontId="4" fillId="0" borderId="1" xfId="0" applyNumberFormat="1" applyFont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/>
    <xf numFmtId="0" fontId="1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10" fillId="0" borderId="0" xfId="0" applyFont="1" applyAlignment="1">
      <alignment vertical="center"/>
    </xf>
    <xf numFmtId="0" fontId="12" fillId="0" borderId="0" xfId="0" applyFont="1"/>
    <xf numFmtId="0" fontId="11" fillId="0" borderId="0" xfId="0" applyFont="1"/>
    <xf numFmtId="164" fontId="1" fillId="0" borderId="0" xfId="0" applyNumberFormat="1" applyFont="1" applyAlignment="1" applyProtection="1">
      <alignment horizontal="center" vertical="center" wrapText="1"/>
      <protection locked="0"/>
    </xf>
    <xf numFmtId="165" fontId="1" fillId="0" borderId="0" xfId="0" applyNumberFormat="1" applyFont="1" applyAlignment="1">
      <alignment horizontal="left" vertical="center" wrapText="1" shrinkToFit="1"/>
    </xf>
    <xf numFmtId="165" fontId="1" fillId="0" borderId="0" xfId="0" applyNumberFormat="1" applyFont="1" applyAlignment="1">
      <alignment horizontal="center" vertical="center" wrapText="1"/>
    </xf>
    <xf numFmtId="2" fontId="13" fillId="0" borderId="0" xfId="0" applyNumberFormat="1" applyFont="1" applyAlignment="1" applyProtection="1">
      <alignment horizontal="center" vertical="center" wrapText="1"/>
      <protection locked="0"/>
    </xf>
    <xf numFmtId="2" fontId="13" fillId="0" borderId="0" xfId="0" applyNumberFormat="1" applyFont="1" applyAlignment="1" applyProtection="1">
      <alignment horizontal="right" vertical="center" wrapText="1"/>
      <protection locked="0"/>
    </xf>
    <xf numFmtId="2" fontId="1" fillId="0" borderId="0" xfId="0" applyNumberFormat="1" applyFont="1" applyAlignment="1" applyProtection="1">
      <alignment horizontal="right" vertical="center" wrapText="1"/>
      <protection locked="0"/>
    </xf>
    <xf numFmtId="0" fontId="11" fillId="0" borderId="0" xfId="0" applyFont="1" applyAlignment="1">
      <alignment wrapText="1"/>
    </xf>
    <xf numFmtId="0" fontId="11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1" fillId="0" borderId="0" xfId="0" applyFont="1" applyAlignment="1">
      <alignment vertical="justify"/>
    </xf>
    <xf numFmtId="0" fontId="16" fillId="0" borderId="0" xfId="0" applyFont="1" applyAlignment="1">
      <alignment vertical="center"/>
    </xf>
    <xf numFmtId="0" fontId="2" fillId="0" borderId="0" xfId="0" applyFont="1"/>
    <xf numFmtId="2" fontId="14" fillId="4" borderId="8" xfId="0" applyNumberFormat="1" applyFont="1" applyFill="1" applyBorder="1" applyAlignment="1" applyProtection="1">
      <alignment horizontal="center" vertical="center" wrapText="1"/>
      <protection locked="0"/>
    </xf>
    <xf numFmtId="2" fontId="14" fillId="5" borderId="8" xfId="0" applyNumberFormat="1" applyFont="1" applyFill="1" applyBorder="1" applyAlignment="1" applyProtection="1">
      <alignment horizontal="center" vertical="center" wrapText="1"/>
      <protection locked="0"/>
    </xf>
    <xf numFmtId="2" fontId="14" fillId="5" borderId="8" xfId="0" applyNumberFormat="1" applyFont="1" applyFill="1" applyBorder="1" applyAlignment="1" applyProtection="1">
      <alignment horizontal="center" vertical="center"/>
      <protection locked="0"/>
    </xf>
    <xf numFmtId="2" fontId="14" fillId="5" borderId="9" xfId="0" applyNumberFormat="1" applyFont="1" applyFill="1" applyBorder="1" applyAlignment="1" applyProtection="1">
      <alignment horizontal="center" vertical="center"/>
      <protection locked="0"/>
    </xf>
    <xf numFmtId="10" fontId="14" fillId="6" borderId="12" xfId="1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19" fillId="0" borderId="0" xfId="0" applyFont="1"/>
    <xf numFmtId="10" fontId="14" fillId="0" borderId="11" xfId="1" applyNumberFormat="1" applyFont="1" applyFill="1" applyBorder="1" applyAlignment="1" applyProtection="1">
      <alignment horizontal="center" vertical="center" wrapText="1"/>
      <protection locked="0"/>
    </xf>
    <xf numFmtId="10" fontId="14" fillId="0" borderId="11" xfId="1" applyNumberFormat="1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1" fillId="0" borderId="13" xfId="0" applyFont="1" applyBorder="1"/>
    <xf numFmtId="1" fontId="4" fillId="0" borderId="1" xfId="0" applyNumberFormat="1" applyFont="1" applyBorder="1" applyAlignment="1">
      <alignment horizontal="center" vertical="center" wrapText="1"/>
    </xf>
    <xf numFmtId="166" fontId="4" fillId="0" borderId="1" xfId="0" applyNumberFormat="1" applyFont="1" applyBorder="1" applyAlignment="1">
      <alignment horizontal="right" vertical="center"/>
    </xf>
    <xf numFmtId="166" fontId="2" fillId="0" borderId="1" xfId="0" applyNumberFormat="1" applyFont="1" applyBorder="1" applyAlignment="1">
      <alignment horizontal="right" vertical="center"/>
    </xf>
    <xf numFmtId="0" fontId="20" fillId="0" borderId="0" xfId="0" applyFont="1" applyAlignment="1">
      <alignment vertical="center" wrapText="1"/>
    </xf>
    <xf numFmtId="0" fontId="23" fillId="0" borderId="0" xfId="0" applyFont="1"/>
    <xf numFmtId="166" fontId="2" fillId="0" borderId="6" xfId="0" applyNumberFormat="1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10" fontId="2" fillId="0" borderId="6" xfId="0" applyNumberFormat="1" applyFont="1" applyBorder="1" applyAlignment="1">
      <alignment horizontal="center" vertical="center"/>
    </xf>
    <xf numFmtId="0" fontId="28" fillId="0" borderId="1" xfId="0" applyFont="1" applyBorder="1" applyAlignment="1">
      <alignment horizontal="left" vertical="center" wrapText="1"/>
    </xf>
    <xf numFmtId="1" fontId="28" fillId="0" borderId="1" xfId="0" applyNumberFormat="1" applyFont="1" applyBorder="1" applyAlignment="1">
      <alignment horizontal="left" vertical="center" wrapText="1"/>
    </xf>
    <xf numFmtId="10" fontId="0" fillId="0" borderId="0" xfId="0" applyNumberFormat="1"/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9" fontId="4" fillId="0" borderId="6" xfId="0" applyNumberFormat="1" applyFont="1" applyBorder="1" applyAlignment="1">
      <alignment horizontal="center"/>
    </xf>
    <xf numFmtId="4" fontId="1" fillId="0" borderId="6" xfId="0" applyNumberFormat="1" applyFont="1" applyBorder="1"/>
    <xf numFmtId="10" fontId="1" fillId="0" borderId="1" xfId="2" applyNumberFormat="1" applyFont="1" applyBorder="1" applyAlignment="1">
      <alignment horizontal="center"/>
    </xf>
    <xf numFmtId="4" fontId="1" fillId="0" borderId="1" xfId="0" applyNumberFormat="1" applyFont="1" applyBorder="1"/>
    <xf numFmtId="10" fontId="1" fillId="0" borderId="1" xfId="0" applyNumberFormat="1" applyFont="1" applyBorder="1" applyAlignment="1">
      <alignment horizontal="center"/>
    </xf>
    <xf numFmtId="4" fontId="1" fillId="0" borderId="1" xfId="0" applyNumberFormat="1" applyFont="1" applyBorder="1" applyAlignment="1">
      <alignment horizontal="center"/>
    </xf>
    <xf numFmtId="4" fontId="2" fillId="0" borderId="1" xfId="0" applyNumberFormat="1" applyFont="1" applyBorder="1"/>
    <xf numFmtId="10" fontId="2" fillId="0" borderId="1" xfId="2" applyNumberFormat="1" applyFont="1" applyFill="1" applyBorder="1" applyAlignment="1">
      <alignment horizontal="center"/>
    </xf>
    <xf numFmtId="4" fontId="2" fillId="0" borderId="15" xfId="2" applyNumberFormat="1" applyFont="1" applyFill="1" applyBorder="1" applyAlignment="1">
      <alignment horizontal="center"/>
    </xf>
    <xf numFmtId="10" fontId="2" fillId="0" borderId="15" xfId="2" applyNumberFormat="1" applyFont="1" applyFill="1" applyBorder="1" applyAlignment="1">
      <alignment horizontal="center"/>
    </xf>
    <xf numFmtId="4" fontId="4" fillId="0" borderId="1" xfId="0" applyNumberFormat="1" applyFont="1" applyBorder="1" applyAlignment="1">
      <alignment horizontal="right" vertical="center"/>
    </xf>
    <xf numFmtId="4" fontId="4" fillId="0" borderId="6" xfId="0" applyNumberFormat="1" applyFont="1" applyBorder="1" applyAlignment="1">
      <alignment horizontal="right" vertical="center"/>
    </xf>
    <xf numFmtId="10" fontId="4" fillId="0" borderId="1" xfId="2" applyNumberFormat="1" applyFont="1" applyBorder="1" applyAlignment="1">
      <alignment horizontal="right" vertical="center"/>
    </xf>
    <xf numFmtId="10" fontId="4" fillId="0" borderId="1" xfId="0" applyNumberFormat="1" applyFont="1" applyBorder="1" applyAlignment="1">
      <alignment horizontal="right"/>
    </xf>
    <xf numFmtId="10" fontId="4" fillId="0" borderId="6" xfId="0" applyNumberFormat="1" applyFont="1" applyBorder="1" applyAlignment="1">
      <alignment horizontal="right" vertical="center"/>
    </xf>
    <xf numFmtId="10" fontId="4" fillId="0" borderId="6" xfId="2" applyNumberFormat="1" applyFont="1" applyBorder="1" applyAlignment="1">
      <alignment horizontal="right" vertical="center"/>
    </xf>
    <xf numFmtId="1" fontId="3" fillId="7" borderId="5" xfId="0" applyNumberFormat="1" applyFont="1" applyFill="1" applyBorder="1" applyAlignment="1">
      <alignment vertical="center" wrapText="1"/>
    </xf>
    <xf numFmtId="1" fontId="3" fillId="7" borderId="4" xfId="0" applyNumberFormat="1" applyFont="1" applyFill="1" applyBorder="1" applyAlignment="1">
      <alignment vertical="center" wrapText="1"/>
    </xf>
    <xf numFmtId="1" fontId="3" fillId="7" borderId="6" xfId="0" applyNumberFormat="1" applyFont="1" applyFill="1" applyBorder="1" applyAlignment="1">
      <alignment vertical="center" wrapText="1"/>
    </xf>
    <xf numFmtId="0" fontId="26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1" fontId="3" fillId="7" borderId="5" xfId="0" applyNumberFormat="1" applyFont="1" applyFill="1" applyBorder="1" applyAlignment="1">
      <alignment horizontal="left" vertical="center" wrapText="1"/>
    </xf>
    <xf numFmtId="1" fontId="3" fillId="7" borderId="4" xfId="0" applyNumberFormat="1" applyFont="1" applyFill="1" applyBorder="1" applyAlignment="1">
      <alignment horizontal="left" vertical="center" wrapText="1"/>
    </xf>
    <xf numFmtId="1" fontId="3" fillId="7" borderId="6" xfId="0" applyNumberFormat="1" applyFont="1" applyFill="1" applyBorder="1" applyAlignment="1">
      <alignment horizontal="left" vertical="center" wrapText="1"/>
    </xf>
    <xf numFmtId="0" fontId="25" fillId="8" borderId="0" xfId="0" applyFont="1" applyFill="1" applyAlignment="1">
      <alignment horizontal="center" vertical="center"/>
    </xf>
    <xf numFmtId="0" fontId="2" fillId="3" borderId="5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/>
    </xf>
    <xf numFmtId="0" fontId="2" fillId="3" borderId="6" xfId="0" applyFont="1" applyFill="1" applyBorder="1" applyAlignment="1">
      <alignment horizontal="left" vertical="center"/>
    </xf>
    <xf numFmtId="44" fontId="2" fillId="0" borderId="5" xfId="0" applyNumberFormat="1" applyFont="1" applyBorder="1" applyAlignment="1">
      <alignment horizontal="right" vertical="center"/>
    </xf>
    <xf numFmtId="44" fontId="2" fillId="0" borderId="4" xfId="0" applyNumberFormat="1" applyFont="1" applyBorder="1" applyAlignment="1">
      <alignment horizontal="right" vertical="center"/>
    </xf>
    <xf numFmtId="44" fontId="2" fillId="0" borderId="6" xfId="0" applyNumberFormat="1" applyFont="1" applyBorder="1" applyAlignment="1">
      <alignment horizontal="right" vertical="center"/>
    </xf>
    <xf numFmtId="0" fontId="24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 wrapText="1"/>
    </xf>
    <xf numFmtId="0" fontId="2" fillId="0" borderId="14" xfId="0" applyFont="1" applyBorder="1" applyAlignment="1">
      <alignment horizontal="right" vertical="center"/>
    </xf>
    <xf numFmtId="0" fontId="2" fillId="0" borderId="15" xfId="0" applyFont="1" applyBorder="1" applyAlignment="1">
      <alignment horizontal="right" vertical="center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2" fillId="3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7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" fontId="2" fillId="0" borderId="14" xfId="0" applyNumberFormat="1" applyFont="1" applyBorder="1" applyAlignment="1">
      <alignment horizontal="center" vertical="center"/>
    </xf>
    <xf numFmtId="4" fontId="2" fillId="0" borderId="15" xfId="0" applyNumberFormat="1" applyFont="1" applyBorder="1" applyAlignment="1">
      <alignment horizontal="center" vertical="center"/>
    </xf>
    <xf numFmtId="10" fontId="2" fillId="0" borderId="14" xfId="0" applyNumberFormat="1" applyFont="1" applyBorder="1" applyAlignment="1">
      <alignment horizontal="center" vertical="center"/>
    </xf>
    <xf numFmtId="10" fontId="2" fillId="0" borderId="15" xfId="0" applyNumberFormat="1" applyFont="1" applyBorder="1" applyAlignment="1">
      <alignment horizontal="center" vertical="center"/>
    </xf>
    <xf numFmtId="44" fontId="1" fillId="0" borderId="14" xfId="0" applyNumberFormat="1" applyFont="1" applyBorder="1" applyAlignment="1">
      <alignment horizontal="center"/>
    </xf>
    <xf numFmtId="44" fontId="1" fillId="0" borderId="15" xfId="0" applyNumberFormat="1" applyFont="1" applyBorder="1" applyAlignment="1">
      <alignment horizontal="center"/>
    </xf>
    <xf numFmtId="0" fontId="2" fillId="0" borderId="5" xfId="0" applyFont="1" applyBorder="1" applyAlignment="1">
      <alignment horizontal="right"/>
    </xf>
    <xf numFmtId="0" fontId="2" fillId="0" borderId="6" xfId="0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0" fontId="2" fillId="9" borderId="1" xfId="0" applyFont="1" applyFill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/>
    </xf>
    <xf numFmtId="0" fontId="11" fillId="0" borderId="0" xfId="0" applyFont="1" applyAlignment="1">
      <alignment horizontal="left" vertical="justify"/>
    </xf>
    <xf numFmtId="0" fontId="16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horizontal="center"/>
    </xf>
    <xf numFmtId="2" fontId="14" fillId="4" borderId="2" xfId="0" applyNumberFormat="1" applyFont="1" applyFill="1" applyBorder="1" applyAlignment="1" applyProtection="1">
      <alignment horizontal="center" vertical="center"/>
      <protection locked="0"/>
    </xf>
    <xf numFmtId="2" fontId="14" fillId="4" borderId="7" xfId="0" applyNumberFormat="1" applyFont="1" applyFill="1" applyBorder="1" applyAlignment="1" applyProtection="1">
      <alignment horizontal="center" vertical="center"/>
      <protection locked="0"/>
    </xf>
    <xf numFmtId="2" fontId="14" fillId="4" borderId="3" xfId="0" applyNumberFormat="1" applyFont="1" applyFill="1" applyBorder="1" applyAlignment="1" applyProtection="1">
      <alignment horizontal="center" vertical="center"/>
      <protection locked="0"/>
    </xf>
    <xf numFmtId="2" fontId="14" fillId="4" borderId="10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Font="1" applyAlignment="1">
      <alignment horizontal="left" wrapText="1"/>
    </xf>
    <xf numFmtId="0" fontId="12" fillId="0" borderId="0" xfId="0" applyFont="1" applyAlignment="1">
      <alignment horizontal="left"/>
    </xf>
  </cellXfs>
  <cellStyles count="3">
    <cellStyle name="Normal" xfId="0" builtinId="0"/>
    <cellStyle name="Porcentagem" xfId="2" builtinId="5"/>
    <cellStyle name="Porcentagem 2 3" xfId="1" xr:uid="{610E3684-B7C9-400D-BB2B-0CEF8EF3728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3831167</xdr:colOff>
      <xdr:row>0</xdr:row>
      <xdr:rowOff>0</xdr:rowOff>
    </xdr:from>
    <xdr:to>
      <xdr:col>4</xdr:col>
      <xdr:colOff>4707942</xdr:colOff>
      <xdr:row>5</xdr:row>
      <xdr:rowOff>7779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6A2ACED1-9CD0-4325-9DA8-954E0E117E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17167" y="0"/>
          <a:ext cx="876775" cy="9602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465667</xdr:colOff>
      <xdr:row>0</xdr:row>
      <xdr:rowOff>21167</xdr:rowOff>
    </xdr:from>
    <xdr:to>
      <xdr:col>6</xdr:col>
      <xdr:colOff>718025</xdr:colOff>
      <xdr:row>5</xdr:row>
      <xdr:rowOff>28946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96FC2A4-01E4-45D3-95A0-E517E5EF51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0" y="21167"/>
          <a:ext cx="876775" cy="9602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762008</xdr:colOff>
      <xdr:row>0</xdr:row>
      <xdr:rowOff>0</xdr:rowOff>
    </xdr:from>
    <xdr:to>
      <xdr:col>7</xdr:col>
      <xdr:colOff>321477</xdr:colOff>
      <xdr:row>0</xdr:row>
      <xdr:rowOff>833437</xdr:rowOff>
    </xdr:to>
    <xdr:pic>
      <xdr:nvPicPr>
        <xdr:cNvPr id="3" name="Imagem 2" descr="Uma imagem contendo Interface gráfica do usuário&#10;&#10;Descrição gerada automaticamente">
          <a:extLst>
            <a:ext uri="{FF2B5EF4-FFF2-40B4-BE49-F238E27FC236}">
              <a16:creationId xmlns:a16="http://schemas.microsoft.com/office/drawing/2014/main" id="{48521293-500B-4B2B-999D-55A720A9C02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104" t="17967" r="7934" b="26060"/>
        <a:stretch>
          <a:fillRect/>
        </a:stretch>
      </xdr:blipFill>
      <xdr:spPr bwMode="auto">
        <a:xfrm>
          <a:off x="1976446" y="0"/>
          <a:ext cx="5595937" cy="8334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E0D13-90F4-43BE-8428-3BA9C32237A3}">
  <sheetPr>
    <pageSetUpPr fitToPage="1"/>
  </sheetPr>
  <dimension ref="B6:L236"/>
  <sheetViews>
    <sheetView tabSelected="1" topLeftCell="A4" zoomScale="90" zoomScaleNormal="90" workbookViewId="0">
      <selection activeCell="B10" sqref="B10:K10"/>
    </sheetView>
  </sheetViews>
  <sheetFormatPr defaultColWidth="9.109375" defaultRowHeight="15" x14ac:dyDescent="0.25"/>
  <cols>
    <col min="1" max="1" width="9.109375" style="1"/>
    <col min="2" max="2" width="6.88671875" style="3" bestFit="1" customWidth="1"/>
    <col min="3" max="3" width="10.33203125" style="3" bestFit="1" customWidth="1"/>
    <col min="4" max="4" width="7.88671875" style="1" customWidth="1"/>
    <col min="5" max="5" width="82" style="1" customWidth="1"/>
    <col min="6" max="6" width="6.44140625" style="1" customWidth="1"/>
    <col min="7" max="7" width="7.33203125" style="1" bestFit="1" customWidth="1"/>
    <col min="8" max="8" width="15.109375" style="1" bestFit="1" customWidth="1"/>
    <col min="9" max="9" width="13" style="1" bestFit="1" customWidth="1"/>
    <col min="10" max="10" width="12.33203125" style="1" bestFit="1" customWidth="1"/>
    <col min="11" max="11" width="16.44140625" style="1" bestFit="1" customWidth="1"/>
    <col min="12" max="14" width="9.109375" style="1"/>
    <col min="15" max="15" width="17.109375" style="1" bestFit="1" customWidth="1"/>
    <col min="16" max="16384" width="9.109375" style="1"/>
  </cols>
  <sheetData>
    <row r="6" spans="2:11" ht="20.399999999999999" x14ac:dyDescent="0.35">
      <c r="B6" s="86" t="s">
        <v>434</v>
      </c>
      <c r="C6" s="86"/>
      <c r="D6" s="86"/>
      <c r="E6" s="86"/>
      <c r="F6" s="86"/>
      <c r="G6" s="86"/>
      <c r="H6" s="86"/>
      <c r="I6" s="86"/>
      <c r="J6" s="86"/>
      <c r="K6" s="86"/>
    </row>
    <row r="7" spans="2:11" x14ac:dyDescent="0.25">
      <c r="B7" s="87" t="s">
        <v>449</v>
      </c>
      <c r="C7" s="87"/>
      <c r="D7" s="87"/>
      <c r="E7" s="87"/>
      <c r="F7" s="87"/>
      <c r="G7" s="87"/>
      <c r="H7" s="87"/>
      <c r="I7" s="87"/>
      <c r="J7" s="87"/>
      <c r="K7" s="87"/>
    </row>
    <row r="8" spans="2:11" x14ac:dyDescent="0.25">
      <c r="B8" s="88" t="s">
        <v>435</v>
      </c>
      <c r="C8" s="88"/>
      <c r="D8" s="88"/>
      <c r="E8" s="88"/>
      <c r="F8" s="88"/>
      <c r="G8" s="88"/>
      <c r="H8" s="88"/>
      <c r="I8" s="88"/>
      <c r="J8" s="88"/>
      <c r="K8" s="88"/>
    </row>
    <row r="9" spans="2:11" x14ac:dyDescent="0.25">
      <c r="B9" s="105"/>
      <c r="C9" s="105"/>
      <c r="D9" s="105"/>
      <c r="E9" s="105"/>
      <c r="F9" s="105"/>
      <c r="G9" s="105"/>
      <c r="H9" s="105"/>
      <c r="I9" s="105"/>
      <c r="J9" s="105"/>
      <c r="K9" s="105"/>
    </row>
    <row r="10" spans="2:11" ht="15.75" customHeight="1" x14ac:dyDescent="0.25">
      <c r="B10" s="108" t="s">
        <v>456</v>
      </c>
      <c r="C10" s="108"/>
      <c r="D10" s="108"/>
      <c r="E10" s="108"/>
      <c r="F10" s="108"/>
      <c r="G10" s="108"/>
      <c r="H10" s="108"/>
      <c r="I10" s="108"/>
      <c r="J10" s="108"/>
      <c r="K10" s="108"/>
    </row>
    <row r="11" spans="2:11" ht="15.75" customHeight="1" x14ac:dyDescent="0.25">
      <c r="B11" s="108" t="s">
        <v>433</v>
      </c>
      <c r="C11" s="108"/>
      <c r="D11" s="108"/>
      <c r="E11" s="108"/>
      <c r="F11" s="108"/>
      <c r="G11" s="108"/>
      <c r="H11" s="108"/>
      <c r="I11" s="108"/>
      <c r="J11" s="108"/>
      <c r="K11" s="108"/>
    </row>
    <row r="12" spans="2:11" ht="15.6" x14ac:dyDescent="0.3">
      <c r="B12" s="103"/>
      <c r="C12" s="103"/>
      <c r="D12" s="103"/>
      <c r="E12" s="103"/>
      <c r="F12" s="103"/>
      <c r="G12" s="103"/>
      <c r="H12" s="103"/>
      <c r="I12" s="104"/>
      <c r="J12" s="104"/>
      <c r="K12" s="104"/>
    </row>
    <row r="13" spans="2:11" ht="17.399999999999999" x14ac:dyDescent="0.3">
      <c r="B13" s="106" t="s">
        <v>8</v>
      </c>
      <c r="C13" s="106"/>
      <c r="D13" s="106"/>
      <c r="E13" s="106"/>
      <c r="F13" s="106"/>
      <c r="G13" s="106"/>
      <c r="H13" s="106"/>
      <c r="I13" s="106"/>
      <c r="J13" s="106"/>
      <c r="K13" s="106"/>
    </row>
    <row r="14" spans="2:11" x14ac:dyDescent="0.25">
      <c r="B14" s="105"/>
      <c r="C14" s="105"/>
      <c r="D14" s="105"/>
      <c r="E14" s="105"/>
      <c r="F14" s="105"/>
      <c r="G14" s="105"/>
      <c r="H14" s="105"/>
      <c r="I14" s="105"/>
      <c r="J14" s="105"/>
      <c r="K14" s="105"/>
    </row>
    <row r="15" spans="2:11" s="2" customFormat="1" ht="31.2" x14ac:dyDescent="0.3">
      <c r="B15" s="4" t="s">
        <v>0</v>
      </c>
      <c r="C15" s="4" t="s">
        <v>40</v>
      </c>
      <c r="D15" s="4" t="s">
        <v>62</v>
      </c>
      <c r="E15" s="4" t="s">
        <v>1</v>
      </c>
      <c r="F15" s="4" t="s">
        <v>3</v>
      </c>
      <c r="G15" s="4" t="s">
        <v>2</v>
      </c>
      <c r="H15" s="4" t="s">
        <v>4</v>
      </c>
      <c r="I15" s="4" t="s">
        <v>5</v>
      </c>
      <c r="J15" s="4" t="s">
        <v>7</v>
      </c>
      <c r="K15" s="4" t="s">
        <v>6</v>
      </c>
    </row>
    <row r="16" spans="2:11" ht="15.6" x14ac:dyDescent="0.3">
      <c r="B16" s="49">
        <v>1</v>
      </c>
      <c r="C16" s="107" t="s">
        <v>9</v>
      </c>
      <c r="D16" s="107"/>
      <c r="E16" s="107"/>
      <c r="F16" s="107"/>
      <c r="G16" s="107"/>
      <c r="H16" s="107"/>
      <c r="I16" s="107"/>
      <c r="J16" s="107"/>
      <c r="K16" s="107"/>
    </row>
    <row r="17" spans="2:12" s="11" customFormat="1" ht="26.4" x14ac:dyDescent="0.3">
      <c r="B17" s="50" t="s">
        <v>38</v>
      </c>
      <c r="C17" s="5" t="s">
        <v>13</v>
      </c>
      <c r="D17" s="7">
        <v>21301</v>
      </c>
      <c r="E17" s="61" t="s">
        <v>436</v>
      </c>
      <c r="F17" s="5" t="s">
        <v>419</v>
      </c>
      <c r="G17" s="6">
        <f>1.5*2</f>
        <v>3</v>
      </c>
      <c r="H17" s="54">
        <v>4.5</v>
      </c>
      <c r="I17" s="54">
        <v>389.3</v>
      </c>
      <c r="J17" s="54">
        <f>H17+I17</f>
        <v>393.8</v>
      </c>
      <c r="K17" s="54">
        <f>G17*J17</f>
        <v>1181.4000000000001</v>
      </c>
    </row>
    <row r="18" spans="2:12" s="11" customFormat="1" ht="26.4" x14ac:dyDescent="0.3">
      <c r="B18" s="50" t="s">
        <v>39</v>
      </c>
      <c r="C18" s="5" t="s">
        <v>13</v>
      </c>
      <c r="D18" s="7">
        <v>21610</v>
      </c>
      <c r="E18" s="61" t="s">
        <v>61</v>
      </c>
      <c r="F18" s="5" t="s">
        <v>419</v>
      </c>
      <c r="G18" s="6">
        <f>216.82+60+78.3</f>
        <v>355.12</v>
      </c>
      <c r="H18" s="54">
        <v>0</v>
      </c>
      <c r="I18" s="54">
        <v>2.5099999999999998</v>
      </c>
      <c r="J18" s="54">
        <f t="shared" ref="J18:J19" si="0">H18+I18</f>
        <v>2.5099999999999998</v>
      </c>
      <c r="K18" s="54">
        <f>G18*J18</f>
        <v>891.35119999999995</v>
      </c>
    </row>
    <row r="19" spans="2:12" s="11" customFormat="1" ht="26.4" x14ac:dyDescent="0.3">
      <c r="B19" s="50" t="s">
        <v>152</v>
      </c>
      <c r="C19" s="5" t="s">
        <v>13</v>
      </c>
      <c r="D19" s="7">
        <v>20701</v>
      </c>
      <c r="E19" s="61" t="s">
        <v>153</v>
      </c>
      <c r="F19" s="5" t="s">
        <v>419</v>
      </c>
      <c r="G19" s="6">
        <v>78.3</v>
      </c>
      <c r="H19" s="54">
        <v>2.29</v>
      </c>
      <c r="I19" s="54">
        <v>3.89</v>
      </c>
      <c r="J19" s="54">
        <f t="shared" si="0"/>
        <v>6.18</v>
      </c>
      <c r="K19" s="54">
        <f>G19*J19</f>
        <v>483.89399999999995</v>
      </c>
    </row>
    <row r="20" spans="2:12" s="11" customFormat="1" x14ac:dyDescent="0.3">
      <c r="B20" s="50" t="s">
        <v>411</v>
      </c>
      <c r="C20" s="5" t="s">
        <v>13</v>
      </c>
      <c r="D20" s="7">
        <v>250103</v>
      </c>
      <c r="E20" s="8" t="s">
        <v>412</v>
      </c>
      <c r="F20" s="5" t="s">
        <v>425</v>
      </c>
      <c r="G20" s="6">
        <v>4</v>
      </c>
      <c r="H20" s="54">
        <v>7065.22</v>
      </c>
      <c r="I20" s="54">
        <v>0</v>
      </c>
      <c r="J20" s="54">
        <f t="shared" ref="J20" si="1">H20+I20</f>
        <v>7065.22</v>
      </c>
      <c r="K20" s="54">
        <f>G20*J20</f>
        <v>28260.880000000001</v>
      </c>
    </row>
    <row r="21" spans="2:12" s="11" customFormat="1" ht="15.6" x14ac:dyDescent="0.3">
      <c r="B21" s="96" t="s">
        <v>36</v>
      </c>
      <c r="C21" s="97"/>
      <c r="D21" s="97"/>
      <c r="E21" s="97"/>
      <c r="F21" s="97"/>
      <c r="G21" s="97"/>
      <c r="H21" s="97"/>
      <c r="I21" s="97"/>
      <c r="J21" s="98"/>
      <c r="K21" s="55">
        <f>SUM(K17:K20)</f>
        <v>30817.5252</v>
      </c>
    </row>
    <row r="22" spans="2:12" ht="15.6" x14ac:dyDescent="0.3">
      <c r="B22" s="49">
        <v>2</v>
      </c>
      <c r="C22" s="93" t="s">
        <v>151</v>
      </c>
      <c r="D22" s="94"/>
      <c r="E22" s="94"/>
      <c r="F22" s="94"/>
      <c r="G22" s="94"/>
      <c r="H22" s="94"/>
      <c r="I22" s="94"/>
      <c r="J22" s="94"/>
      <c r="K22" s="95"/>
    </row>
    <row r="23" spans="2:12" s="11" customFormat="1" ht="26.4" x14ac:dyDescent="0.3">
      <c r="B23" s="50" t="s">
        <v>41</v>
      </c>
      <c r="C23" s="5" t="s">
        <v>13</v>
      </c>
      <c r="D23" s="7">
        <v>20118</v>
      </c>
      <c r="E23" s="62" t="s">
        <v>100</v>
      </c>
      <c r="F23" s="5" t="s">
        <v>422</v>
      </c>
      <c r="G23" s="6">
        <v>4.2699999999999996</v>
      </c>
      <c r="H23" s="54">
        <v>59.43</v>
      </c>
      <c r="I23" s="54">
        <v>0</v>
      </c>
      <c r="J23" s="54">
        <f t="shared" ref="J23:J26" si="2">H23+I23</f>
        <v>59.43</v>
      </c>
      <c r="K23" s="54">
        <f>G23*J23</f>
        <v>253.76609999999997</v>
      </c>
      <c r="L23" s="12"/>
    </row>
    <row r="24" spans="2:12" s="11" customFormat="1" x14ac:dyDescent="0.3">
      <c r="B24" s="50" t="s">
        <v>42</v>
      </c>
      <c r="C24" s="5" t="s">
        <v>13</v>
      </c>
      <c r="D24" s="7">
        <v>20106</v>
      </c>
      <c r="E24" s="62" t="s">
        <v>437</v>
      </c>
      <c r="F24" s="5" t="s">
        <v>419</v>
      </c>
      <c r="G24" s="6">
        <f>2.53+5.46</f>
        <v>7.99</v>
      </c>
      <c r="H24" s="54">
        <v>9.5</v>
      </c>
      <c r="I24" s="54">
        <v>0</v>
      </c>
      <c r="J24" s="54">
        <f t="shared" si="2"/>
        <v>9.5</v>
      </c>
      <c r="K24" s="54">
        <f>G24*J24</f>
        <v>75.905000000000001</v>
      </c>
      <c r="L24" s="12"/>
    </row>
    <row r="25" spans="2:12" s="11" customFormat="1" ht="26.4" x14ac:dyDescent="0.3">
      <c r="B25" s="50" t="s">
        <v>43</v>
      </c>
      <c r="C25" s="5" t="s">
        <v>13</v>
      </c>
      <c r="D25" s="7">
        <v>20109</v>
      </c>
      <c r="E25" s="62" t="s">
        <v>138</v>
      </c>
      <c r="F25" s="5" t="s">
        <v>419</v>
      </c>
      <c r="G25" s="6">
        <f>17.7+41.6</f>
        <v>59.3</v>
      </c>
      <c r="H25" s="54">
        <v>21.63</v>
      </c>
      <c r="I25" s="54">
        <v>0</v>
      </c>
      <c r="J25" s="54">
        <f t="shared" si="2"/>
        <v>21.63</v>
      </c>
      <c r="K25" s="54">
        <f>G25*J25</f>
        <v>1282.6589999999999</v>
      </c>
      <c r="L25" s="12"/>
    </row>
    <row r="26" spans="2:12" s="11" customFormat="1" x14ac:dyDescent="0.3">
      <c r="B26" s="50" t="s">
        <v>44</v>
      </c>
      <c r="C26" s="5" t="s">
        <v>13</v>
      </c>
      <c r="D26" s="7">
        <v>20202</v>
      </c>
      <c r="E26" s="9" t="s">
        <v>137</v>
      </c>
      <c r="F26" s="5" t="s">
        <v>419</v>
      </c>
      <c r="G26" s="6">
        <v>41.6</v>
      </c>
      <c r="H26" s="54">
        <v>4.17</v>
      </c>
      <c r="I26" s="54">
        <v>0</v>
      </c>
      <c r="J26" s="54">
        <f t="shared" si="2"/>
        <v>4.17</v>
      </c>
      <c r="K26" s="54">
        <f>G26*J26</f>
        <v>173.47200000000001</v>
      </c>
      <c r="L26" s="12"/>
    </row>
    <row r="27" spans="2:12" s="11" customFormat="1" ht="15.6" x14ac:dyDescent="0.3">
      <c r="B27" s="96" t="s">
        <v>36</v>
      </c>
      <c r="C27" s="97"/>
      <c r="D27" s="97"/>
      <c r="E27" s="97"/>
      <c r="F27" s="97"/>
      <c r="G27" s="97"/>
      <c r="H27" s="97"/>
      <c r="I27" s="97"/>
      <c r="J27" s="98"/>
      <c r="K27" s="55">
        <f>SUM(K23:K26)</f>
        <v>1785.8020999999999</v>
      </c>
    </row>
    <row r="28" spans="2:12" ht="15.6" x14ac:dyDescent="0.3">
      <c r="B28" s="49">
        <v>3</v>
      </c>
      <c r="C28" s="93" t="s">
        <v>455</v>
      </c>
      <c r="D28" s="94"/>
      <c r="E28" s="94"/>
      <c r="F28" s="94"/>
      <c r="G28" s="94"/>
      <c r="H28" s="94"/>
      <c r="I28" s="94"/>
      <c r="J28" s="94"/>
      <c r="K28" s="95"/>
    </row>
    <row r="29" spans="2:12" ht="15" customHeight="1" x14ac:dyDescent="0.25">
      <c r="B29" s="51" t="s">
        <v>45</v>
      </c>
      <c r="C29" s="89" t="s">
        <v>139</v>
      </c>
      <c r="D29" s="90"/>
      <c r="E29" s="90"/>
      <c r="F29" s="90"/>
      <c r="G29" s="90"/>
      <c r="H29" s="90"/>
      <c r="I29" s="90"/>
      <c r="J29" s="90"/>
      <c r="K29" s="91"/>
    </row>
    <row r="30" spans="2:12" ht="27.6" x14ac:dyDescent="0.25">
      <c r="B30" s="50" t="s">
        <v>201</v>
      </c>
      <c r="C30" s="5" t="s">
        <v>13</v>
      </c>
      <c r="D30" s="7">
        <v>50303</v>
      </c>
      <c r="E30" s="9" t="s">
        <v>146</v>
      </c>
      <c r="F30" s="53" t="s">
        <v>420</v>
      </c>
      <c r="G30" s="6">
        <v>60</v>
      </c>
      <c r="H30" s="54">
        <v>38.200000000000003</v>
      </c>
      <c r="I30" s="54">
        <v>28.37</v>
      </c>
      <c r="J30" s="54">
        <f t="shared" ref="J30:J34" si="3">H30+I30</f>
        <v>66.570000000000007</v>
      </c>
      <c r="K30" s="54">
        <f>G30*J30</f>
        <v>3994.2000000000003</v>
      </c>
    </row>
    <row r="31" spans="2:12" x14ac:dyDescent="0.25">
      <c r="B31" s="50" t="s">
        <v>202</v>
      </c>
      <c r="C31" s="5" t="s">
        <v>13</v>
      </c>
      <c r="D31" s="7">
        <v>52005</v>
      </c>
      <c r="E31" s="9" t="s">
        <v>157</v>
      </c>
      <c r="F31" s="53" t="s">
        <v>421</v>
      </c>
      <c r="G31" s="6">
        <v>132</v>
      </c>
      <c r="H31" s="54">
        <v>4.12</v>
      </c>
      <c r="I31" s="54">
        <v>7.83</v>
      </c>
      <c r="J31" s="54">
        <f t="shared" si="3"/>
        <v>11.95</v>
      </c>
      <c r="K31" s="54">
        <f>G31*J31</f>
        <v>1577.3999999999999</v>
      </c>
    </row>
    <row r="32" spans="2:12" x14ac:dyDescent="0.25">
      <c r="B32" s="50" t="s">
        <v>203</v>
      </c>
      <c r="C32" s="5" t="s">
        <v>13</v>
      </c>
      <c r="D32" s="7">
        <v>52014</v>
      </c>
      <c r="E32" s="9" t="s">
        <v>145</v>
      </c>
      <c r="F32" s="53" t="s">
        <v>421</v>
      </c>
      <c r="G32" s="6">
        <v>18.7</v>
      </c>
      <c r="H32" s="54">
        <v>3.6</v>
      </c>
      <c r="I32" s="54">
        <v>8.5299999999999994</v>
      </c>
      <c r="J32" s="54">
        <f t="shared" si="3"/>
        <v>12.129999999999999</v>
      </c>
      <c r="K32" s="54">
        <f>G32*J32</f>
        <v>226.83099999999996</v>
      </c>
    </row>
    <row r="33" spans="2:11" x14ac:dyDescent="0.25">
      <c r="B33" s="50" t="s">
        <v>204</v>
      </c>
      <c r="C33" s="5" t="s">
        <v>13</v>
      </c>
      <c r="D33" s="7">
        <v>60507</v>
      </c>
      <c r="E33" s="62" t="s">
        <v>148</v>
      </c>
      <c r="F33" s="53" t="s">
        <v>422</v>
      </c>
      <c r="G33" s="6">
        <v>5.4</v>
      </c>
      <c r="H33" s="54">
        <v>123.01</v>
      </c>
      <c r="I33" s="54">
        <v>481.25</v>
      </c>
      <c r="J33" s="54">
        <f t="shared" si="3"/>
        <v>604.26</v>
      </c>
      <c r="K33" s="54">
        <f>G33*J33</f>
        <v>3263.0040000000004</v>
      </c>
    </row>
    <row r="34" spans="2:11" x14ac:dyDescent="0.25">
      <c r="B34" s="50" t="s">
        <v>430</v>
      </c>
      <c r="C34" s="5" t="s">
        <v>13</v>
      </c>
      <c r="D34" s="7">
        <v>51026</v>
      </c>
      <c r="E34" s="9" t="s">
        <v>438</v>
      </c>
      <c r="F34" s="53" t="s">
        <v>422</v>
      </c>
      <c r="G34" s="6">
        <v>5.4</v>
      </c>
      <c r="H34" s="54">
        <v>59.13</v>
      </c>
      <c r="I34" s="54">
        <v>0.13</v>
      </c>
      <c r="J34" s="54">
        <f t="shared" si="3"/>
        <v>59.260000000000005</v>
      </c>
      <c r="K34" s="54">
        <f>G34*J34</f>
        <v>320.00400000000008</v>
      </c>
    </row>
    <row r="35" spans="2:11" ht="15" customHeight="1" x14ac:dyDescent="0.25">
      <c r="B35" s="51" t="s">
        <v>46</v>
      </c>
      <c r="C35" s="89" t="s">
        <v>140</v>
      </c>
      <c r="D35" s="90"/>
      <c r="E35" s="90"/>
      <c r="F35" s="90"/>
      <c r="G35" s="90"/>
      <c r="H35" s="90"/>
      <c r="I35" s="90"/>
      <c r="J35" s="90"/>
      <c r="K35" s="91"/>
    </row>
    <row r="36" spans="2:11" x14ac:dyDescent="0.25">
      <c r="B36" s="50" t="s">
        <v>205</v>
      </c>
      <c r="C36" s="5" t="s">
        <v>13</v>
      </c>
      <c r="D36" s="7">
        <v>40101</v>
      </c>
      <c r="E36" s="9" t="s">
        <v>143</v>
      </c>
      <c r="F36" s="53" t="s">
        <v>422</v>
      </c>
      <c r="G36" s="6">
        <v>3.09</v>
      </c>
      <c r="H36" s="54">
        <v>53.52</v>
      </c>
      <c r="I36" s="54">
        <v>0</v>
      </c>
      <c r="J36" s="54">
        <f t="shared" ref="J36:J42" si="4">H36+I36</f>
        <v>53.52</v>
      </c>
      <c r="K36" s="54">
        <f t="shared" ref="K36:K42" si="5">G36*J36</f>
        <v>165.3768</v>
      </c>
    </row>
    <row r="37" spans="2:11" x14ac:dyDescent="0.25">
      <c r="B37" s="50" t="s">
        <v>206</v>
      </c>
      <c r="C37" s="5" t="s">
        <v>13</v>
      </c>
      <c r="D37" s="7">
        <v>52004</v>
      </c>
      <c r="E37" s="9" t="s">
        <v>431</v>
      </c>
      <c r="F37" s="53" t="s">
        <v>421</v>
      </c>
      <c r="G37" s="6">
        <v>187.22</v>
      </c>
      <c r="H37" s="54">
        <v>4.12</v>
      </c>
      <c r="I37" s="54">
        <v>8.0399999999999991</v>
      </c>
      <c r="J37" s="54">
        <f t="shared" si="4"/>
        <v>12.16</v>
      </c>
      <c r="K37" s="54">
        <f t="shared" si="5"/>
        <v>2276.5952000000002</v>
      </c>
    </row>
    <row r="38" spans="2:11" x14ac:dyDescent="0.25">
      <c r="B38" s="50" t="s">
        <v>207</v>
      </c>
      <c r="C38" s="5" t="s">
        <v>13</v>
      </c>
      <c r="D38" s="7">
        <v>52014</v>
      </c>
      <c r="E38" s="9" t="s">
        <v>432</v>
      </c>
      <c r="F38" s="53" t="s">
        <v>421</v>
      </c>
      <c r="G38" s="6">
        <v>42.73</v>
      </c>
      <c r="H38" s="54">
        <v>3.6</v>
      </c>
      <c r="I38" s="54">
        <v>8.5299999999999994</v>
      </c>
      <c r="J38" s="54">
        <f t="shared" si="4"/>
        <v>12.129999999999999</v>
      </c>
      <c r="K38" s="54">
        <f t="shared" si="5"/>
        <v>518.31489999999997</v>
      </c>
    </row>
    <row r="39" spans="2:11" x14ac:dyDescent="0.25">
      <c r="B39" s="50" t="s">
        <v>208</v>
      </c>
      <c r="C39" s="5" t="s">
        <v>13</v>
      </c>
      <c r="D39" s="7">
        <v>51055</v>
      </c>
      <c r="E39" s="9" t="s">
        <v>147</v>
      </c>
      <c r="F39" s="53" t="s">
        <v>422</v>
      </c>
      <c r="G39" s="6">
        <v>3.4</v>
      </c>
      <c r="H39" s="54">
        <v>70.959999999999994</v>
      </c>
      <c r="I39" s="54">
        <v>0</v>
      </c>
      <c r="J39" s="54">
        <f t="shared" si="4"/>
        <v>70.959999999999994</v>
      </c>
      <c r="K39" s="54">
        <f t="shared" si="5"/>
        <v>241.26399999999998</v>
      </c>
    </row>
    <row r="40" spans="2:11" x14ac:dyDescent="0.25">
      <c r="B40" s="50" t="s">
        <v>209</v>
      </c>
      <c r="C40" s="5" t="s">
        <v>13</v>
      </c>
      <c r="D40" s="7">
        <v>60507</v>
      </c>
      <c r="E40" s="9" t="s">
        <v>439</v>
      </c>
      <c r="F40" s="53" t="s">
        <v>422</v>
      </c>
      <c r="G40" s="6">
        <v>3.4</v>
      </c>
      <c r="H40" s="54">
        <v>123.01</v>
      </c>
      <c r="I40" s="54">
        <v>481.25</v>
      </c>
      <c r="J40" s="54">
        <f t="shared" si="4"/>
        <v>604.26</v>
      </c>
      <c r="K40" s="54">
        <f t="shared" si="5"/>
        <v>2054.4839999999999</v>
      </c>
    </row>
    <row r="41" spans="2:11" x14ac:dyDescent="0.25">
      <c r="B41" s="50" t="s">
        <v>210</v>
      </c>
      <c r="C41" s="5" t="s">
        <v>13</v>
      </c>
      <c r="D41" s="7">
        <v>60191</v>
      </c>
      <c r="E41" s="9" t="s">
        <v>149</v>
      </c>
      <c r="F41" s="53" t="s">
        <v>419</v>
      </c>
      <c r="G41" s="6">
        <v>41.18</v>
      </c>
      <c r="H41" s="54">
        <v>15.71</v>
      </c>
      <c r="I41" s="54">
        <v>26.16</v>
      </c>
      <c r="J41" s="54">
        <f t="shared" si="4"/>
        <v>41.870000000000005</v>
      </c>
      <c r="K41" s="54">
        <f t="shared" si="5"/>
        <v>1724.2066000000002</v>
      </c>
    </row>
    <row r="42" spans="2:11" x14ac:dyDescent="0.25">
      <c r="B42" s="50" t="s">
        <v>211</v>
      </c>
      <c r="C42" s="5" t="s">
        <v>13</v>
      </c>
      <c r="D42" s="7">
        <v>120903</v>
      </c>
      <c r="E42" s="9" t="s">
        <v>440</v>
      </c>
      <c r="F42" s="53" t="s">
        <v>419</v>
      </c>
      <c r="G42" s="6">
        <v>50.1</v>
      </c>
      <c r="H42" s="54">
        <v>9.58</v>
      </c>
      <c r="I42" s="54">
        <v>6.77</v>
      </c>
      <c r="J42" s="54">
        <f t="shared" si="4"/>
        <v>16.350000000000001</v>
      </c>
      <c r="K42" s="54">
        <f t="shared" si="5"/>
        <v>819.1350000000001</v>
      </c>
    </row>
    <row r="43" spans="2:11" s="11" customFormat="1" ht="15.6" x14ac:dyDescent="0.3">
      <c r="B43" s="96" t="s">
        <v>36</v>
      </c>
      <c r="C43" s="97"/>
      <c r="D43" s="97"/>
      <c r="E43" s="97"/>
      <c r="F43" s="97"/>
      <c r="G43" s="97"/>
      <c r="H43" s="97"/>
      <c r="I43" s="97"/>
      <c r="J43" s="98">
        <f t="shared" ref="J43" si="6">H43+I43</f>
        <v>0</v>
      </c>
      <c r="K43" s="55">
        <f>SUM(K29:K42)</f>
        <v>17180.815500000001</v>
      </c>
    </row>
    <row r="44" spans="2:11" ht="15.6" x14ac:dyDescent="0.3">
      <c r="B44" s="49">
        <v>4</v>
      </c>
      <c r="C44" s="93" t="s">
        <v>96</v>
      </c>
      <c r="D44" s="94"/>
      <c r="E44" s="94"/>
      <c r="F44" s="94"/>
      <c r="G44" s="94"/>
      <c r="H44" s="94"/>
      <c r="I44" s="94"/>
      <c r="J44" s="94"/>
      <c r="K44" s="95"/>
    </row>
    <row r="45" spans="2:11" x14ac:dyDescent="0.25">
      <c r="B45" s="51" t="s">
        <v>47</v>
      </c>
      <c r="C45" s="83" t="s">
        <v>141</v>
      </c>
      <c r="D45" s="84"/>
      <c r="E45" s="84"/>
      <c r="F45" s="84"/>
      <c r="G45" s="84"/>
      <c r="H45" s="84"/>
      <c r="I45" s="84"/>
      <c r="J45" s="84"/>
      <c r="K45" s="85"/>
    </row>
    <row r="46" spans="2:11" x14ac:dyDescent="0.25">
      <c r="B46" s="50" t="s">
        <v>212</v>
      </c>
      <c r="C46" s="5" t="s">
        <v>13</v>
      </c>
      <c r="D46" s="7">
        <v>52005</v>
      </c>
      <c r="E46" s="9" t="s">
        <v>157</v>
      </c>
      <c r="F46" s="53" t="s">
        <v>421</v>
      </c>
      <c r="G46" s="6">
        <v>218.24</v>
      </c>
      <c r="H46" s="54">
        <v>4.12</v>
      </c>
      <c r="I46" s="54">
        <v>7.83</v>
      </c>
      <c r="J46" s="54">
        <f t="shared" ref="J46:J50" si="7">H46+I46</f>
        <v>11.95</v>
      </c>
      <c r="K46" s="54">
        <f>G46*J46</f>
        <v>2607.9679999999998</v>
      </c>
    </row>
    <row r="47" spans="2:11" x14ac:dyDescent="0.25">
      <c r="B47" s="50" t="s">
        <v>216</v>
      </c>
      <c r="C47" s="5" t="s">
        <v>13</v>
      </c>
      <c r="D47" s="7">
        <v>52014</v>
      </c>
      <c r="E47" s="9" t="s">
        <v>145</v>
      </c>
      <c r="F47" s="53" t="s">
        <v>421</v>
      </c>
      <c r="G47" s="6">
        <v>54.88</v>
      </c>
      <c r="H47" s="54">
        <v>3.6</v>
      </c>
      <c r="I47" s="54">
        <v>8.5299999999999994</v>
      </c>
      <c r="J47" s="54">
        <f t="shared" si="7"/>
        <v>12.129999999999999</v>
      </c>
      <c r="K47" s="54">
        <f>G47*J47</f>
        <v>665.69439999999997</v>
      </c>
    </row>
    <row r="48" spans="2:11" x14ac:dyDescent="0.25">
      <c r="B48" s="50" t="s">
        <v>217</v>
      </c>
      <c r="C48" s="5" t="s">
        <v>13</v>
      </c>
      <c r="D48" s="7">
        <v>51055</v>
      </c>
      <c r="E48" s="9" t="s">
        <v>147</v>
      </c>
      <c r="F48" s="53" t="s">
        <v>422</v>
      </c>
      <c r="G48" s="6">
        <v>3.96</v>
      </c>
      <c r="H48" s="54">
        <v>70.959999999999994</v>
      </c>
      <c r="I48" s="54">
        <v>0</v>
      </c>
      <c r="J48" s="54">
        <f t="shared" si="7"/>
        <v>70.959999999999994</v>
      </c>
      <c r="K48" s="54">
        <f>G48*J48</f>
        <v>281.0016</v>
      </c>
    </row>
    <row r="49" spans="2:11" x14ac:dyDescent="0.25">
      <c r="B49" s="50" t="s">
        <v>218</v>
      </c>
      <c r="C49" s="5" t="s">
        <v>13</v>
      </c>
      <c r="D49" s="7">
        <v>60507</v>
      </c>
      <c r="E49" s="62" t="s">
        <v>148</v>
      </c>
      <c r="F49" s="53" t="s">
        <v>422</v>
      </c>
      <c r="G49" s="6">
        <v>3.96</v>
      </c>
      <c r="H49" s="54">
        <v>123.01</v>
      </c>
      <c r="I49" s="54">
        <v>481.25</v>
      </c>
      <c r="J49" s="54">
        <f t="shared" si="7"/>
        <v>604.26</v>
      </c>
      <c r="K49" s="54">
        <f>G49*J49</f>
        <v>2392.8696</v>
      </c>
    </row>
    <row r="50" spans="2:11" x14ac:dyDescent="0.25">
      <c r="B50" s="50" t="s">
        <v>219</v>
      </c>
      <c r="C50" s="5" t="s">
        <v>13</v>
      </c>
      <c r="D50" s="7">
        <v>60192</v>
      </c>
      <c r="E50" s="9" t="s">
        <v>150</v>
      </c>
      <c r="F50" s="53" t="s">
        <v>419</v>
      </c>
      <c r="G50" s="6">
        <v>27</v>
      </c>
      <c r="H50" s="54">
        <v>15.71</v>
      </c>
      <c r="I50" s="54">
        <v>17.100000000000001</v>
      </c>
      <c r="J50" s="54">
        <f t="shared" si="7"/>
        <v>32.81</v>
      </c>
      <c r="K50" s="54">
        <f>G50*J50</f>
        <v>885.87000000000012</v>
      </c>
    </row>
    <row r="51" spans="2:11" x14ac:dyDescent="0.25">
      <c r="B51" s="51" t="s">
        <v>48</v>
      </c>
      <c r="C51" s="83" t="s">
        <v>142</v>
      </c>
      <c r="D51" s="84"/>
      <c r="E51" s="84"/>
      <c r="F51" s="84"/>
      <c r="G51" s="84"/>
      <c r="H51" s="84"/>
      <c r="I51" s="84"/>
      <c r="J51" s="84"/>
      <c r="K51" s="85"/>
    </row>
    <row r="52" spans="2:11" x14ac:dyDescent="0.25">
      <c r="B52" s="50" t="s">
        <v>213</v>
      </c>
      <c r="C52" s="5" t="s">
        <v>13</v>
      </c>
      <c r="D52" s="7">
        <v>52004</v>
      </c>
      <c r="E52" s="9" t="s">
        <v>144</v>
      </c>
      <c r="F52" s="53" t="s">
        <v>421</v>
      </c>
      <c r="G52" s="6">
        <v>187.22</v>
      </c>
      <c r="H52" s="54">
        <v>4.12</v>
      </c>
      <c r="I52" s="54">
        <v>8.0399999999999991</v>
      </c>
      <c r="J52" s="54">
        <f t="shared" ref="J52:J56" si="8">H52+I52</f>
        <v>12.16</v>
      </c>
      <c r="K52" s="54">
        <f>G52*J52</f>
        <v>2276.5952000000002</v>
      </c>
    </row>
    <row r="53" spans="2:11" x14ac:dyDescent="0.25">
      <c r="B53" s="50" t="s">
        <v>220</v>
      </c>
      <c r="C53" s="5" t="s">
        <v>13</v>
      </c>
      <c r="D53" s="7">
        <v>52014</v>
      </c>
      <c r="E53" s="9" t="s">
        <v>145</v>
      </c>
      <c r="F53" s="53" t="s">
        <v>421</v>
      </c>
      <c r="G53" s="6">
        <v>47</v>
      </c>
      <c r="H53" s="54">
        <v>3.6</v>
      </c>
      <c r="I53" s="54">
        <v>8.5299999999999994</v>
      </c>
      <c r="J53" s="54">
        <f t="shared" si="8"/>
        <v>12.129999999999999</v>
      </c>
      <c r="K53" s="54">
        <f>G53*J53</f>
        <v>570.1099999999999</v>
      </c>
    </row>
    <row r="54" spans="2:11" x14ac:dyDescent="0.25">
      <c r="B54" s="50" t="s">
        <v>221</v>
      </c>
      <c r="C54" s="5" t="s">
        <v>13</v>
      </c>
      <c r="D54" s="7">
        <v>51055</v>
      </c>
      <c r="E54" s="9" t="s">
        <v>147</v>
      </c>
      <c r="F54" s="53" t="s">
        <v>422</v>
      </c>
      <c r="G54" s="6">
        <v>3.4</v>
      </c>
      <c r="H54" s="54">
        <v>70.959999999999994</v>
      </c>
      <c r="I54" s="54">
        <v>0</v>
      </c>
      <c r="J54" s="54">
        <f t="shared" si="8"/>
        <v>70.959999999999994</v>
      </c>
      <c r="K54" s="54">
        <f>G54*J54</f>
        <v>241.26399999999998</v>
      </c>
    </row>
    <row r="55" spans="2:11" x14ac:dyDescent="0.25">
      <c r="B55" s="50" t="s">
        <v>222</v>
      </c>
      <c r="C55" s="5" t="s">
        <v>13</v>
      </c>
      <c r="D55" s="7">
        <v>60507</v>
      </c>
      <c r="E55" s="9" t="s">
        <v>439</v>
      </c>
      <c r="F55" s="53" t="s">
        <v>422</v>
      </c>
      <c r="G55" s="6">
        <v>3.4</v>
      </c>
      <c r="H55" s="54">
        <v>123.01</v>
      </c>
      <c r="I55" s="54">
        <v>481.25</v>
      </c>
      <c r="J55" s="54">
        <f t="shared" si="8"/>
        <v>604.26</v>
      </c>
      <c r="K55" s="54">
        <f>G55*J55</f>
        <v>2054.4839999999999</v>
      </c>
    </row>
    <row r="56" spans="2:11" x14ac:dyDescent="0.25">
      <c r="B56" s="50" t="s">
        <v>223</v>
      </c>
      <c r="C56" s="5" t="s">
        <v>13</v>
      </c>
      <c r="D56" s="7">
        <v>60192</v>
      </c>
      <c r="E56" s="9" t="s">
        <v>150</v>
      </c>
      <c r="F56" s="53" t="s">
        <v>419</v>
      </c>
      <c r="G56" s="6">
        <v>27</v>
      </c>
      <c r="H56" s="54">
        <v>15.71</v>
      </c>
      <c r="I56" s="54">
        <v>17.100000000000001</v>
      </c>
      <c r="J56" s="54">
        <f t="shared" si="8"/>
        <v>32.81</v>
      </c>
      <c r="K56" s="54">
        <f>G56*J56</f>
        <v>885.87000000000012</v>
      </c>
    </row>
    <row r="57" spans="2:11" ht="15" customHeight="1" x14ac:dyDescent="0.25">
      <c r="B57" s="51" t="s">
        <v>49</v>
      </c>
      <c r="C57" s="83" t="s">
        <v>156</v>
      </c>
      <c r="D57" s="84"/>
      <c r="E57" s="84"/>
      <c r="F57" s="84"/>
      <c r="G57" s="84"/>
      <c r="H57" s="84"/>
      <c r="I57" s="84"/>
      <c r="J57" s="84"/>
      <c r="K57" s="85"/>
    </row>
    <row r="58" spans="2:11" x14ac:dyDescent="0.25">
      <c r="B58" s="50" t="s">
        <v>214</v>
      </c>
      <c r="C58" s="5" t="s">
        <v>13</v>
      </c>
      <c r="D58" s="7">
        <v>52004</v>
      </c>
      <c r="E58" s="9" t="s">
        <v>144</v>
      </c>
      <c r="F58" s="53" t="s">
        <v>419</v>
      </c>
      <c r="G58" s="6">
        <v>8.99</v>
      </c>
      <c r="H58" s="54">
        <v>4.12</v>
      </c>
      <c r="I58" s="54">
        <v>8.0399999999999991</v>
      </c>
      <c r="J58" s="54">
        <f t="shared" ref="J58:J64" si="9">H58+I58</f>
        <v>12.16</v>
      </c>
      <c r="K58" s="54">
        <f t="shared" ref="K58:K64" si="10">G58*J58</f>
        <v>109.3184</v>
      </c>
    </row>
    <row r="59" spans="2:11" x14ac:dyDescent="0.25">
      <c r="B59" s="50" t="s">
        <v>224</v>
      </c>
      <c r="C59" s="5" t="s">
        <v>13</v>
      </c>
      <c r="D59" s="7">
        <v>52003</v>
      </c>
      <c r="E59" s="9" t="s">
        <v>158</v>
      </c>
      <c r="F59" s="53" t="s">
        <v>419</v>
      </c>
      <c r="G59" s="6">
        <v>2.35</v>
      </c>
      <c r="H59" s="54">
        <v>4.12</v>
      </c>
      <c r="I59" s="54">
        <v>8.14</v>
      </c>
      <c r="J59" s="54">
        <f t="shared" si="9"/>
        <v>12.260000000000002</v>
      </c>
      <c r="K59" s="54">
        <f t="shared" si="10"/>
        <v>28.811000000000003</v>
      </c>
    </row>
    <row r="60" spans="2:11" x14ac:dyDescent="0.25">
      <c r="B60" s="50" t="s">
        <v>225</v>
      </c>
      <c r="C60" s="5" t="s">
        <v>13</v>
      </c>
      <c r="D60" s="7">
        <v>51055</v>
      </c>
      <c r="E60" s="9" t="s">
        <v>147</v>
      </c>
      <c r="F60" s="53" t="s">
        <v>422</v>
      </c>
      <c r="G60" s="6">
        <v>0.183</v>
      </c>
      <c r="H60" s="54">
        <v>70.959999999999994</v>
      </c>
      <c r="I60" s="54">
        <v>0</v>
      </c>
      <c r="J60" s="54">
        <f t="shared" si="9"/>
        <v>70.959999999999994</v>
      </c>
      <c r="K60" s="54">
        <f t="shared" si="10"/>
        <v>12.985679999999999</v>
      </c>
    </row>
    <row r="61" spans="2:11" x14ac:dyDescent="0.25">
      <c r="B61" s="50" t="s">
        <v>215</v>
      </c>
      <c r="C61" s="5" t="s">
        <v>13</v>
      </c>
      <c r="D61" s="7">
        <v>60507</v>
      </c>
      <c r="E61" s="9" t="s">
        <v>439</v>
      </c>
      <c r="F61" s="53" t="s">
        <v>422</v>
      </c>
      <c r="G61" s="6">
        <v>0.183</v>
      </c>
      <c r="H61" s="54">
        <v>123.01</v>
      </c>
      <c r="I61" s="54">
        <v>481.25</v>
      </c>
      <c r="J61" s="54">
        <f t="shared" si="9"/>
        <v>604.26</v>
      </c>
      <c r="K61" s="54">
        <f t="shared" si="10"/>
        <v>110.57957999999999</v>
      </c>
    </row>
    <row r="62" spans="2:11" x14ac:dyDescent="0.25">
      <c r="B62" s="50" t="s">
        <v>226</v>
      </c>
      <c r="C62" s="5" t="s">
        <v>13</v>
      </c>
      <c r="D62" s="7">
        <v>60192</v>
      </c>
      <c r="E62" s="9" t="s">
        <v>150</v>
      </c>
      <c r="F62" s="53" t="s">
        <v>419</v>
      </c>
      <c r="G62" s="6">
        <v>2.2549999999999999</v>
      </c>
      <c r="H62" s="54">
        <v>15.71</v>
      </c>
      <c r="I62" s="54">
        <v>17.100000000000001</v>
      </c>
      <c r="J62" s="54">
        <f t="shared" si="9"/>
        <v>32.81</v>
      </c>
      <c r="K62" s="54">
        <f t="shared" si="10"/>
        <v>73.986550000000008</v>
      </c>
    </row>
    <row r="63" spans="2:11" ht="27.6" x14ac:dyDescent="0.25">
      <c r="B63" s="50" t="s">
        <v>227</v>
      </c>
      <c r="C63" s="5" t="s">
        <v>13</v>
      </c>
      <c r="D63" s="7">
        <v>60103</v>
      </c>
      <c r="E63" s="9" t="s">
        <v>159</v>
      </c>
      <c r="F63" s="53" t="s">
        <v>423</v>
      </c>
      <c r="G63" s="6">
        <v>1.83</v>
      </c>
      <c r="H63" s="54">
        <v>2.08</v>
      </c>
      <c r="I63" s="54">
        <v>24.5</v>
      </c>
      <c r="J63" s="54">
        <f t="shared" si="9"/>
        <v>26.58</v>
      </c>
      <c r="K63" s="54">
        <f t="shared" si="10"/>
        <v>48.641399999999997</v>
      </c>
    </row>
    <row r="64" spans="2:11" ht="26.4" x14ac:dyDescent="0.25">
      <c r="B64" s="50" t="s">
        <v>228</v>
      </c>
      <c r="C64" s="5" t="s">
        <v>13</v>
      </c>
      <c r="D64" s="7">
        <v>130107</v>
      </c>
      <c r="E64" s="62" t="s">
        <v>160</v>
      </c>
      <c r="F64" s="53" t="s">
        <v>419</v>
      </c>
      <c r="G64" s="6">
        <v>4.09</v>
      </c>
      <c r="H64" s="54">
        <v>26.95</v>
      </c>
      <c r="I64" s="54">
        <v>26.29</v>
      </c>
      <c r="J64" s="54">
        <f t="shared" si="9"/>
        <v>53.239999999999995</v>
      </c>
      <c r="K64" s="54">
        <f t="shared" si="10"/>
        <v>217.75159999999997</v>
      </c>
    </row>
    <row r="65" spans="2:11" s="11" customFormat="1" ht="15.6" x14ac:dyDescent="0.3">
      <c r="B65" s="96" t="s">
        <v>36</v>
      </c>
      <c r="C65" s="97"/>
      <c r="D65" s="97"/>
      <c r="E65" s="97"/>
      <c r="F65" s="97"/>
      <c r="G65" s="97"/>
      <c r="H65" s="97"/>
      <c r="I65" s="97"/>
      <c r="J65" s="98">
        <f t="shared" ref="J65" si="11">H65+I65</f>
        <v>0</v>
      </c>
      <c r="K65" s="55">
        <f>SUM(K45:K64)</f>
        <v>13463.801009999999</v>
      </c>
    </row>
    <row r="66" spans="2:11" ht="15.6" x14ac:dyDescent="0.3">
      <c r="B66" s="49">
        <v>5</v>
      </c>
      <c r="C66" s="93" t="s">
        <v>97</v>
      </c>
      <c r="D66" s="94"/>
      <c r="E66" s="94"/>
      <c r="F66" s="94"/>
      <c r="G66" s="94"/>
      <c r="H66" s="94"/>
      <c r="I66" s="94"/>
      <c r="J66" s="94"/>
      <c r="K66" s="95"/>
    </row>
    <row r="67" spans="2:11" ht="39.6" x14ac:dyDescent="0.25">
      <c r="B67" s="50" t="s">
        <v>50</v>
      </c>
      <c r="C67" s="5" t="s">
        <v>35</v>
      </c>
      <c r="D67" s="7">
        <v>96366</v>
      </c>
      <c r="E67" s="62" t="s">
        <v>107</v>
      </c>
      <c r="F67" s="53" t="s">
        <v>419</v>
      </c>
      <c r="G67" s="6">
        <v>20.8</v>
      </c>
      <c r="H67" s="54">
        <v>22.32</v>
      </c>
      <c r="I67" s="54">
        <v>120.62</v>
      </c>
      <c r="J67" s="54">
        <f t="shared" ref="J67:J70" si="12">H67+I67</f>
        <v>142.94</v>
      </c>
      <c r="K67" s="54">
        <f>G67*J67</f>
        <v>2973.152</v>
      </c>
    </row>
    <row r="68" spans="2:11" x14ac:dyDescent="0.25">
      <c r="B68" s="50" t="s">
        <v>51</v>
      </c>
      <c r="C68" s="5" t="s">
        <v>13</v>
      </c>
      <c r="D68" s="7">
        <v>100102</v>
      </c>
      <c r="E68" s="9" t="s">
        <v>108</v>
      </c>
      <c r="F68" s="53" t="s">
        <v>419</v>
      </c>
      <c r="G68" s="6">
        <v>277.43</v>
      </c>
      <c r="H68" s="54">
        <v>57.11</v>
      </c>
      <c r="I68" s="54">
        <v>51.89</v>
      </c>
      <c r="J68" s="54">
        <f t="shared" si="12"/>
        <v>109</v>
      </c>
      <c r="K68" s="54">
        <f>G68*J68</f>
        <v>30239.87</v>
      </c>
    </row>
    <row r="69" spans="2:11" x14ac:dyDescent="0.25">
      <c r="B69" s="50" t="s">
        <v>52</v>
      </c>
      <c r="C69" s="5" t="s">
        <v>13</v>
      </c>
      <c r="D69" s="7">
        <v>60010</v>
      </c>
      <c r="E69" s="9" t="s">
        <v>101</v>
      </c>
      <c r="F69" s="53" t="s">
        <v>422</v>
      </c>
      <c r="G69" s="6">
        <v>0.97</v>
      </c>
      <c r="H69" s="54">
        <v>1045.95</v>
      </c>
      <c r="I69" s="54">
        <v>1920.99</v>
      </c>
      <c r="J69" s="54">
        <f t="shared" si="12"/>
        <v>2966.94</v>
      </c>
      <c r="K69" s="54">
        <f>G69*J69</f>
        <v>2877.9317999999998</v>
      </c>
    </row>
    <row r="70" spans="2:11" ht="26.4" x14ac:dyDescent="0.25">
      <c r="B70" s="50" t="s">
        <v>229</v>
      </c>
      <c r="C70" s="5" t="s">
        <v>13</v>
      </c>
      <c r="D70" s="7">
        <v>201410</v>
      </c>
      <c r="E70" s="62" t="s">
        <v>121</v>
      </c>
      <c r="F70" s="53" t="s">
        <v>419</v>
      </c>
      <c r="G70" s="6">
        <v>10.5</v>
      </c>
      <c r="H70" s="54">
        <v>65.52</v>
      </c>
      <c r="I70" s="54">
        <v>19.809999999999999</v>
      </c>
      <c r="J70" s="54">
        <f t="shared" si="12"/>
        <v>85.33</v>
      </c>
      <c r="K70" s="54">
        <f>G70*J70</f>
        <v>895.96500000000003</v>
      </c>
    </row>
    <row r="71" spans="2:11" s="11" customFormat="1" ht="15.6" x14ac:dyDescent="0.3">
      <c r="B71" s="96" t="s">
        <v>36</v>
      </c>
      <c r="C71" s="97"/>
      <c r="D71" s="97"/>
      <c r="E71" s="97"/>
      <c r="F71" s="97"/>
      <c r="G71" s="97"/>
      <c r="H71" s="97"/>
      <c r="I71" s="97"/>
      <c r="J71" s="98">
        <f t="shared" ref="J71" si="13">H71+I71</f>
        <v>0</v>
      </c>
      <c r="K71" s="55">
        <f>SUM(K67:K70)</f>
        <v>36986.918799999992</v>
      </c>
    </row>
    <row r="72" spans="2:11" ht="15.6" x14ac:dyDescent="0.3">
      <c r="B72" s="49">
        <v>6</v>
      </c>
      <c r="C72" s="93" t="s">
        <v>10</v>
      </c>
      <c r="D72" s="94"/>
      <c r="E72" s="94"/>
      <c r="F72" s="94"/>
      <c r="G72" s="94"/>
      <c r="H72" s="94"/>
      <c r="I72" s="94"/>
      <c r="J72" s="94"/>
      <c r="K72" s="95"/>
    </row>
    <row r="73" spans="2:11" ht="39.6" x14ac:dyDescent="0.25">
      <c r="B73" s="50" t="s">
        <v>53</v>
      </c>
      <c r="C73" s="5" t="s">
        <v>35</v>
      </c>
      <c r="D73" s="7">
        <v>100377</v>
      </c>
      <c r="E73" s="62" t="s">
        <v>122</v>
      </c>
      <c r="F73" s="53" t="s">
        <v>421</v>
      </c>
      <c r="G73" s="6">
        <v>715</v>
      </c>
      <c r="H73" s="54">
        <v>0.86</v>
      </c>
      <c r="I73" s="54">
        <v>12.26</v>
      </c>
      <c r="J73" s="54">
        <f t="shared" ref="J73:J78" si="14">H73+I73</f>
        <v>13.12</v>
      </c>
      <c r="K73" s="54">
        <f t="shared" ref="K73:K78" si="15">G73*J73</f>
        <v>9380.7999999999993</v>
      </c>
    </row>
    <row r="74" spans="2:11" ht="39.6" x14ac:dyDescent="0.25">
      <c r="B74" s="50" t="s">
        <v>54</v>
      </c>
      <c r="C74" s="5" t="s">
        <v>35</v>
      </c>
      <c r="D74" s="7">
        <v>92580</v>
      </c>
      <c r="E74" s="62" t="s">
        <v>120</v>
      </c>
      <c r="F74" s="53" t="s">
        <v>419</v>
      </c>
      <c r="G74" s="6">
        <v>104.94</v>
      </c>
      <c r="H74" s="54">
        <v>9.19</v>
      </c>
      <c r="I74" s="54">
        <v>39.18</v>
      </c>
      <c r="J74" s="54">
        <f t="shared" si="14"/>
        <v>48.37</v>
      </c>
      <c r="K74" s="54">
        <f t="shared" si="15"/>
        <v>5075.9477999999999</v>
      </c>
    </row>
    <row r="75" spans="2:11" x14ac:dyDescent="0.25">
      <c r="B75" s="50" t="s">
        <v>55</v>
      </c>
      <c r="C75" s="5" t="s">
        <v>13</v>
      </c>
      <c r="D75" s="7">
        <v>160501</v>
      </c>
      <c r="E75" s="9" t="s">
        <v>119</v>
      </c>
      <c r="F75" s="53" t="s">
        <v>419</v>
      </c>
      <c r="G75" s="6">
        <v>104.94</v>
      </c>
      <c r="H75" s="54">
        <v>10.98</v>
      </c>
      <c r="I75" s="54">
        <v>36.49</v>
      </c>
      <c r="J75" s="54">
        <f t="shared" si="14"/>
        <v>47.47</v>
      </c>
      <c r="K75" s="54">
        <f t="shared" si="15"/>
        <v>4981.5018</v>
      </c>
    </row>
    <row r="76" spans="2:11" x14ac:dyDescent="0.25">
      <c r="B76" s="50" t="s">
        <v>56</v>
      </c>
      <c r="C76" s="5" t="s">
        <v>13</v>
      </c>
      <c r="D76" s="7">
        <v>160601</v>
      </c>
      <c r="E76" s="9" t="s">
        <v>117</v>
      </c>
      <c r="F76" s="53" t="s">
        <v>420</v>
      </c>
      <c r="G76" s="6">
        <v>20.21</v>
      </c>
      <c r="H76" s="54">
        <v>46.97</v>
      </c>
      <c r="I76" s="54">
        <v>27.77</v>
      </c>
      <c r="J76" s="54">
        <f t="shared" si="14"/>
        <v>74.739999999999995</v>
      </c>
      <c r="K76" s="54">
        <f t="shared" si="15"/>
        <v>1510.4954</v>
      </c>
    </row>
    <row r="77" spans="2:11" x14ac:dyDescent="0.25">
      <c r="B77" s="50" t="s">
        <v>57</v>
      </c>
      <c r="C77" s="5" t="s">
        <v>13</v>
      </c>
      <c r="D77" s="7">
        <v>160602</v>
      </c>
      <c r="E77" s="9" t="s">
        <v>118</v>
      </c>
      <c r="F77" s="53" t="s">
        <v>420</v>
      </c>
      <c r="G77" s="6">
        <v>35.9</v>
      </c>
      <c r="H77" s="54">
        <v>25</v>
      </c>
      <c r="I77" s="54">
        <v>20.91</v>
      </c>
      <c r="J77" s="54">
        <f t="shared" si="14"/>
        <v>45.91</v>
      </c>
      <c r="K77" s="54">
        <f t="shared" si="15"/>
        <v>1648.1689999999999</v>
      </c>
    </row>
    <row r="78" spans="2:11" x14ac:dyDescent="0.25">
      <c r="B78" s="50" t="s">
        <v>58</v>
      </c>
      <c r="C78" s="5" t="s">
        <v>13</v>
      </c>
      <c r="D78" s="7">
        <v>210462</v>
      </c>
      <c r="E78" s="9" t="s">
        <v>441</v>
      </c>
      <c r="F78" s="53" t="s">
        <v>419</v>
      </c>
      <c r="G78" s="6">
        <v>68.75</v>
      </c>
      <c r="H78" s="54">
        <v>13.52</v>
      </c>
      <c r="I78" s="54">
        <v>50.64</v>
      </c>
      <c r="J78" s="54">
        <f t="shared" si="14"/>
        <v>64.16</v>
      </c>
      <c r="K78" s="54">
        <f t="shared" si="15"/>
        <v>4411</v>
      </c>
    </row>
    <row r="79" spans="2:11" s="11" customFormat="1" ht="15.6" x14ac:dyDescent="0.3">
      <c r="B79" s="96" t="s">
        <v>36</v>
      </c>
      <c r="C79" s="97"/>
      <c r="D79" s="97"/>
      <c r="E79" s="97"/>
      <c r="F79" s="97"/>
      <c r="G79" s="97"/>
      <c r="H79" s="97"/>
      <c r="I79" s="97"/>
      <c r="J79" s="98">
        <f t="shared" ref="J79" si="16">H79+I79</f>
        <v>0</v>
      </c>
      <c r="K79" s="55">
        <f>SUM(K73:K78)</f>
        <v>27007.913999999997</v>
      </c>
    </row>
    <row r="80" spans="2:11" ht="15.6" x14ac:dyDescent="0.3">
      <c r="B80" s="49">
        <v>7</v>
      </c>
      <c r="C80" s="93" t="s">
        <v>11</v>
      </c>
      <c r="D80" s="94"/>
      <c r="E80" s="94"/>
      <c r="F80" s="94"/>
      <c r="G80" s="94"/>
      <c r="H80" s="94"/>
      <c r="I80" s="94"/>
      <c r="J80" s="94"/>
      <c r="K80" s="95"/>
    </row>
    <row r="81" spans="2:11" ht="15" customHeight="1" x14ac:dyDescent="0.25">
      <c r="B81" s="51" t="s">
        <v>59</v>
      </c>
      <c r="C81" s="83" t="s">
        <v>123</v>
      </c>
      <c r="D81" s="84"/>
      <c r="E81" s="84"/>
      <c r="F81" s="84"/>
      <c r="G81" s="84"/>
      <c r="H81" s="84"/>
      <c r="I81" s="84"/>
      <c r="J81" s="84"/>
      <c r="K81" s="85"/>
    </row>
    <row r="82" spans="2:11" x14ac:dyDescent="0.25">
      <c r="B82" s="50" t="s">
        <v>230</v>
      </c>
      <c r="C82" s="5" t="s">
        <v>13</v>
      </c>
      <c r="D82" s="7">
        <v>81860</v>
      </c>
      <c r="E82" s="9" t="s">
        <v>169</v>
      </c>
      <c r="F82" s="53" t="s">
        <v>424</v>
      </c>
      <c r="G82" s="6">
        <v>1</v>
      </c>
      <c r="H82" s="54">
        <v>156.57</v>
      </c>
      <c r="I82" s="54">
        <v>241.53</v>
      </c>
      <c r="J82" s="54">
        <f t="shared" ref="J82:J99" si="17">H82+I82</f>
        <v>398.1</v>
      </c>
      <c r="K82" s="54">
        <f t="shared" ref="K82:K99" si="18">G82*J82</f>
        <v>398.1</v>
      </c>
    </row>
    <row r="83" spans="2:11" x14ac:dyDescent="0.25">
      <c r="B83" s="50" t="s">
        <v>231</v>
      </c>
      <c r="C83" s="5" t="s">
        <v>13</v>
      </c>
      <c r="D83" s="7">
        <v>81889</v>
      </c>
      <c r="E83" s="9" t="s">
        <v>335</v>
      </c>
      <c r="F83" s="53" t="s">
        <v>424</v>
      </c>
      <c r="G83" s="6">
        <v>1</v>
      </c>
      <c r="H83" s="54">
        <v>17.73</v>
      </c>
      <c r="I83" s="54">
        <v>161.9</v>
      </c>
      <c r="J83" s="54">
        <f t="shared" si="17"/>
        <v>179.63</v>
      </c>
      <c r="K83" s="54">
        <f t="shared" si="18"/>
        <v>179.63</v>
      </c>
    </row>
    <row r="84" spans="2:11" x14ac:dyDescent="0.25">
      <c r="B84" s="50" t="s">
        <v>232</v>
      </c>
      <c r="C84" s="5" t="s">
        <v>13</v>
      </c>
      <c r="D84" s="7">
        <v>80976</v>
      </c>
      <c r="E84" s="9" t="s">
        <v>170</v>
      </c>
      <c r="F84" s="53" t="s">
        <v>424</v>
      </c>
      <c r="G84" s="6">
        <v>1</v>
      </c>
      <c r="H84" s="54">
        <v>28.18</v>
      </c>
      <c r="I84" s="54">
        <v>43.43</v>
      </c>
      <c r="J84" s="54">
        <f t="shared" si="17"/>
        <v>71.61</v>
      </c>
      <c r="K84" s="54">
        <f t="shared" si="18"/>
        <v>71.61</v>
      </c>
    </row>
    <row r="85" spans="2:11" x14ac:dyDescent="0.25">
      <c r="B85" s="50" t="s">
        <v>233</v>
      </c>
      <c r="C85" s="5" t="s">
        <v>13</v>
      </c>
      <c r="D85" s="7">
        <v>80977</v>
      </c>
      <c r="E85" s="9" t="s">
        <v>171</v>
      </c>
      <c r="F85" s="53" t="s">
        <v>424</v>
      </c>
      <c r="G85" s="6">
        <v>2</v>
      </c>
      <c r="H85" s="54">
        <v>28.18</v>
      </c>
      <c r="I85" s="54">
        <v>62.96</v>
      </c>
      <c r="J85" s="54">
        <f t="shared" si="17"/>
        <v>91.14</v>
      </c>
      <c r="K85" s="54">
        <f t="shared" si="18"/>
        <v>182.28</v>
      </c>
    </row>
    <row r="86" spans="2:11" x14ac:dyDescent="0.25">
      <c r="B86" s="50" t="s">
        <v>234</v>
      </c>
      <c r="C86" s="5" t="s">
        <v>13</v>
      </c>
      <c r="D86" s="7">
        <v>81055</v>
      </c>
      <c r="E86" s="9" t="s">
        <v>172</v>
      </c>
      <c r="F86" s="53" t="s">
        <v>424</v>
      </c>
      <c r="G86" s="6">
        <v>1</v>
      </c>
      <c r="H86" s="54">
        <v>4.6900000000000004</v>
      </c>
      <c r="I86" s="54">
        <v>8.81</v>
      </c>
      <c r="J86" s="54">
        <f t="shared" si="17"/>
        <v>13.5</v>
      </c>
      <c r="K86" s="54">
        <f t="shared" si="18"/>
        <v>13.5</v>
      </c>
    </row>
    <row r="87" spans="2:11" x14ac:dyDescent="0.25">
      <c r="B87" s="50" t="s">
        <v>235</v>
      </c>
      <c r="C87" s="5" t="s">
        <v>13</v>
      </c>
      <c r="D87" s="7">
        <v>81056</v>
      </c>
      <c r="E87" s="9" t="s">
        <v>173</v>
      </c>
      <c r="F87" s="53" t="s">
        <v>424</v>
      </c>
      <c r="G87" s="6">
        <v>3</v>
      </c>
      <c r="H87" s="54">
        <v>4.6900000000000004</v>
      </c>
      <c r="I87" s="54">
        <v>16.66</v>
      </c>
      <c r="J87" s="54">
        <f t="shared" si="17"/>
        <v>21.35</v>
      </c>
      <c r="K87" s="54">
        <f t="shared" si="18"/>
        <v>64.050000000000011</v>
      </c>
    </row>
    <row r="88" spans="2:11" x14ac:dyDescent="0.25">
      <c r="B88" s="50" t="s">
        <v>236</v>
      </c>
      <c r="C88" s="5" t="s">
        <v>13</v>
      </c>
      <c r="D88" s="7">
        <v>81004</v>
      </c>
      <c r="E88" s="9" t="s">
        <v>180</v>
      </c>
      <c r="F88" s="53" t="s">
        <v>420</v>
      </c>
      <c r="G88" s="6">
        <v>2.06</v>
      </c>
      <c r="H88" s="54">
        <v>6.73</v>
      </c>
      <c r="I88" s="54">
        <v>8.0399999999999991</v>
      </c>
      <c r="J88" s="54">
        <f t="shared" si="17"/>
        <v>14.77</v>
      </c>
      <c r="K88" s="54">
        <f t="shared" si="18"/>
        <v>30.426200000000001</v>
      </c>
    </row>
    <row r="89" spans="2:11" x14ac:dyDescent="0.25">
      <c r="B89" s="50" t="s">
        <v>237</v>
      </c>
      <c r="C89" s="5" t="s">
        <v>13</v>
      </c>
      <c r="D89" s="7">
        <v>81340</v>
      </c>
      <c r="E89" s="9" t="s">
        <v>179</v>
      </c>
      <c r="F89" s="53" t="s">
        <v>424</v>
      </c>
      <c r="G89" s="6">
        <v>1</v>
      </c>
      <c r="H89" s="54">
        <v>9.39</v>
      </c>
      <c r="I89" s="54">
        <v>4.6100000000000003</v>
      </c>
      <c r="J89" s="54">
        <f t="shared" si="17"/>
        <v>14</v>
      </c>
      <c r="K89" s="54">
        <f t="shared" si="18"/>
        <v>14</v>
      </c>
    </row>
    <row r="90" spans="2:11" x14ac:dyDescent="0.25">
      <c r="B90" s="50" t="s">
        <v>238</v>
      </c>
      <c r="C90" s="5" t="s">
        <v>13</v>
      </c>
      <c r="D90" s="7">
        <v>80926</v>
      </c>
      <c r="E90" s="9" t="s">
        <v>128</v>
      </c>
      <c r="F90" s="53" t="s">
        <v>424</v>
      </c>
      <c r="G90" s="6">
        <v>2</v>
      </c>
      <c r="H90" s="54">
        <v>31.83</v>
      </c>
      <c r="I90" s="54">
        <v>113.22</v>
      </c>
      <c r="J90" s="54">
        <f t="shared" si="17"/>
        <v>145.05000000000001</v>
      </c>
      <c r="K90" s="54">
        <f t="shared" si="18"/>
        <v>290.10000000000002</v>
      </c>
    </row>
    <row r="91" spans="2:11" x14ac:dyDescent="0.25">
      <c r="B91" s="50" t="s">
        <v>239</v>
      </c>
      <c r="C91" s="5" t="s">
        <v>13</v>
      </c>
      <c r="D91" s="7">
        <v>81003</v>
      </c>
      <c r="E91" s="9" t="s">
        <v>14</v>
      </c>
      <c r="F91" s="53" t="s">
        <v>420</v>
      </c>
      <c r="G91" s="6">
        <f>13.59+6.23</f>
        <v>19.82</v>
      </c>
      <c r="H91" s="54">
        <v>6.25</v>
      </c>
      <c r="I91" s="54">
        <v>3.83</v>
      </c>
      <c r="J91" s="54">
        <f t="shared" si="17"/>
        <v>10.08</v>
      </c>
      <c r="K91" s="54">
        <f t="shared" si="18"/>
        <v>199.78560000000002</v>
      </c>
    </row>
    <row r="92" spans="2:11" x14ac:dyDescent="0.25">
      <c r="B92" s="50" t="s">
        <v>240</v>
      </c>
      <c r="C92" s="5" t="s">
        <v>13</v>
      </c>
      <c r="D92" s="7">
        <v>81321</v>
      </c>
      <c r="E92" s="9" t="s">
        <v>16</v>
      </c>
      <c r="F92" s="53" t="s">
        <v>424</v>
      </c>
      <c r="G92" s="6">
        <f>4+3</f>
        <v>7</v>
      </c>
      <c r="H92" s="54">
        <v>9.39</v>
      </c>
      <c r="I92" s="54">
        <v>0.89</v>
      </c>
      <c r="J92" s="54">
        <f t="shared" si="17"/>
        <v>10.280000000000001</v>
      </c>
      <c r="K92" s="54">
        <f t="shared" si="18"/>
        <v>71.960000000000008</v>
      </c>
    </row>
    <row r="93" spans="2:11" x14ac:dyDescent="0.25">
      <c r="B93" s="50" t="s">
        <v>241</v>
      </c>
      <c r="C93" s="5" t="s">
        <v>13</v>
      </c>
      <c r="D93" s="7">
        <v>81369</v>
      </c>
      <c r="E93" s="9" t="s">
        <v>15</v>
      </c>
      <c r="F93" s="53" t="s">
        <v>424</v>
      </c>
      <c r="G93" s="6">
        <f>1+3</f>
        <v>4</v>
      </c>
      <c r="H93" s="54">
        <v>5.94</v>
      </c>
      <c r="I93" s="54">
        <v>7.47</v>
      </c>
      <c r="J93" s="54">
        <f t="shared" si="17"/>
        <v>13.41</v>
      </c>
      <c r="K93" s="54">
        <f t="shared" si="18"/>
        <v>53.64</v>
      </c>
    </row>
    <row r="94" spans="2:11" x14ac:dyDescent="0.25">
      <c r="B94" s="50" t="s">
        <v>242</v>
      </c>
      <c r="C94" s="5" t="s">
        <v>13</v>
      </c>
      <c r="D94" s="7">
        <v>81322</v>
      </c>
      <c r="E94" s="9" t="s">
        <v>166</v>
      </c>
      <c r="F94" s="53" t="s">
        <v>424</v>
      </c>
      <c r="G94" s="6">
        <v>1</v>
      </c>
      <c r="H94" s="54">
        <v>9.39</v>
      </c>
      <c r="I94" s="54">
        <v>2.2000000000000002</v>
      </c>
      <c r="J94" s="54">
        <f t="shared" si="17"/>
        <v>11.59</v>
      </c>
      <c r="K94" s="54">
        <f t="shared" si="18"/>
        <v>11.59</v>
      </c>
    </row>
    <row r="95" spans="2:11" x14ac:dyDescent="0.25">
      <c r="B95" s="50" t="s">
        <v>243</v>
      </c>
      <c r="C95" s="5" t="s">
        <v>13</v>
      </c>
      <c r="D95" s="7">
        <v>81402</v>
      </c>
      <c r="E95" s="9" t="s">
        <v>17</v>
      </c>
      <c r="F95" s="53" t="s">
        <v>424</v>
      </c>
      <c r="G95" s="6">
        <v>2</v>
      </c>
      <c r="H95" s="54">
        <v>9.9</v>
      </c>
      <c r="I95" s="54">
        <v>1.34</v>
      </c>
      <c r="J95" s="54">
        <f t="shared" si="17"/>
        <v>11.24</v>
      </c>
      <c r="K95" s="54">
        <f t="shared" si="18"/>
        <v>22.48</v>
      </c>
    </row>
    <row r="96" spans="2:11" x14ac:dyDescent="0.25">
      <c r="B96" s="50" t="s">
        <v>244</v>
      </c>
      <c r="C96" s="5" t="s">
        <v>13</v>
      </c>
      <c r="D96" s="7">
        <v>81403</v>
      </c>
      <c r="E96" s="9" t="s">
        <v>167</v>
      </c>
      <c r="F96" s="53" t="s">
        <v>424</v>
      </c>
      <c r="G96" s="6">
        <v>2</v>
      </c>
      <c r="H96" s="54">
        <v>9.9</v>
      </c>
      <c r="I96" s="54">
        <v>3.81</v>
      </c>
      <c r="J96" s="54">
        <f t="shared" si="17"/>
        <v>13.71</v>
      </c>
      <c r="K96" s="54">
        <f t="shared" si="18"/>
        <v>27.42</v>
      </c>
    </row>
    <row r="97" spans="2:11" x14ac:dyDescent="0.25">
      <c r="B97" s="50" t="s">
        <v>245</v>
      </c>
      <c r="C97" s="5" t="s">
        <v>13</v>
      </c>
      <c r="D97" s="7">
        <v>81066</v>
      </c>
      <c r="E97" s="9" t="s">
        <v>18</v>
      </c>
      <c r="F97" s="53" t="s">
        <v>424</v>
      </c>
      <c r="G97" s="6">
        <f>2+1</f>
        <v>3</v>
      </c>
      <c r="H97" s="54">
        <v>4.6900000000000004</v>
      </c>
      <c r="I97" s="54">
        <v>1.18</v>
      </c>
      <c r="J97" s="54">
        <f t="shared" si="17"/>
        <v>5.87</v>
      </c>
      <c r="K97" s="54">
        <f t="shared" si="18"/>
        <v>17.61</v>
      </c>
    </row>
    <row r="98" spans="2:11" x14ac:dyDescent="0.25">
      <c r="B98" s="50" t="s">
        <v>246</v>
      </c>
      <c r="C98" s="5" t="s">
        <v>13</v>
      </c>
      <c r="D98" s="7">
        <v>81145</v>
      </c>
      <c r="E98" s="9" t="s">
        <v>174</v>
      </c>
      <c r="F98" s="53" t="s">
        <v>424</v>
      </c>
      <c r="G98" s="6">
        <v>2</v>
      </c>
      <c r="H98" s="54">
        <v>7.82</v>
      </c>
      <c r="I98" s="54">
        <v>5.19</v>
      </c>
      <c r="J98" s="54">
        <f t="shared" si="17"/>
        <v>13.010000000000002</v>
      </c>
      <c r="K98" s="54">
        <f t="shared" si="18"/>
        <v>26.020000000000003</v>
      </c>
    </row>
    <row r="99" spans="2:11" x14ac:dyDescent="0.25">
      <c r="B99" s="50" t="s">
        <v>247</v>
      </c>
      <c r="C99" s="5" t="s">
        <v>13</v>
      </c>
      <c r="D99" s="7">
        <v>70351</v>
      </c>
      <c r="E99" s="9" t="s">
        <v>168</v>
      </c>
      <c r="F99" s="53" t="s">
        <v>424</v>
      </c>
      <c r="G99" s="6">
        <v>2</v>
      </c>
      <c r="H99" s="54">
        <v>0.51</v>
      </c>
      <c r="I99" s="54">
        <v>0.61</v>
      </c>
      <c r="J99" s="54">
        <f t="shared" si="17"/>
        <v>1.1200000000000001</v>
      </c>
      <c r="K99" s="54">
        <f t="shared" si="18"/>
        <v>2.2400000000000002</v>
      </c>
    </row>
    <row r="100" spans="2:11" ht="15" customHeight="1" x14ac:dyDescent="0.25">
      <c r="B100" s="51" t="s">
        <v>60</v>
      </c>
      <c r="C100" s="83" t="s">
        <v>124</v>
      </c>
      <c r="D100" s="84"/>
      <c r="E100" s="84"/>
      <c r="F100" s="84"/>
      <c r="G100" s="84"/>
      <c r="H100" s="84"/>
      <c r="I100" s="84"/>
      <c r="J100" s="84"/>
      <c r="K100" s="85"/>
    </row>
    <row r="101" spans="2:11" x14ac:dyDescent="0.25">
      <c r="B101" s="50" t="s">
        <v>248</v>
      </c>
      <c r="C101" s="5" t="s">
        <v>13</v>
      </c>
      <c r="D101" s="7">
        <v>82304</v>
      </c>
      <c r="E101" s="9" t="s">
        <v>177</v>
      </c>
      <c r="F101" s="53" t="s">
        <v>420</v>
      </c>
      <c r="G101" s="6">
        <v>18</v>
      </c>
      <c r="H101" s="54">
        <v>27.13</v>
      </c>
      <c r="I101" s="54">
        <v>16.440000000000001</v>
      </c>
      <c r="J101" s="54">
        <f t="shared" ref="J101:J102" si="19">H101+I101</f>
        <v>43.57</v>
      </c>
      <c r="K101" s="54">
        <f>G101*J101</f>
        <v>784.26</v>
      </c>
    </row>
    <row r="102" spans="2:11" x14ac:dyDescent="0.25">
      <c r="B102" s="50" t="s">
        <v>249</v>
      </c>
      <c r="C102" s="5" t="s">
        <v>13</v>
      </c>
      <c r="D102" s="7">
        <v>81938</v>
      </c>
      <c r="E102" s="9" t="s">
        <v>178</v>
      </c>
      <c r="F102" s="53" t="s">
        <v>424</v>
      </c>
      <c r="G102" s="6">
        <f>3+2</f>
        <v>5</v>
      </c>
      <c r="H102" s="54">
        <v>23.48</v>
      </c>
      <c r="I102" s="54">
        <v>7.81</v>
      </c>
      <c r="J102" s="54">
        <f t="shared" si="19"/>
        <v>31.29</v>
      </c>
      <c r="K102" s="54">
        <f>G102*J102</f>
        <v>156.44999999999999</v>
      </c>
    </row>
    <row r="103" spans="2:11" ht="15" customHeight="1" x14ac:dyDescent="0.25">
      <c r="B103" s="51" t="s">
        <v>250</v>
      </c>
      <c r="C103" s="83" t="s">
        <v>125</v>
      </c>
      <c r="D103" s="84"/>
      <c r="E103" s="84"/>
      <c r="F103" s="84"/>
      <c r="G103" s="84"/>
      <c r="H103" s="84"/>
      <c r="I103" s="84"/>
      <c r="J103" s="84"/>
      <c r="K103" s="85"/>
    </row>
    <row r="104" spans="2:11" x14ac:dyDescent="0.25">
      <c r="B104" s="50" t="s">
        <v>251</v>
      </c>
      <c r="C104" s="5" t="s">
        <v>13</v>
      </c>
      <c r="D104" s="7">
        <v>82301</v>
      </c>
      <c r="E104" s="9" t="s">
        <v>29</v>
      </c>
      <c r="F104" s="53" t="s">
        <v>420</v>
      </c>
      <c r="G104" s="6">
        <f>(0.5+0.42)*1.1</f>
        <v>1.012</v>
      </c>
      <c r="H104" s="54">
        <v>12.51</v>
      </c>
      <c r="I104" s="54">
        <v>6.37</v>
      </c>
      <c r="J104" s="54">
        <f t="shared" ref="J104:J122" si="20">H104+I104</f>
        <v>18.88</v>
      </c>
      <c r="K104" s="54">
        <f t="shared" ref="K104:K122" si="21">G104*J104</f>
        <v>19.106559999999998</v>
      </c>
    </row>
    <row r="105" spans="2:11" x14ac:dyDescent="0.25">
      <c r="B105" s="50" t="s">
        <v>252</v>
      </c>
      <c r="C105" s="5" t="s">
        <v>13</v>
      </c>
      <c r="D105" s="7">
        <v>82302</v>
      </c>
      <c r="E105" s="9" t="s">
        <v>181</v>
      </c>
      <c r="F105" s="53" t="s">
        <v>420</v>
      </c>
      <c r="G105" s="6">
        <f>(2.24+4.72)*1.1</f>
        <v>7.6560000000000006</v>
      </c>
      <c r="H105" s="54">
        <v>15.65</v>
      </c>
      <c r="I105" s="54">
        <v>9.9499999999999993</v>
      </c>
      <c r="J105" s="54">
        <f t="shared" si="20"/>
        <v>25.6</v>
      </c>
      <c r="K105" s="54">
        <f t="shared" si="21"/>
        <v>195.99360000000001</v>
      </c>
    </row>
    <row r="106" spans="2:11" x14ac:dyDescent="0.25">
      <c r="B106" s="50" t="s">
        <v>253</v>
      </c>
      <c r="C106" s="5" t="s">
        <v>13</v>
      </c>
      <c r="D106" s="7">
        <v>82304</v>
      </c>
      <c r="E106" s="9" t="s">
        <v>94</v>
      </c>
      <c r="F106" s="53" t="s">
        <v>420</v>
      </c>
      <c r="G106" s="6">
        <f>(2.51+0.73)*1.1</f>
        <v>3.5640000000000001</v>
      </c>
      <c r="H106" s="54">
        <v>27.13</v>
      </c>
      <c r="I106" s="54">
        <v>16.440000000000001</v>
      </c>
      <c r="J106" s="54">
        <f t="shared" si="20"/>
        <v>43.57</v>
      </c>
      <c r="K106" s="54">
        <f t="shared" si="21"/>
        <v>155.28348</v>
      </c>
    </row>
    <row r="107" spans="2:11" x14ac:dyDescent="0.25">
      <c r="B107" s="50" t="s">
        <v>254</v>
      </c>
      <c r="C107" s="5" t="s">
        <v>13</v>
      </c>
      <c r="D107" s="7">
        <v>81927</v>
      </c>
      <c r="E107" s="9" t="s">
        <v>186</v>
      </c>
      <c r="F107" s="53" t="s">
        <v>424</v>
      </c>
      <c r="G107" s="6">
        <v>1</v>
      </c>
      <c r="H107" s="54">
        <v>14.6</v>
      </c>
      <c r="I107" s="54">
        <v>4.87</v>
      </c>
      <c r="J107" s="54">
        <f t="shared" si="20"/>
        <v>19.47</v>
      </c>
      <c r="K107" s="54">
        <f t="shared" si="21"/>
        <v>19.47</v>
      </c>
    </row>
    <row r="108" spans="2:11" x14ac:dyDescent="0.25">
      <c r="B108" s="50" t="s">
        <v>255</v>
      </c>
      <c r="C108" s="5" t="s">
        <v>13</v>
      </c>
      <c r="D108" s="7">
        <v>81730</v>
      </c>
      <c r="E108" s="9" t="s">
        <v>187</v>
      </c>
      <c r="F108" s="53" t="s">
        <v>424</v>
      </c>
      <c r="G108" s="6">
        <v>1</v>
      </c>
      <c r="H108" s="54">
        <v>14.6</v>
      </c>
      <c r="I108" s="54">
        <v>5.72</v>
      </c>
      <c r="J108" s="54">
        <f t="shared" si="20"/>
        <v>20.32</v>
      </c>
      <c r="K108" s="54">
        <f t="shared" si="21"/>
        <v>20.32</v>
      </c>
    </row>
    <row r="109" spans="2:11" x14ac:dyDescent="0.25">
      <c r="B109" s="50" t="s">
        <v>256</v>
      </c>
      <c r="C109" s="5" t="s">
        <v>13</v>
      </c>
      <c r="D109" s="7">
        <v>81602</v>
      </c>
      <c r="E109" s="9" t="s">
        <v>183</v>
      </c>
      <c r="F109" s="53" t="s">
        <v>424</v>
      </c>
      <c r="G109" s="6">
        <v>1</v>
      </c>
      <c r="H109" s="54">
        <v>7.29</v>
      </c>
      <c r="I109" s="54">
        <v>2.21</v>
      </c>
      <c r="J109" s="54">
        <f t="shared" si="20"/>
        <v>9.5</v>
      </c>
      <c r="K109" s="54">
        <f t="shared" si="21"/>
        <v>9.5</v>
      </c>
    </row>
    <row r="110" spans="2:11" x14ac:dyDescent="0.25">
      <c r="B110" s="50" t="s">
        <v>257</v>
      </c>
      <c r="C110" s="5" t="s">
        <v>13</v>
      </c>
      <c r="D110" s="7">
        <v>81661</v>
      </c>
      <c r="E110" s="9" t="s">
        <v>30</v>
      </c>
      <c r="F110" s="53" t="s">
        <v>424</v>
      </c>
      <c r="G110" s="6">
        <v>1</v>
      </c>
      <c r="H110" s="54">
        <v>11.48</v>
      </c>
      <c r="I110" s="54">
        <v>21.1</v>
      </c>
      <c r="J110" s="54">
        <f t="shared" si="20"/>
        <v>32.58</v>
      </c>
      <c r="K110" s="54">
        <f t="shared" si="21"/>
        <v>32.58</v>
      </c>
    </row>
    <row r="111" spans="2:11" x14ac:dyDescent="0.25">
      <c r="B111" s="50" t="s">
        <v>258</v>
      </c>
      <c r="C111" s="5" t="s">
        <v>13</v>
      </c>
      <c r="D111" s="7">
        <v>81751</v>
      </c>
      <c r="E111" s="9" t="s">
        <v>182</v>
      </c>
      <c r="F111" s="53" t="s">
        <v>424</v>
      </c>
      <c r="G111" s="6">
        <v>1</v>
      </c>
      <c r="H111" s="54">
        <v>4.17</v>
      </c>
      <c r="I111" s="54">
        <v>22.42</v>
      </c>
      <c r="J111" s="54">
        <f t="shared" si="20"/>
        <v>26.590000000000003</v>
      </c>
      <c r="K111" s="54">
        <f t="shared" si="21"/>
        <v>26.590000000000003</v>
      </c>
    </row>
    <row r="112" spans="2:11" x14ac:dyDescent="0.25">
      <c r="B112" s="50" t="s">
        <v>259</v>
      </c>
      <c r="C112" s="5" t="s">
        <v>13</v>
      </c>
      <c r="D112" s="7">
        <v>82053</v>
      </c>
      <c r="E112" s="9" t="s">
        <v>185</v>
      </c>
      <c r="F112" s="53" t="s">
        <v>424</v>
      </c>
      <c r="G112" s="6">
        <v>1</v>
      </c>
      <c r="H112" s="54">
        <v>5.21</v>
      </c>
      <c r="I112" s="54">
        <v>14.04</v>
      </c>
      <c r="J112" s="54">
        <f t="shared" si="20"/>
        <v>19.25</v>
      </c>
      <c r="K112" s="54">
        <f t="shared" si="21"/>
        <v>19.25</v>
      </c>
    </row>
    <row r="113" spans="2:11" x14ac:dyDescent="0.25">
      <c r="B113" s="50" t="s">
        <v>260</v>
      </c>
      <c r="C113" s="5" t="s">
        <v>13</v>
      </c>
      <c r="D113" s="7">
        <v>82233</v>
      </c>
      <c r="E113" s="9" t="s">
        <v>188</v>
      </c>
      <c r="F113" s="53" t="s">
        <v>424</v>
      </c>
      <c r="G113" s="6">
        <v>1</v>
      </c>
      <c r="H113" s="54">
        <v>23.99</v>
      </c>
      <c r="I113" s="54">
        <v>11.93</v>
      </c>
      <c r="J113" s="54">
        <f t="shared" si="20"/>
        <v>35.92</v>
      </c>
      <c r="K113" s="54">
        <f t="shared" si="21"/>
        <v>35.92</v>
      </c>
    </row>
    <row r="114" spans="2:11" x14ac:dyDescent="0.25">
      <c r="B114" s="50" t="s">
        <v>261</v>
      </c>
      <c r="C114" s="5" t="s">
        <v>13</v>
      </c>
      <c r="D114" s="7">
        <v>81936</v>
      </c>
      <c r="E114" s="9" t="s">
        <v>189</v>
      </c>
      <c r="F114" s="53" t="s">
        <v>424</v>
      </c>
      <c r="G114" s="6">
        <f>1+1</f>
        <v>2</v>
      </c>
      <c r="H114" s="54">
        <v>14.6</v>
      </c>
      <c r="I114" s="54">
        <v>3.12</v>
      </c>
      <c r="J114" s="54">
        <f t="shared" si="20"/>
        <v>17.72</v>
      </c>
      <c r="K114" s="54">
        <f t="shared" si="21"/>
        <v>35.44</v>
      </c>
    </row>
    <row r="115" spans="2:11" x14ac:dyDescent="0.25">
      <c r="B115" s="50" t="s">
        <v>262</v>
      </c>
      <c r="C115" s="5" t="s">
        <v>13</v>
      </c>
      <c r="D115" s="7">
        <v>81922</v>
      </c>
      <c r="E115" s="9" t="s">
        <v>190</v>
      </c>
      <c r="F115" s="53" t="s">
        <v>424</v>
      </c>
      <c r="G115" s="6">
        <f>1+1</f>
        <v>2</v>
      </c>
      <c r="H115" s="54">
        <v>14.6</v>
      </c>
      <c r="I115" s="54">
        <v>2.99</v>
      </c>
      <c r="J115" s="54">
        <f t="shared" si="20"/>
        <v>17.59</v>
      </c>
      <c r="K115" s="54">
        <f t="shared" si="21"/>
        <v>35.18</v>
      </c>
    </row>
    <row r="116" spans="2:11" x14ac:dyDescent="0.25">
      <c r="B116" s="50" t="s">
        <v>263</v>
      </c>
      <c r="C116" s="5" t="s">
        <v>13</v>
      </c>
      <c r="D116" s="7">
        <v>81885</v>
      </c>
      <c r="E116" s="9" t="s">
        <v>184</v>
      </c>
      <c r="F116" s="53" t="s">
        <v>424</v>
      </c>
      <c r="G116" s="6">
        <v>1</v>
      </c>
      <c r="H116" s="54">
        <v>3.64</v>
      </c>
      <c r="I116" s="54">
        <v>10.3</v>
      </c>
      <c r="J116" s="54">
        <f t="shared" si="20"/>
        <v>13.940000000000001</v>
      </c>
      <c r="K116" s="54">
        <f t="shared" si="21"/>
        <v>13.940000000000001</v>
      </c>
    </row>
    <row r="117" spans="2:11" x14ac:dyDescent="0.25">
      <c r="B117" s="50" t="s">
        <v>264</v>
      </c>
      <c r="C117" s="5" t="s">
        <v>13</v>
      </c>
      <c r="D117" s="7">
        <v>81924</v>
      </c>
      <c r="E117" s="9" t="s">
        <v>191</v>
      </c>
      <c r="F117" s="53" t="s">
        <v>424</v>
      </c>
      <c r="G117" s="6">
        <f>1+1</f>
        <v>2</v>
      </c>
      <c r="H117" s="54">
        <v>23.48</v>
      </c>
      <c r="I117" s="54">
        <v>7.9</v>
      </c>
      <c r="J117" s="54">
        <f t="shared" si="20"/>
        <v>31.380000000000003</v>
      </c>
      <c r="K117" s="54">
        <f t="shared" si="21"/>
        <v>62.760000000000005</v>
      </c>
    </row>
    <row r="118" spans="2:11" x14ac:dyDescent="0.25">
      <c r="B118" s="50" t="s">
        <v>265</v>
      </c>
      <c r="C118" s="5" t="s">
        <v>13</v>
      </c>
      <c r="D118" s="7">
        <v>81975</v>
      </c>
      <c r="E118" s="9" t="s">
        <v>192</v>
      </c>
      <c r="F118" s="53" t="s">
        <v>424</v>
      </c>
      <c r="G118" s="6">
        <v>1</v>
      </c>
      <c r="H118" s="54">
        <v>23.99</v>
      </c>
      <c r="I118" s="54">
        <v>22.59</v>
      </c>
      <c r="J118" s="54">
        <f t="shared" si="20"/>
        <v>46.58</v>
      </c>
      <c r="K118" s="54">
        <f t="shared" si="21"/>
        <v>46.58</v>
      </c>
    </row>
    <row r="119" spans="2:11" x14ac:dyDescent="0.25">
      <c r="B119" s="50" t="s">
        <v>266</v>
      </c>
      <c r="C119" s="5" t="s">
        <v>13</v>
      </c>
      <c r="D119" s="7">
        <v>81733</v>
      </c>
      <c r="E119" s="9" t="s">
        <v>199</v>
      </c>
      <c r="F119" s="53" t="s">
        <v>424</v>
      </c>
      <c r="G119" s="6">
        <v>1</v>
      </c>
      <c r="H119" s="54">
        <v>23.48</v>
      </c>
      <c r="I119" s="54">
        <v>28.79</v>
      </c>
      <c r="J119" s="54">
        <f t="shared" si="20"/>
        <v>52.269999999999996</v>
      </c>
      <c r="K119" s="54">
        <f t="shared" si="21"/>
        <v>52.269999999999996</v>
      </c>
    </row>
    <row r="120" spans="2:11" x14ac:dyDescent="0.25">
      <c r="B120" s="50" t="s">
        <v>267</v>
      </c>
      <c r="C120" s="5" t="s">
        <v>13</v>
      </c>
      <c r="D120" s="7">
        <v>82004</v>
      </c>
      <c r="E120" s="9" t="s">
        <v>193</v>
      </c>
      <c r="F120" s="53" t="s">
        <v>424</v>
      </c>
      <c r="G120" s="6">
        <v>1</v>
      </c>
      <c r="H120" s="54">
        <v>11.99</v>
      </c>
      <c r="I120" s="54">
        <v>5</v>
      </c>
      <c r="J120" s="54">
        <f t="shared" si="20"/>
        <v>16.990000000000002</v>
      </c>
      <c r="K120" s="54">
        <f t="shared" si="21"/>
        <v>16.990000000000002</v>
      </c>
    </row>
    <row r="121" spans="2:11" ht="26.4" x14ac:dyDescent="0.25">
      <c r="B121" s="50" t="s">
        <v>268</v>
      </c>
      <c r="C121" s="5" t="s">
        <v>13</v>
      </c>
      <c r="D121" s="7">
        <v>81830</v>
      </c>
      <c r="E121" s="62" t="s">
        <v>195</v>
      </c>
      <c r="F121" s="53" t="s">
        <v>422</v>
      </c>
      <c r="G121" s="6">
        <f>0.8*0.8*1</f>
        <v>0.64000000000000012</v>
      </c>
      <c r="H121" s="54">
        <v>606.16</v>
      </c>
      <c r="I121" s="54">
        <v>444.44</v>
      </c>
      <c r="J121" s="54">
        <f t="shared" si="20"/>
        <v>1050.5999999999999</v>
      </c>
      <c r="K121" s="54">
        <f t="shared" si="21"/>
        <v>672.38400000000013</v>
      </c>
    </row>
    <row r="122" spans="2:11" x14ac:dyDescent="0.25">
      <c r="B122" s="50" t="s">
        <v>269</v>
      </c>
      <c r="C122" s="5" t="s">
        <v>13</v>
      </c>
      <c r="D122" s="7">
        <v>81829</v>
      </c>
      <c r="E122" s="9" t="s">
        <v>196</v>
      </c>
      <c r="F122" s="53" t="s">
        <v>422</v>
      </c>
      <c r="G122" s="6">
        <f>0.8*0.8</f>
        <v>0.64000000000000012</v>
      </c>
      <c r="H122" s="54">
        <v>26.62</v>
      </c>
      <c r="I122" s="54">
        <v>67.36</v>
      </c>
      <c r="J122" s="54">
        <f t="shared" si="20"/>
        <v>93.98</v>
      </c>
      <c r="K122" s="54">
        <f t="shared" si="21"/>
        <v>60.147200000000012</v>
      </c>
    </row>
    <row r="123" spans="2:11" ht="15" customHeight="1" x14ac:dyDescent="0.25">
      <c r="B123" s="51" t="s">
        <v>270</v>
      </c>
      <c r="C123" s="83" t="s">
        <v>134</v>
      </c>
      <c r="D123" s="84"/>
      <c r="E123" s="84"/>
      <c r="F123" s="84"/>
      <c r="G123" s="84"/>
      <c r="H123" s="84"/>
      <c r="I123" s="84"/>
      <c r="J123" s="84"/>
      <c r="K123" s="85"/>
    </row>
    <row r="124" spans="2:11" ht="26.4" x14ac:dyDescent="0.25">
      <c r="B124" s="50" t="s">
        <v>271</v>
      </c>
      <c r="C124" s="5" t="s">
        <v>13</v>
      </c>
      <c r="D124" s="7">
        <v>80504</v>
      </c>
      <c r="E124" s="62" t="s">
        <v>127</v>
      </c>
      <c r="F124" s="53" t="s">
        <v>424</v>
      </c>
      <c r="G124" s="6">
        <v>1</v>
      </c>
      <c r="H124" s="54">
        <v>125.25</v>
      </c>
      <c r="I124" s="54">
        <v>517.41</v>
      </c>
      <c r="J124" s="54">
        <f t="shared" ref="J124:J137" si="22">H124+I124</f>
        <v>642.66</v>
      </c>
      <c r="K124" s="54">
        <f t="shared" ref="K124:K137" si="23">G124*J124</f>
        <v>642.66</v>
      </c>
    </row>
    <row r="125" spans="2:11" ht="26.4" x14ac:dyDescent="0.25">
      <c r="B125" s="50" t="s">
        <v>274</v>
      </c>
      <c r="C125" s="5" t="s">
        <v>13</v>
      </c>
      <c r="D125" s="7">
        <v>80526</v>
      </c>
      <c r="E125" s="62" t="s">
        <v>126</v>
      </c>
      <c r="F125" s="53" t="s">
        <v>424</v>
      </c>
      <c r="G125" s="6">
        <v>1</v>
      </c>
      <c r="H125" s="54">
        <v>7.82</v>
      </c>
      <c r="I125" s="54">
        <v>167.64</v>
      </c>
      <c r="J125" s="54">
        <f t="shared" si="22"/>
        <v>175.45999999999998</v>
      </c>
      <c r="K125" s="54">
        <f t="shared" si="23"/>
        <v>175.45999999999998</v>
      </c>
    </row>
    <row r="126" spans="2:11" x14ac:dyDescent="0.25">
      <c r="B126" s="50" t="s">
        <v>275</v>
      </c>
      <c r="C126" s="5" t="s">
        <v>13</v>
      </c>
      <c r="D126" s="7">
        <v>80532</v>
      </c>
      <c r="E126" s="9" t="s">
        <v>130</v>
      </c>
      <c r="F126" s="53" t="s">
        <v>424</v>
      </c>
      <c r="G126" s="6">
        <v>1</v>
      </c>
      <c r="H126" s="54">
        <v>18.260000000000002</v>
      </c>
      <c r="I126" s="54">
        <v>44.23</v>
      </c>
      <c r="J126" s="54">
        <f t="shared" si="22"/>
        <v>62.489999999999995</v>
      </c>
      <c r="K126" s="54">
        <f t="shared" si="23"/>
        <v>62.489999999999995</v>
      </c>
    </row>
    <row r="127" spans="2:11" ht="26.4" x14ac:dyDescent="0.25">
      <c r="B127" s="50" t="s">
        <v>276</v>
      </c>
      <c r="C127" s="5" t="s">
        <v>35</v>
      </c>
      <c r="D127" s="7">
        <v>106774</v>
      </c>
      <c r="E127" s="62" t="s">
        <v>175</v>
      </c>
      <c r="F127" s="53" t="s">
        <v>424</v>
      </c>
      <c r="G127" s="6">
        <v>1</v>
      </c>
      <c r="H127" s="54">
        <v>26.21</v>
      </c>
      <c r="I127" s="54">
        <v>59.9</v>
      </c>
      <c r="J127" s="54">
        <f t="shared" si="22"/>
        <v>86.11</v>
      </c>
      <c r="K127" s="54">
        <f t="shared" si="23"/>
        <v>86.11</v>
      </c>
    </row>
    <row r="128" spans="2:11" x14ac:dyDescent="0.25">
      <c r="B128" s="50" t="s">
        <v>277</v>
      </c>
      <c r="C128" s="5" t="s">
        <v>13</v>
      </c>
      <c r="D128" s="7">
        <v>230176</v>
      </c>
      <c r="E128" s="9" t="s">
        <v>136</v>
      </c>
      <c r="F128" s="53" t="s">
        <v>424</v>
      </c>
      <c r="G128" s="6">
        <v>3</v>
      </c>
      <c r="H128" s="54">
        <v>18.260000000000002</v>
      </c>
      <c r="I128" s="54">
        <v>123.9</v>
      </c>
      <c r="J128" s="54">
        <f t="shared" si="22"/>
        <v>142.16</v>
      </c>
      <c r="K128" s="54">
        <f t="shared" si="23"/>
        <v>426.48</v>
      </c>
    </row>
    <row r="129" spans="2:11" x14ac:dyDescent="0.25">
      <c r="B129" s="50" t="s">
        <v>278</v>
      </c>
      <c r="C129" s="5" t="s">
        <v>13</v>
      </c>
      <c r="D129" s="7">
        <v>230174</v>
      </c>
      <c r="E129" s="9" t="s">
        <v>176</v>
      </c>
      <c r="F129" s="53" t="s">
        <v>424</v>
      </c>
      <c r="G129" s="6">
        <v>3</v>
      </c>
      <c r="H129" s="54">
        <v>18.260000000000002</v>
      </c>
      <c r="I129" s="54">
        <v>79.2</v>
      </c>
      <c r="J129" s="54">
        <f t="shared" si="22"/>
        <v>97.460000000000008</v>
      </c>
      <c r="K129" s="54">
        <f t="shared" si="23"/>
        <v>292.38</v>
      </c>
    </row>
    <row r="130" spans="2:11" x14ac:dyDescent="0.25">
      <c r="B130" s="50" t="s">
        <v>272</v>
      </c>
      <c r="C130" s="5" t="s">
        <v>13</v>
      </c>
      <c r="D130" s="7">
        <v>271608</v>
      </c>
      <c r="E130" s="9" t="s">
        <v>135</v>
      </c>
      <c r="F130" s="53" t="s">
        <v>419</v>
      </c>
      <c r="G130" s="6">
        <f>0.245</f>
        <v>0.245</v>
      </c>
      <c r="H130" s="54">
        <v>71.58</v>
      </c>
      <c r="I130" s="54">
        <v>496.81</v>
      </c>
      <c r="J130" s="54">
        <f t="shared" si="22"/>
        <v>568.39</v>
      </c>
      <c r="K130" s="54">
        <f t="shared" si="23"/>
        <v>139.25555</v>
      </c>
    </row>
    <row r="131" spans="2:11" x14ac:dyDescent="0.25">
      <c r="B131" s="50" t="s">
        <v>273</v>
      </c>
      <c r="C131" s="5" t="s">
        <v>13</v>
      </c>
      <c r="D131" s="7">
        <v>80543</v>
      </c>
      <c r="E131" s="9" t="s">
        <v>129</v>
      </c>
      <c r="F131" s="53" t="s">
        <v>424</v>
      </c>
      <c r="G131" s="6">
        <v>1</v>
      </c>
      <c r="H131" s="54">
        <v>85.58</v>
      </c>
      <c r="I131" s="54">
        <v>179.9</v>
      </c>
      <c r="J131" s="54">
        <f t="shared" si="22"/>
        <v>265.48</v>
      </c>
      <c r="K131" s="54">
        <f t="shared" si="23"/>
        <v>265.48</v>
      </c>
    </row>
    <row r="132" spans="2:11" x14ac:dyDescent="0.25">
      <c r="B132" s="50" t="s">
        <v>279</v>
      </c>
      <c r="C132" s="5" t="s">
        <v>13</v>
      </c>
      <c r="D132" s="7">
        <v>80811</v>
      </c>
      <c r="E132" s="9" t="s">
        <v>20</v>
      </c>
      <c r="F132" s="53" t="s">
        <v>424</v>
      </c>
      <c r="G132" s="6">
        <v>1</v>
      </c>
      <c r="H132" s="54">
        <v>10.43</v>
      </c>
      <c r="I132" s="54">
        <v>80.61</v>
      </c>
      <c r="J132" s="54">
        <f t="shared" si="22"/>
        <v>91.039999999999992</v>
      </c>
      <c r="K132" s="54">
        <f t="shared" si="23"/>
        <v>91.039999999999992</v>
      </c>
    </row>
    <row r="133" spans="2:11" x14ac:dyDescent="0.25">
      <c r="B133" s="50" t="s">
        <v>280</v>
      </c>
      <c r="C133" s="5" t="s">
        <v>13</v>
      </c>
      <c r="D133" s="7">
        <v>80570</v>
      </c>
      <c r="E133" s="9" t="s">
        <v>131</v>
      </c>
      <c r="F133" s="53" t="s">
        <v>424</v>
      </c>
      <c r="G133" s="6">
        <v>1</v>
      </c>
      <c r="H133" s="54">
        <v>10.43</v>
      </c>
      <c r="I133" s="54">
        <v>81.92</v>
      </c>
      <c r="J133" s="54">
        <f t="shared" si="22"/>
        <v>92.35</v>
      </c>
      <c r="K133" s="54">
        <f t="shared" si="23"/>
        <v>92.35</v>
      </c>
    </row>
    <row r="134" spans="2:11" x14ac:dyDescent="0.25">
      <c r="B134" s="50" t="s">
        <v>281</v>
      </c>
      <c r="C134" s="5" t="s">
        <v>13</v>
      </c>
      <c r="D134" s="7">
        <v>80556</v>
      </c>
      <c r="E134" s="9" t="s">
        <v>19</v>
      </c>
      <c r="F134" s="53" t="s">
        <v>424</v>
      </c>
      <c r="G134" s="6">
        <v>1</v>
      </c>
      <c r="H134" s="54">
        <v>13.04</v>
      </c>
      <c r="I134" s="54">
        <v>4.4000000000000004</v>
      </c>
      <c r="J134" s="54">
        <f t="shared" si="22"/>
        <v>17.439999999999998</v>
      </c>
      <c r="K134" s="54">
        <f t="shared" si="23"/>
        <v>17.439999999999998</v>
      </c>
    </row>
    <row r="135" spans="2:11" x14ac:dyDescent="0.25">
      <c r="B135" s="50" t="s">
        <v>282</v>
      </c>
      <c r="C135" s="5" t="s">
        <v>13</v>
      </c>
      <c r="D135" s="7">
        <v>80580</v>
      </c>
      <c r="E135" s="9" t="s">
        <v>133</v>
      </c>
      <c r="F135" s="53" t="s">
        <v>424</v>
      </c>
      <c r="G135" s="6">
        <v>1</v>
      </c>
      <c r="H135" s="54">
        <v>7.82</v>
      </c>
      <c r="I135" s="54">
        <v>54.05</v>
      </c>
      <c r="J135" s="54">
        <f t="shared" si="22"/>
        <v>61.87</v>
      </c>
      <c r="K135" s="54">
        <f t="shared" si="23"/>
        <v>61.87</v>
      </c>
    </row>
    <row r="136" spans="2:11" x14ac:dyDescent="0.25">
      <c r="B136" s="50" t="s">
        <v>283</v>
      </c>
      <c r="C136" s="5" t="s">
        <v>13</v>
      </c>
      <c r="D136" s="7">
        <v>80561</v>
      </c>
      <c r="E136" s="9" t="s">
        <v>132</v>
      </c>
      <c r="F136" s="53" t="s">
        <v>424</v>
      </c>
      <c r="G136" s="6">
        <v>1</v>
      </c>
      <c r="H136" s="54">
        <v>18.78</v>
      </c>
      <c r="I136" s="54">
        <v>12.01</v>
      </c>
      <c r="J136" s="54">
        <f t="shared" si="22"/>
        <v>30.79</v>
      </c>
      <c r="K136" s="54">
        <f t="shared" si="23"/>
        <v>30.79</v>
      </c>
    </row>
    <row r="137" spans="2:11" x14ac:dyDescent="0.25">
      <c r="B137" s="50" t="s">
        <v>284</v>
      </c>
      <c r="C137" s="5" t="s">
        <v>13</v>
      </c>
      <c r="D137" s="7">
        <v>81501</v>
      </c>
      <c r="E137" s="9" t="s">
        <v>194</v>
      </c>
      <c r="F137" s="53" t="s">
        <v>424</v>
      </c>
      <c r="G137" s="6">
        <v>0.5</v>
      </c>
      <c r="H137" s="54">
        <v>0</v>
      </c>
      <c r="I137" s="54">
        <v>54.89</v>
      </c>
      <c r="J137" s="54">
        <f t="shared" si="22"/>
        <v>54.89</v>
      </c>
      <c r="K137" s="54">
        <f t="shared" si="23"/>
        <v>27.445</v>
      </c>
    </row>
    <row r="138" spans="2:11" s="11" customFormat="1" ht="15.6" x14ac:dyDescent="0.3">
      <c r="B138" s="96" t="s">
        <v>36</v>
      </c>
      <c r="C138" s="97"/>
      <c r="D138" s="97"/>
      <c r="E138" s="97"/>
      <c r="F138" s="97"/>
      <c r="G138" s="97"/>
      <c r="H138" s="97"/>
      <c r="I138" s="97"/>
      <c r="J138" s="98">
        <f t="shared" ref="J138" si="24">H138+I138</f>
        <v>0</v>
      </c>
      <c r="K138" s="55">
        <f>SUM(K81:K137)</f>
        <v>6558.1071899999988</v>
      </c>
    </row>
    <row r="139" spans="2:11" ht="15.6" x14ac:dyDescent="0.3">
      <c r="B139" s="49">
        <v>8</v>
      </c>
      <c r="C139" s="93" t="s">
        <v>12</v>
      </c>
      <c r="D139" s="94"/>
      <c r="E139" s="94"/>
      <c r="F139" s="94"/>
      <c r="G139" s="94"/>
      <c r="H139" s="94"/>
      <c r="I139" s="94"/>
      <c r="J139" s="94"/>
      <c r="K139" s="95"/>
    </row>
    <row r="140" spans="2:11" ht="15" customHeight="1" x14ac:dyDescent="0.25">
      <c r="B140" s="51" t="s">
        <v>338</v>
      </c>
      <c r="C140" s="83" t="s">
        <v>353</v>
      </c>
      <c r="D140" s="84"/>
      <c r="E140" s="84"/>
      <c r="F140" s="84"/>
      <c r="G140" s="84"/>
      <c r="H140" s="84"/>
      <c r="I140" s="84"/>
      <c r="J140" s="84"/>
      <c r="K140" s="85"/>
    </row>
    <row r="141" spans="2:11" x14ac:dyDescent="0.25">
      <c r="B141" s="50" t="s">
        <v>339</v>
      </c>
      <c r="C141" s="5" t="s">
        <v>13</v>
      </c>
      <c r="D141" s="7">
        <v>70370</v>
      </c>
      <c r="E141" s="9" t="s">
        <v>340</v>
      </c>
      <c r="F141" s="53" t="s">
        <v>424</v>
      </c>
      <c r="G141" s="6">
        <v>150</v>
      </c>
      <c r="H141" s="54">
        <v>0.51</v>
      </c>
      <c r="I141" s="54">
        <v>0.94</v>
      </c>
      <c r="J141" s="54">
        <f t="shared" ref="J141:J153" si="25">H141+I141</f>
        <v>1.45</v>
      </c>
      <c r="K141" s="54">
        <f t="shared" ref="K141:K153" si="26">G141*J141</f>
        <v>217.5</v>
      </c>
    </row>
    <row r="142" spans="2:11" x14ac:dyDescent="0.25">
      <c r="B142" s="50" t="s">
        <v>376</v>
      </c>
      <c r="C142" s="5" t="s">
        <v>13</v>
      </c>
      <c r="D142" s="7">
        <v>70371</v>
      </c>
      <c r="E142" s="9" t="s">
        <v>341</v>
      </c>
      <c r="F142" s="53" t="s">
        <v>424</v>
      </c>
      <c r="G142" s="6">
        <v>50</v>
      </c>
      <c r="H142" s="54">
        <v>0.51</v>
      </c>
      <c r="I142" s="54">
        <v>1.06</v>
      </c>
      <c r="J142" s="54">
        <f t="shared" si="25"/>
        <v>1.57</v>
      </c>
      <c r="K142" s="54">
        <f t="shared" si="26"/>
        <v>78.5</v>
      </c>
    </row>
    <row r="143" spans="2:11" x14ac:dyDescent="0.25">
      <c r="B143" s="50" t="s">
        <v>377</v>
      </c>
      <c r="C143" s="5" t="s">
        <v>13</v>
      </c>
      <c r="D143" s="7">
        <v>70372</v>
      </c>
      <c r="E143" s="9" t="s">
        <v>342</v>
      </c>
      <c r="F143" s="53" t="s">
        <v>424</v>
      </c>
      <c r="G143" s="6">
        <v>50</v>
      </c>
      <c r="H143" s="54">
        <v>0.51</v>
      </c>
      <c r="I143" s="54">
        <v>1.08</v>
      </c>
      <c r="J143" s="54">
        <f t="shared" si="25"/>
        <v>1.59</v>
      </c>
      <c r="K143" s="54">
        <f t="shared" si="26"/>
        <v>79.5</v>
      </c>
    </row>
    <row r="144" spans="2:11" x14ac:dyDescent="0.25">
      <c r="B144" s="50" t="s">
        <v>378</v>
      </c>
      <c r="C144" s="5" t="s">
        <v>13</v>
      </c>
      <c r="D144" s="7">
        <v>70391</v>
      </c>
      <c r="E144" s="9" t="s">
        <v>348</v>
      </c>
      <c r="F144" s="53" t="s">
        <v>424</v>
      </c>
      <c r="G144" s="6">
        <v>200</v>
      </c>
      <c r="H144" s="54">
        <v>0.82</v>
      </c>
      <c r="I144" s="54">
        <v>0.16</v>
      </c>
      <c r="J144" s="54">
        <f t="shared" si="25"/>
        <v>0.98</v>
      </c>
      <c r="K144" s="54">
        <f t="shared" si="26"/>
        <v>196</v>
      </c>
    </row>
    <row r="145" spans="2:11" x14ac:dyDescent="0.25">
      <c r="B145" s="50" t="s">
        <v>379</v>
      </c>
      <c r="C145" s="5" t="s">
        <v>13</v>
      </c>
      <c r="D145" s="7">
        <v>70420</v>
      </c>
      <c r="E145" s="9" t="s">
        <v>343</v>
      </c>
      <c r="F145" s="53" t="s">
        <v>424</v>
      </c>
      <c r="G145" s="6">
        <v>80</v>
      </c>
      <c r="H145" s="54">
        <v>0.51</v>
      </c>
      <c r="I145" s="54">
        <v>1.52</v>
      </c>
      <c r="J145" s="54">
        <f t="shared" si="25"/>
        <v>2.0300000000000002</v>
      </c>
      <c r="K145" s="54">
        <f t="shared" si="26"/>
        <v>162.40000000000003</v>
      </c>
    </row>
    <row r="146" spans="2:11" x14ac:dyDescent="0.25">
      <c r="B146" s="50" t="s">
        <v>380</v>
      </c>
      <c r="C146" s="5" t="s">
        <v>13</v>
      </c>
      <c r="D146" s="7">
        <v>70421</v>
      </c>
      <c r="E146" s="9" t="s">
        <v>344</v>
      </c>
      <c r="F146" s="53" t="s">
        <v>424</v>
      </c>
      <c r="G146" s="6">
        <v>20</v>
      </c>
      <c r="H146" s="54">
        <v>0.51</v>
      </c>
      <c r="I146" s="54">
        <v>1.92</v>
      </c>
      <c r="J146" s="54">
        <f t="shared" si="25"/>
        <v>2.4299999999999997</v>
      </c>
      <c r="K146" s="54">
        <f t="shared" si="26"/>
        <v>48.599999999999994</v>
      </c>
    </row>
    <row r="147" spans="2:11" x14ac:dyDescent="0.25">
      <c r="B147" s="50" t="s">
        <v>381</v>
      </c>
      <c r="C147" s="5" t="s">
        <v>13</v>
      </c>
      <c r="D147" s="7">
        <v>70422</v>
      </c>
      <c r="E147" s="9" t="s">
        <v>345</v>
      </c>
      <c r="F147" s="53" t="s">
        <v>424</v>
      </c>
      <c r="G147" s="6">
        <v>15</v>
      </c>
      <c r="H147" s="54">
        <v>0.51</v>
      </c>
      <c r="I147" s="54">
        <v>3.14</v>
      </c>
      <c r="J147" s="54">
        <f t="shared" si="25"/>
        <v>3.6500000000000004</v>
      </c>
      <c r="K147" s="54">
        <f t="shared" si="26"/>
        <v>54.750000000000007</v>
      </c>
    </row>
    <row r="148" spans="2:11" ht="26.4" x14ac:dyDescent="0.25">
      <c r="B148" s="50" t="s">
        <v>382</v>
      </c>
      <c r="C148" s="5" t="s">
        <v>35</v>
      </c>
      <c r="D148" s="7">
        <v>91936</v>
      </c>
      <c r="E148" s="62" t="s">
        <v>358</v>
      </c>
      <c r="F148" s="53" t="s">
        <v>424</v>
      </c>
      <c r="G148" s="6">
        <v>16</v>
      </c>
      <c r="H148" s="54">
        <v>12.54</v>
      </c>
      <c r="I148" s="54">
        <v>3.75</v>
      </c>
      <c r="J148" s="54">
        <f t="shared" si="25"/>
        <v>16.29</v>
      </c>
      <c r="K148" s="54">
        <f t="shared" si="26"/>
        <v>260.64</v>
      </c>
    </row>
    <row r="149" spans="2:11" x14ac:dyDescent="0.25">
      <c r="B149" s="50" t="s">
        <v>383</v>
      </c>
      <c r="C149" s="5" t="s">
        <v>13</v>
      </c>
      <c r="D149" s="7">
        <v>70760</v>
      </c>
      <c r="E149" s="9" t="s">
        <v>359</v>
      </c>
      <c r="F149" s="53" t="s">
        <v>420</v>
      </c>
      <c r="G149" s="6">
        <v>2</v>
      </c>
      <c r="H149" s="54">
        <v>3.62</v>
      </c>
      <c r="I149" s="54">
        <v>6.28</v>
      </c>
      <c r="J149" s="54">
        <f t="shared" si="25"/>
        <v>9.9</v>
      </c>
      <c r="K149" s="54">
        <f t="shared" si="26"/>
        <v>19.8</v>
      </c>
    </row>
    <row r="150" spans="2:11" x14ac:dyDescent="0.25">
      <c r="B150" s="50" t="s">
        <v>384</v>
      </c>
      <c r="C150" s="5" t="s">
        <v>13</v>
      </c>
      <c r="D150" s="7">
        <v>71230</v>
      </c>
      <c r="E150" s="9" t="s">
        <v>363</v>
      </c>
      <c r="F150" s="53" t="s">
        <v>420</v>
      </c>
      <c r="G150" s="6">
        <v>60</v>
      </c>
      <c r="H150" s="54">
        <v>8.81</v>
      </c>
      <c r="I150" s="54">
        <v>7.14</v>
      </c>
      <c r="J150" s="54">
        <f t="shared" si="25"/>
        <v>15.95</v>
      </c>
      <c r="K150" s="54">
        <f t="shared" si="26"/>
        <v>957</v>
      </c>
    </row>
    <row r="151" spans="2:11" x14ac:dyDescent="0.25">
      <c r="B151" s="50" t="s">
        <v>385</v>
      </c>
      <c r="C151" s="5" t="s">
        <v>13</v>
      </c>
      <c r="D151" s="7">
        <v>71193</v>
      </c>
      <c r="E151" s="9" t="s">
        <v>361</v>
      </c>
      <c r="F151" s="53" t="s">
        <v>420</v>
      </c>
      <c r="G151" s="6">
        <v>320</v>
      </c>
      <c r="H151" s="54">
        <v>8.81</v>
      </c>
      <c r="I151" s="54">
        <v>1.96</v>
      </c>
      <c r="J151" s="54">
        <f t="shared" si="25"/>
        <v>10.77</v>
      </c>
      <c r="K151" s="54">
        <f t="shared" si="26"/>
        <v>3446.3999999999996</v>
      </c>
    </row>
    <row r="152" spans="2:11" x14ac:dyDescent="0.25">
      <c r="B152" s="50" t="s">
        <v>386</v>
      </c>
      <c r="C152" s="5" t="s">
        <v>13</v>
      </c>
      <c r="D152" s="7">
        <v>71194</v>
      </c>
      <c r="E152" s="9" t="s">
        <v>24</v>
      </c>
      <c r="F152" s="53" t="s">
        <v>420</v>
      </c>
      <c r="G152" s="6">
        <v>20</v>
      </c>
      <c r="H152" s="54">
        <v>8.81</v>
      </c>
      <c r="I152" s="54">
        <v>2.1800000000000002</v>
      </c>
      <c r="J152" s="54">
        <f t="shared" si="25"/>
        <v>10.99</v>
      </c>
      <c r="K152" s="54">
        <f t="shared" si="26"/>
        <v>219.8</v>
      </c>
    </row>
    <row r="153" spans="2:11" x14ac:dyDescent="0.25">
      <c r="B153" s="50" t="s">
        <v>387</v>
      </c>
      <c r="C153" s="5" t="s">
        <v>13</v>
      </c>
      <c r="D153" s="7">
        <v>71195</v>
      </c>
      <c r="E153" s="9" t="s">
        <v>362</v>
      </c>
      <c r="F153" s="53" t="s">
        <v>420</v>
      </c>
      <c r="G153" s="6">
        <v>20</v>
      </c>
      <c r="H153" s="54">
        <v>10.37</v>
      </c>
      <c r="I153" s="54">
        <v>2.78</v>
      </c>
      <c r="J153" s="54">
        <f t="shared" si="25"/>
        <v>13.149999999999999</v>
      </c>
      <c r="K153" s="54">
        <f t="shared" si="26"/>
        <v>263</v>
      </c>
    </row>
    <row r="154" spans="2:11" ht="15" customHeight="1" x14ac:dyDescent="0.25">
      <c r="B154" s="51" t="s">
        <v>346</v>
      </c>
      <c r="C154" s="83" t="s">
        <v>352</v>
      </c>
      <c r="D154" s="84"/>
      <c r="E154" s="84"/>
      <c r="F154" s="84"/>
      <c r="G154" s="84"/>
      <c r="H154" s="84"/>
      <c r="I154" s="84"/>
      <c r="J154" s="84"/>
      <c r="K154" s="85"/>
    </row>
    <row r="155" spans="2:11" x14ac:dyDescent="0.25">
      <c r="B155" s="50" t="s">
        <v>347</v>
      </c>
      <c r="C155" s="5" t="s">
        <v>13</v>
      </c>
      <c r="D155" s="7">
        <v>70580</v>
      </c>
      <c r="E155" s="9" t="s">
        <v>26</v>
      </c>
      <c r="F155" s="53" t="s">
        <v>420</v>
      </c>
      <c r="G155" s="6">
        <f>120*3</f>
        <v>360</v>
      </c>
      <c r="H155" s="54">
        <v>2.59</v>
      </c>
      <c r="I155" s="54">
        <v>2.4500000000000002</v>
      </c>
      <c r="J155" s="54">
        <f t="shared" ref="J155:J160" si="27">H155+I155</f>
        <v>5.04</v>
      </c>
      <c r="K155" s="54">
        <f t="shared" ref="K155:K160" si="28">G155*J155</f>
        <v>1814.4</v>
      </c>
    </row>
    <row r="156" spans="2:11" x14ac:dyDescent="0.25">
      <c r="B156" s="50" t="s">
        <v>388</v>
      </c>
      <c r="C156" s="5" t="s">
        <v>13</v>
      </c>
      <c r="D156" s="7">
        <v>70563</v>
      </c>
      <c r="E156" s="9" t="s">
        <v>25</v>
      </c>
      <c r="F156" s="53" t="s">
        <v>420</v>
      </c>
      <c r="G156" s="6">
        <f>150*3</f>
        <v>450</v>
      </c>
      <c r="H156" s="54">
        <v>2.85</v>
      </c>
      <c r="I156" s="54">
        <v>2.8</v>
      </c>
      <c r="J156" s="54">
        <f t="shared" si="27"/>
        <v>5.65</v>
      </c>
      <c r="K156" s="54">
        <f t="shared" si="28"/>
        <v>2542.5</v>
      </c>
    </row>
    <row r="157" spans="2:11" x14ac:dyDescent="0.25">
      <c r="B157" s="50" t="s">
        <v>389</v>
      </c>
      <c r="C157" s="5" t="s">
        <v>13</v>
      </c>
      <c r="D157" s="7">
        <v>70570</v>
      </c>
      <c r="E157" s="9" t="s">
        <v>349</v>
      </c>
      <c r="F157" s="53" t="s">
        <v>420</v>
      </c>
      <c r="G157" s="6">
        <f>65*3</f>
        <v>195</v>
      </c>
      <c r="H157" s="54">
        <v>3.62</v>
      </c>
      <c r="I157" s="54">
        <v>11.71</v>
      </c>
      <c r="J157" s="54">
        <f t="shared" si="27"/>
        <v>15.330000000000002</v>
      </c>
      <c r="K157" s="54">
        <f t="shared" si="28"/>
        <v>2989.3500000000004</v>
      </c>
    </row>
    <row r="158" spans="2:11" ht="26.4" x14ac:dyDescent="0.25">
      <c r="B158" s="50" t="s">
        <v>390</v>
      </c>
      <c r="C158" s="5" t="s">
        <v>13</v>
      </c>
      <c r="D158" s="7">
        <v>701043</v>
      </c>
      <c r="E158" s="62" t="s">
        <v>360</v>
      </c>
      <c r="F158" s="53" t="s">
        <v>424</v>
      </c>
      <c r="G158" s="6">
        <v>30</v>
      </c>
      <c r="H158" s="54">
        <v>15.03</v>
      </c>
      <c r="I158" s="54">
        <v>4.1100000000000003</v>
      </c>
      <c r="J158" s="54">
        <f t="shared" si="27"/>
        <v>19.14</v>
      </c>
      <c r="K158" s="54">
        <f t="shared" si="28"/>
        <v>574.20000000000005</v>
      </c>
    </row>
    <row r="159" spans="2:11" x14ac:dyDescent="0.25">
      <c r="B159" s="50" t="s">
        <v>391</v>
      </c>
      <c r="C159" s="5" t="s">
        <v>13</v>
      </c>
      <c r="D159" s="7">
        <v>71321</v>
      </c>
      <c r="E159" s="9" t="s">
        <v>375</v>
      </c>
      <c r="F159" s="53" t="s">
        <v>424</v>
      </c>
      <c r="G159" s="6">
        <v>3</v>
      </c>
      <c r="H159" s="54">
        <v>10.37</v>
      </c>
      <c r="I159" s="54">
        <v>34.200000000000003</v>
      </c>
      <c r="J159" s="54">
        <f t="shared" si="27"/>
        <v>44.57</v>
      </c>
      <c r="K159" s="54">
        <f t="shared" si="28"/>
        <v>133.71</v>
      </c>
    </row>
    <row r="160" spans="2:11" x14ac:dyDescent="0.25">
      <c r="B160" s="50" t="s">
        <v>392</v>
      </c>
      <c r="C160" s="5" t="s">
        <v>13</v>
      </c>
      <c r="D160" s="7">
        <v>71331</v>
      </c>
      <c r="E160" s="9" t="s">
        <v>374</v>
      </c>
      <c r="F160" s="53" t="s">
        <v>424</v>
      </c>
      <c r="G160" s="6">
        <v>13</v>
      </c>
      <c r="H160" s="54">
        <v>20.75</v>
      </c>
      <c r="I160" s="54">
        <v>10</v>
      </c>
      <c r="J160" s="54">
        <f t="shared" si="27"/>
        <v>30.75</v>
      </c>
      <c r="K160" s="54">
        <f t="shared" si="28"/>
        <v>399.75</v>
      </c>
    </row>
    <row r="161" spans="2:11" ht="15" customHeight="1" x14ac:dyDescent="0.25">
      <c r="B161" s="51" t="s">
        <v>350</v>
      </c>
      <c r="C161" s="83" t="s">
        <v>351</v>
      </c>
      <c r="D161" s="84"/>
      <c r="E161" s="84"/>
      <c r="F161" s="84"/>
      <c r="G161" s="84"/>
      <c r="H161" s="84"/>
      <c r="I161" s="84"/>
      <c r="J161" s="84"/>
      <c r="K161" s="85"/>
    </row>
    <row r="162" spans="2:11" x14ac:dyDescent="0.25">
      <c r="B162" s="50" t="s">
        <v>355</v>
      </c>
      <c r="C162" s="5" t="s">
        <v>13</v>
      </c>
      <c r="D162" s="7">
        <v>71184</v>
      </c>
      <c r="E162" s="9" t="s">
        <v>369</v>
      </c>
      <c r="F162" s="53" t="s">
        <v>424</v>
      </c>
      <c r="G162" s="6">
        <v>2</v>
      </c>
      <c r="H162" s="54">
        <v>51.89</v>
      </c>
      <c r="I162" s="54">
        <v>58.21</v>
      </c>
      <c r="J162" s="54">
        <f t="shared" ref="J162:J166" si="29">H162+I162</f>
        <v>110.1</v>
      </c>
      <c r="K162" s="54">
        <f>G162*J162</f>
        <v>220.2</v>
      </c>
    </row>
    <row r="163" spans="2:11" x14ac:dyDescent="0.25">
      <c r="B163" s="50" t="s">
        <v>393</v>
      </c>
      <c r="C163" s="5" t="s">
        <v>13</v>
      </c>
      <c r="D163" s="7">
        <v>71450</v>
      </c>
      <c r="E163" s="9" t="s">
        <v>370</v>
      </c>
      <c r="F163" s="53" t="s">
        <v>424</v>
      </c>
      <c r="G163" s="6">
        <v>13</v>
      </c>
      <c r="H163" s="54">
        <v>31.12</v>
      </c>
      <c r="I163" s="54">
        <v>97.92</v>
      </c>
      <c r="J163" s="54">
        <f t="shared" si="29"/>
        <v>129.04</v>
      </c>
      <c r="K163" s="54">
        <f>G163*J163</f>
        <v>1677.52</v>
      </c>
    </row>
    <row r="164" spans="2:11" x14ac:dyDescent="0.25">
      <c r="B164" s="50" t="s">
        <v>394</v>
      </c>
      <c r="C164" s="5" t="s">
        <v>13</v>
      </c>
      <c r="D164" s="7">
        <v>71171</v>
      </c>
      <c r="E164" s="9" t="s">
        <v>371</v>
      </c>
      <c r="F164" s="53" t="s">
        <v>424</v>
      </c>
      <c r="G164" s="6">
        <f>8+9</f>
        <v>17</v>
      </c>
      <c r="H164" s="54">
        <v>15.56</v>
      </c>
      <c r="I164" s="54">
        <v>10.9</v>
      </c>
      <c r="J164" s="54">
        <f t="shared" si="29"/>
        <v>26.46</v>
      </c>
      <c r="K164" s="54">
        <f>G164*J164</f>
        <v>449.82</v>
      </c>
    </row>
    <row r="165" spans="2:11" x14ac:dyDescent="0.25">
      <c r="B165" s="50" t="s">
        <v>395</v>
      </c>
      <c r="C165" s="5" t="s">
        <v>13</v>
      </c>
      <c r="D165" s="7">
        <v>71172</v>
      </c>
      <c r="E165" s="9" t="s">
        <v>372</v>
      </c>
      <c r="F165" s="53" t="s">
        <v>424</v>
      </c>
      <c r="G165" s="6">
        <v>3</v>
      </c>
      <c r="H165" s="54">
        <v>15.56</v>
      </c>
      <c r="I165" s="54">
        <v>13.28</v>
      </c>
      <c r="J165" s="54">
        <f t="shared" si="29"/>
        <v>28.84</v>
      </c>
      <c r="K165" s="54">
        <f>G165*J165</f>
        <v>86.52</v>
      </c>
    </row>
    <row r="166" spans="2:11" x14ac:dyDescent="0.25">
      <c r="B166" s="50" t="s">
        <v>396</v>
      </c>
      <c r="C166" s="5" t="s">
        <v>13</v>
      </c>
      <c r="D166" s="7">
        <v>72172</v>
      </c>
      <c r="E166" s="9" t="s">
        <v>373</v>
      </c>
      <c r="F166" s="53" t="s">
        <v>424</v>
      </c>
      <c r="G166" s="6">
        <v>1</v>
      </c>
      <c r="H166" s="54">
        <v>207.56</v>
      </c>
      <c r="I166" s="54">
        <v>220.75</v>
      </c>
      <c r="J166" s="54">
        <f t="shared" si="29"/>
        <v>428.31</v>
      </c>
      <c r="K166" s="54">
        <f>G166*J166</f>
        <v>428.31</v>
      </c>
    </row>
    <row r="167" spans="2:11" ht="15" customHeight="1" x14ac:dyDescent="0.25">
      <c r="B167" s="51" t="s">
        <v>356</v>
      </c>
      <c r="C167" s="83" t="s">
        <v>354</v>
      </c>
      <c r="D167" s="84"/>
      <c r="E167" s="84"/>
      <c r="F167" s="84"/>
      <c r="G167" s="84"/>
      <c r="H167" s="84"/>
      <c r="I167" s="84"/>
      <c r="J167" s="84"/>
      <c r="K167" s="85"/>
    </row>
    <row r="168" spans="2:11" ht="26.4" x14ac:dyDescent="0.25">
      <c r="B168" s="50" t="s">
        <v>357</v>
      </c>
      <c r="C168" s="5" t="s">
        <v>13</v>
      </c>
      <c r="D168" s="7">
        <v>71692</v>
      </c>
      <c r="E168" s="62" t="s">
        <v>364</v>
      </c>
      <c r="F168" s="53" t="s">
        <v>424</v>
      </c>
      <c r="G168" s="6">
        <v>9</v>
      </c>
      <c r="H168" s="54">
        <v>20.05</v>
      </c>
      <c r="I168" s="54">
        <v>253.83</v>
      </c>
      <c r="J168" s="54">
        <f t="shared" ref="J168:J175" si="30">H168+I168</f>
        <v>273.88</v>
      </c>
      <c r="K168" s="54">
        <f t="shared" ref="K168:K175" si="31">G168*J168</f>
        <v>2464.92</v>
      </c>
    </row>
    <row r="169" spans="2:11" x14ac:dyDescent="0.25">
      <c r="B169" s="50" t="s">
        <v>397</v>
      </c>
      <c r="C169" s="5" t="s">
        <v>13</v>
      </c>
      <c r="D169" s="7">
        <v>71682</v>
      </c>
      <c r="E169" s="9" t="s">
        <v>365</v>
      </c>
      <c r="F169" s="53" t="s">
        <v>424</v>
      </c>
      <c r="G169" s="6">
        <v>2</v>
      </c>
      <c r="H169" s="54">
        <v>16.73</v>
      </c>
      <c r="I169" s="54">
        <v>83.8</v>
      </c>
      <c r="J169" s="54">
        <f t="shared" si="30"/>
        <v>100.53</v>
      </c>
      <c r="K169" s="54">
        <f t="shared" si="31"/>
        <v>201.06</v>
      </c>
    </row>
    <row r="170" spans="2:11" ht="26.4" x14ac:dyDescent="0.25">
      <c r="B170" s="50" t="s">
        <v>398</v>
      </c>
      <c r="C170" s="5" t="s">
        <v>13</v>
      </c>
      <c r="D170" s="7">
        <v>71630</v>
      </c>
      <c r="E170" s="62" t="s">
        <v>366</v>
      </c>
      <c r="F170" s="53" t="s">
        <v>424</v>
      </c>
      <c r="G170" s="6">
        <v>2</v>
      </c>
      <c r="H170" s="54">
        <v>17.3</v>
      </c>
      <c r="I170" s="54">
        <v>23.15</v>
      </c>
      <c r="J170" s="54">
        <f t="shared" si="30"/>
        <v>40.450000000000003</v>
      </c>
      <c r="K170" s="54">
        <f t="shared" si="31"/>
        <v>80.900000000000006</v>
      </c>
    </row>
    <row r="171" spans="2:11" x14ac:dyDescent="0.25">
      <c r="B171" s="50" t="s">
        <v>399</v>
      </c>
      <c r="C171" s="5" t="s">
        <v>13</v>
      </c>
      <c r="D171" s="7">
        <v>71443</v>
      </c>
      <c r="E171" s="62" t="s">
        <v>367</v>
      </c>
      <c r="F171" s="53" t="s">
        <v>424</v>
      </c>
      <c r="G171" s="6">
        <v>9</v>
      </c>
      <c r="H171" s="54">
        <v>19.190000000000001</v>
      </c>
      <c r="I171" s="54">
        <v>14.15</v>
      </c>
      <c r="J171" s="54">
        <f t="shared" si="30"/>
        <v>33.340000000000003</v>
      </c>
      <c r="K171" s="54">
        <f t="shared" si="31"/>
        <v>300.06000000000006</v>
      </c>
    </row>
    <row r="172" spans="2:11" x14ac:dyDescent="0.25">
      <c r="B172" s="50" t="s">
        <v>400</v>
      </c>
      <c r="C172" s="5" t="s">
        <v>13</v>
      </c>
      <c r="D172" s="7">
        <v>71440</v>
      </c>
      <c r="E172" s="9" t="s">
        <v>368</v>
      </c>
      <c r="F172" s="53" t="s">
        <v>424</v>
      </c>
      <c r="G172" s="6">
        <v>2</v>
      </c>
      <c r="H172" s="54">
        <v>10.89</v>
      </c>
      <c r="I172" s="54">
        <v>8.8699999999999992</v>
      </c>
      <c r="J172" s="54">
        <f t="shared" si="30"/>
        <v>19.759999999999998</v>
      </c>
      <c r="K172" s="54">
        <f t="shared" si="31"/>
        <v>39.519999999999996</v>
      </c>
    </row>
    <row r="173" spans="2:11" x14ac:dyDescent="0.25">
      <c r="B173" s="50" t="s">
        <v>401</v>
      </c>
      <c r="C173" s="5" t="s">
        <v>13</v>
      </c>
      <c r="D173" s="7">
        <v>71441</v>
      </c>
      <c r="E173" s="9" t="s">
        <v>23</v>
      </c>
      <c r="F173" s="53" t="s">
        <v>424</v>
      </c>
      <c r="G173" s="6">
        <v>1</v>
      </c>
      <c r="H173" s="54">
        <v>19.190000000000001</v>
      </c>
      <c r="I173" s="54">
        <v>13.99</v>
      </c>
      <c r="J173" s="54">
        <f t="shared" si="30"/>
        <v>33.18</v>
      </c>
      <c r="K173" s="54">
        <f t="shared" si="31"/>
        <v>33.18</v>
      </c>
    </row>
    <row r="174" spans="2:11" x14ac:dyDescent="0.25">
      <c r="B174" s="50" t="s">
        <v>402</v>
      </c>
      <c r="C174" s="5" t="s">
        <v>13</v>
      </c>
      <c r="D174" s="7">
        <v>72578</v>
      </c>
      <c r="E174" s="9" t="s">
        <v>21</v>
      </c>
      <c r="F174" s="53" t="s">
        <v>424</v>
      </c>
      <c r="G174" s="6">
        <v>24</v>
      </c>
      <c r="H174" s="54">
        <v>15.03</v>
      </c>
      <c r="I174" s="54">
        <v>10.78</v>
      </c>
      <c r="J174" s="54">
        <f t="shared" si="30"/>
        <v>25.81</v>
      </c>
      <c r="K174" s="54">
        <f t="shared" si="31"/>
        <v>619.43999999999994</v>
      </c>
    </row>
    <row r="175" spans="2:11" x14ac:dyDescent="0.25">
      <c r="B175" s="50" t="s">
        <v>403</v>
      </c>
      <c r="C175" s="5" t="s">
        <v>13</v>
      </c>
      <c r="D175" s="7">
        <v>72585</v>
      </c>
      <c r="E175" s="9" t="s">
        <v>22</v>
      </c>
      <c r="F175" s="53" t="s">
        <v>424</v>
      </c>
      <c r="G175" s="6">
        <v>7</v>
      </c>
      <c r="H175" s="54">
        <v>15.03</v>
      </c>
      <c r="I175" s="54">
        <v>13.22</v>
      </c>
      <c r="J175" s="54">
        <f t="shared" si="30"/>
        <v>28.25</v>
      </c>
      <c r="K175" s="54">
        <f t="shared" si="31"/>
        <v>197.75</v>
      </c>
    </row>
    <row r="176" spans="2:11" s="11" customFormat="1" ht="15.6" x14ac:dyDescent="0.3">
      <c r="B176" s="96" t="s">
        <v>36</v>
      </c>
      <c r="C176" s="97"/>
      <c r="D176" s="97"/>
      <c r="E176" s="97"/>
      <c r="F176" s="97"/>
      <c r="G176" s="97"/>
      <c r="H176" s="97"/>
      <c r="I176" s="97"/>
      <c r="J176" s="98">
        <f t="shared" ref="J176" si="32">H176+I176</f>
        <v>0</v>
      </c>
      <c r="K176" s="55">
        <f>SUM(K141:K175)</f>
        <v>21257.000000000007</v>
      </c>
    </row>
    <row r="177" spans="2:11" ht="15.6" x14ac:dyDescent="0.3">
      <c r="B177" s="49">
        <v>9</v>
      </c>
      <c r="C177" s="93" t="s">
        <v>99</v>
      </c>
      <c r="D177" s="94"/>
      <c r="E177" s="94"/>
      <c r="F177" s="94"/>
      <c r="G177" s="94"/>
      <c r="H177" s="94"/>
      <c r="I177" s="94"/>
      <c r="J177" s="94"/>
      <c r="K177" s="95"/>
    </row>
    <row r="178" spans="2:11" ht="15" customHeight="1" x14ac:dyDescent="0.25">
      <c r="B178" s="51" t="s">
        <v>285</v>
      </c>
      <c r="C178" s="83" t="s">
        <v>161</v>
      </c>
      <c r="D178" s="84"/>
      <c r="E178" s="84"/>
      <c r="F178" s="84"/>
      <c r="G178" s="84"/>
      <c r="H178" s="84"/>
      <c r="I178" s="84"/>
      <c r="J178" s="84"/>
      <c r="K178" s="85"/>
    </row>
    <row r="179" spans="2:11" x14ac:dyDescent="0.25">
      <c r="B179" s="50" t="s">
        <v>286</v>
      </c>
      <c r="C179" s="5" t="s">
        <v>13</v>
      </c>
      <c r="D179" s="7">
        <v>200101</v>
      </c>
      <c r="E179" s="9" t="s">
        <v>162</v>
      </c>
      <c r="F179" s="53" t="s">
        <v>419</v>
      </c>
      <c r="G179" s="6">
        <v>540</v>
      </c>
      <c r="H179" s="54">
        <v>4.88</v>
      </c>
      <c r="I179" s="54">
        <v>2.36</v>
      </c>
      <c r="J179" s="54">
        <f t="shared" ref="J179:J182" si="33">H179+I179</f>
        <v>7.24</v>
      </c>
      <c r="K179" s="54">
        <f>G179*J179</f>
        <v>3909.6</v>
      </c>
    </row>
    <row r="180" spans="2:11" x14ac:dyDescent="0.25">
      <c r="B180" s="50" t="s">
        <v>287</v>
      </c>
      <c r="C180" s="5" t="s">
        <v>13</v>
      </c>
      <c r="D180" s="7">
        <v>200201</v>
      </c>
      <c r="E180" s="9" t="s">
        <v>163</v>
      </c>
      <c r="F180" s="53" t="s">
        <v>419</v>
      </c>
      <c r="G180" s="6">
        <v>20.51</v>
      </c>
      <c r="H180" s="54">
        <v>19.66</v>
      </c>
      <c r="I180" s="54">
        <v>9.32</v>
      </c>
      <c r="J180" s="54">
        <f t="shared" si="33"/>
        <v>28.98</v>
      </c>
      <c r="K180" s="54">
        <f>G180*J180</f>
        <v>594.37980000000005</v>
      </c>
    </row>
    <row r="181" spans="2:11" x14ac:dyDescent="0.25">
      <c r="B181" s="50" t="s">
        <v>288</v>
      </c>
      <c r="C181" s="5" t="s">
        <v>13</v>
      </c>
      <c r="D181" s="7">
        <v>200403</v>
      </c>
      <c r="E181" s="9" t="s">
        <v>164</v>
      </c>
      <c r="F181" s="53" t="s">
        <v>419</v>
      </c>
      <c r="G181" s="6">
        <v>521.46</v>
      </c>
      <c r="H181" s="54">
        <v>21.12</v>
      </c>
      <c r="I181" s="54">
        <v>2.73</v>
      </c>
      <c r="J181" s="54">
        <f t="shared" si="33"/>
        <v>23.85</v>
      </c>
      <c r="K181" s="54">
        <f>G181*J181</f>
        <v>12436.821000000002</v>
      </c>
    </row>
    <row r="182" spans="2:11" x14ac:dyDescent="0.25">
      <c r="B182" s="50" t="s">
        <v>289</v>
      </c>
      <c r="C182" s="5" t="s">
        <v>13</v>
      </c>
      <c r="D182" s="7">
        <v>201302</v>
      </c>
      <c r="E182" s="9" t="s">
        <v>109</v>
      </c>
      <c r="F182" s="53" t="s">
        <v>419</v>
      </c>
      <c r="G182" s="6">
        <v>20.51</v>
      </c>
      <c r="H182" s="54">
        <v>36.71</v>
      </c>
      <c r="I182" s="54">
        <v>45.86</v>
      </c>
      <c r="J182" s="54">
        <f t="shared" si="33"/>
        <v>82.57</v>
      </c>
      <c r="K182" s="54">
        <f>G182*J182</f>
        <v>1693.5107</v>
      </c>
    </row>
    <row r="183" spans="2:11" ht="15" customHeight="1" x14ac:dyDescent="0.25">
      <c r="B183" s="51" t="s">
        <v>290</v>
      </c>
      <c r="C183" s="83" t="s">
        <v>330</v>
      </c>
      <c r="D183" s="84"/>
      <c r="E183" s="84"/>
      <c r="F183" s="84"/>
      <c r="G183" s="84"/>
      <c r="H183" s="84"/>
      <c r="I183" s="84"/>
      <c r="J183" s="84"/>
      <c r="K183" s="85"/>
    </row>
    <row r="184" spans="2:11" ht="39.6" x14ac:dyDescent="0.25">
      <c r="B184" s="50" t="s">
        <v>291</v>
      </c>
      <c r="C184" s="5" t="s">
        <v>35</v>
      </c>
      <c r="D184" s="7">
        <v>104598</v>
      </c>
      <c r="E184" s="62" t="s">
        <v>311</v>
      </c>
      <c r="F184" s="53" t="s">
        <v>419</v>
      </c>
      <c r="G184" s="6">
        <v>70.569999999999993</v>
      </c>
      <c r="H184" s="54">
        <v>21.37</v>
      </c>
      <c r="I184" s="54">
        <v>97.18</v>
      </c>
      <c r="J184" s="54">
        <f t="shared" ref="J184:J188" si="34">H184+I184</f>
        <v>118.55000000000001</v>
      </c>
      <c r="K184" s="54">
        <f>G184*J184</f>
        <v>8366.0735000000004</v>
      </c>
    </row>
    <row r="185" spans="2:11" ht="26.4" x14ac:dyDescent="0.25">
      <c r="B185" s="50" t="s">
        <v>292</v>
      </c>
      <c r="C185" s="5" t="s">
        <v>35</v>
      </c>
      <c r="D185" s="7">
        <v>104619</v>
      </c>
      <c r="E185" s="62" t="s">
        <v>314</v>
      </c>
      <c r="F185" s="53" t="s">
        <v>420</v>
      </c>
      <c r="G185" s="6">
        <v>79.83</v>
      </c>
      <c r="H185" s="54">
        <v>3.83</v>
      </c>
      <c r="I185" s="54">
        <v>10.68</v>
      </c>
      <c r="J185" s="54">
        <f t="shared" si="34"/>
        <v>14.51</v>
      </c>
      <c r="K185" s="54">
        <f>G185*J185</f>
        <v>1158.3333</v>
      </c>
    </row>
    <row r="186" spans="2:11" x14ac:dyDescent="0.25">
      <c r="B186" s="50" t="s">
        <v>293</v>
      </c>
      <c r="C186" s="5" t="s">
        <v>13</v>
      </c>
      <c r="D186" s="7">
        <v>220920</v>
      </c>
      <c r="E186" s="9" t="s">
        <v>313</v>
      </c>
      <c r="F186" s="53" t="s">
        <v>419</v>
      </c>
      <c r="G186" s="6">
        <v>6.12</v>
      </c>
      <c r="H186" s="54">
        <v>39.07</v>
      </c>
      <c r="I186" s="54">
        <v>443.21</v>
      </c>
      <c r="J186" s="54">
        <f t="shared" si="34"/>
        <v>482.28</v>
      </c>
      <c r="K186" s="54">
        <f>G186*J186</f>
        <v>2951.5535999999997</v>
      </c>
    </row>
    <row r="187" spans="2:11" x14ac:dyDescent="0.25">
      <c r="B187" s="50" t="s">
        <v>294</v>
      </c>
      <c r="C187" s="5" t="s">
        <v>13</v>
      </c>
      <c r="D187" s="7">
        <v>220102</v>
      </c>
      <c r="E187" s="9" t="s">
        <v>155</v>
      </c>
      <c r="F187" s="53" t="s">
        <v>419</v>
      </c>
      <c r="G187" s="6">
        <f>8.55+8.12</f>
        <v>16.670000000000002</v>
      </c>
      <c r="H187" s="54">
        <v>18.91</v>
      </c>
      <c r="I187" s="54">
        <v>23.23</v>
      </c>
      <c r="J187" s="54">
        <f t="shared" si="34"/>
        <v>42.14</v>
      </c>
      <c r="K187" s="54">
        <f>G187*J187</f>
        <v>702.4738000000001</v>
      </c>
    </row>
    <row r="188" spans="2:11" x14ac:dyDescent="0.25">
      <c r="B188" s="50" t="s">
        <v>312</v>
      </c>
      <c r="C188" s="5" t="s">
        <v>13</v>
      </c>
      <c r="D188" s="7">
        <v>261703</v>
      </c>
      <c r="E188" s="9" t="s">
        <v>154</v>
      </c>
      <c r="F188" s="53" t="s">
        <v>419</v>
      </c>
      <c r="G188" s="6">
        <f>G187</f>
        <v>16.670000000000002</v>
      </c>
      <c r="H188" s="54">
        <v>11.94</v>
      </c>
      <c r="I188" s="54">
        <v>4.03</v>
      </c>
      <c r="J188" s="54">
        <f t="shared" si="34"/>
        <v>15.969999999999999</v>
      </c>
      <c r="K188" s="54">
        <f>G188*J188</f>
        <v>266.2199</v>
      </c>
    </row>
    <row r="189" spans="2:11" s="11" customFormat="1" ht="15.6" x14ac:dyDescent="0.3">
      <c r="B189" s="96" t="s">
        <v>36</v>
      </c>
      <c r="C189" s="97"/>
      <c r="D189" s="97"/>
      <c r="E189" s="97"/>
      <c r="F189" s="97"/>
      <c r="G189" s="97"/>
      <c r="H189" s="97"/>
      <c r="I189" s="97"/>
      <c r="J189" s="98">
        <f t="shared" ref="J189" si="35">H189+I189</f>
        <v>0</v>
      </c>
      <c r="K189" s="55">
        <f>SUM(K179:K188)</f>
        <v>32078.9656</v>
      </c>
    </row>
    <row r="190" spans="2:11" ht="15.6" x14ac:dyDescent="0.3">
      <c r="B190" s="49">
        <v>10</v>
      </c>
      <c r="C190" s="93" t="s">
        <v>98</v>
      </c>
      <c r="D190" s="94"/>
      <c r="E190" s="94"/>
      <c r="F190" s="94"/>
      <c r="G190" s="94"/>
      <c r="H190" s="94"/>
      <c r="I190" s="94"/>
      <c r="J190" s="94"/>
      <c r="K190" s="95"/>
    </row>
    <row r="191" spans="2:11" x14ac:dyDescent="0.25">
      <c r="B191" s="50" t="s">
        <v>200</v>
      </c>
      <c r="C191" s="5" t="s">
        <v>13</v>
      </c>
      <c r="D191" s="7">
        <v>180115</v>
      </c>
      <c r="E191" s="9" t="s">
        <v>329</v>
      </c>
      <c r="F191" s="53" t="s">
        <v>419</v>
      </c>
      <c r="G191" s="6">
        <v>2.5299999999999998</v>
      </c>
      <c r="H191" s="54">
        <v>62.65</v>
      </c>
      <c r="I191" s="54">
        <f>1.81+2.5</f>
        <v>4.3100000000000005</v>
      </c>
      <c r="J191" s="54">
        <f t="shared" ref="J191:J198" si="36">H191+I191</f>
        <v>66.959999999999994</v>
      </c>
      <c r="K191" s="54">
        <f t="shared" ref="K191:K198" si="37">G191*J191</f>
        <v>169.40879999999999</v>
      </c>
    </row>
    <row r="192" spans="2:11" x14ac:dyDescent="0.25">
      <c r="B192" s="50" t="s">
        <v>295</v>
      </c>
      <c r="C192" s="5" t="s">
        <v>13</v>
      </c>
      <c r="D192" s="7">
        <v>180401</v>
      </c>
      <c r="E192" s="9" t="s">
        <v>102</v>
      </c>
      <c r="F192" s="53" t="s">
        <v>419</v>
      </c>
      <c r="G192" s="6">
        <v>14.13</v>
      </c>
      <c r="H192" s="54">
        <v>68.400000000000006</v>
      </c>
      <c r="I192" s="54">
        <v>198.3</v>
      </c>
      <c r="J192" s="54">
        <f t="shared" si="36"/>
        <v>266.70000000000005</v>
      </c>
      <c r="K192" s="54">
        <f t="shared" si="37"/>
        <v>3768.4710000000009</v>
      </c>
    </row>
    <row r="193" spans="2:11" x14ac:dyDescent="0.25">
      <c r="B193" s="50" t="s">
        <v>296</v>
      </c>
      <c r="C193" s="5" t="s">
        <v>13</v>
      </c>
      <c r="D193" s="7">
        <v>180381</v>
      </c>
      <c r="E193" s="9" t="s">
        <v>105</v>
      </c>
      <c r="F193" s="53" t="s">
        <v>419</v>
      </c>
      <c r="G193" s="6">
        <v>0.24</v>
      </c>
      <c r="H193" s="54">
        <v>68.400000000000006</v>
      </c>
      <c r="I193" s="54">
        <v>397.92</v>
      </c>
      <c r="J193" s="54">
        <f t="shared" si="36"/>
        <v>466.32000000000005</v>
      </c>
      <c r="K193" s="54">
        <f t="shared" si="37"/>
        <v>111.91680000000001</v>
      </c>
    </row>
    <row r="194" spans="2:11" ht="26.4" x14ac:dyDescent="0.25">
      <c r="B194" s="50" t="s">
        <v>297</v>
      </c>
      <c r="C194" s="5" t="s">
        <v>13</v>
      </c>
      <c r="D194" s="7">
        <v>180507</v>
      </c>
      <c r="E194" s="62" t="s">
        <v>104</v>
      </c>
      <c r="F194" s="53" t="s">
        <v>419</v>
      </c>
      <c r="G194" s="6">
        <v>5.25</v>
      </c>
      <c r="H194" s="54">
        <v>63.91</v>
      </c>
      <c r="I194" s="54">
        <v>286.22000000000003</v>
      </c>
      <c r="J194" s="54">
        <f t="shared" si="36"/>
        <v>350.13</v>
      </c>
      <c r="K194" s="54">
        <f t="shared" si="37"/>
        <v>1838.1824999999999</v>
      </c>
    </row>
    <row r="195" spans="2:11" x14ac:dyDescent="0.25">
      <c r="B195" s="50" t="s">
        <v>298</v>
      </c>
      <c r="C195" s="5" t="s">
        <v>13</v>
      </c>
      <c r="D195" s="7">
        <v>180491</v>
      </c>
      <c r="E195" s="9" t="s">
        <v>165</v>
      </c>
      <c r="F195" s="53" t="s">
        <v>419</v>
      </c>
      <c r="G195" s="6">
        <v>1.89</v>
      </c>
      <c r="H195" s="54">
        <v>63.91</v>
      </c>
      <c r="I195" s="54">
        <v>540.99</v>
      </c>
      <c r="J195" s="54">
        <f t="shared" si="36"/>
        <v>604.9</v>
      </c>
      <c r="K195" s="54">
        <f t="shared" si="37"/>
        <v>1143.261</v>
      </c>
    </row>
    <row r="196" spans="2:11" x14ac:dyDescent="0.25">
      <c r="B196" s="50" t="s">
        <v>299</v>
      </c>
      <c r="C196" s="5" t="s">
        <v>13</v>
      </c>
      <c r="D196" s="7">
        <v>170110</v>
      </c>
      <c r="E196" s="9" t="s">
        <v>103</v>
      </c>
      <c r="F196" s="53" t="s">
        <v>424</v>
      </c>
      <c r="G196" s="6">
        <v>6</v>
      </c>
      <c r="H196" s="54">
        <v>210.18</v>
      </c>
      <c r="I196" s="54">
        <v>626.46</v>
      </c>
      <c r="J196" s="54">
        <f t="shared" si="36"/>
        <v>836.6400000000001</v>
      </c>
      <c r="K196" s="54">
        <f t="shared" si="37"/>
        <v>5019.84</v>
      </c>
    </row>
    <row r="197" spans="2:11" x14ac:dyDescent="0.25">
      <c r="B197" s="50" t="s">
        <v>300</v>
      </c>
      <c r="C197" s="5" t="s">
        <v>13</v>
      </c>
      <c r="D197" s="7">
        <v>230105</v>
      </c>
      <c r="E197" s="9" t="s">
        <v>442</v>
      </c>
      <c r="F197" s="53" t="s">
        <v>424</v>
      </c>
      <c r="G197" s="6">
        <v>6</v>
      </c>
      <c r="H197" s="54">
        <v>29.13</v>
      </c>
      <c r="I197" s="54">
        <v>91.95</v>
      </c>
      <c r="J197" s="54">
        <f t="shared" si="36"/>
        <v>121.08</v>
      </c>
      <c r="K197" s="54">
        <f t="shared" si="37"/>
        <v>726.48</v>
      </c>
    </row>
    <row r="198" spans="2:11" x14ac:dyDescent="0.25">
      <c r="B198" s="50" t="s">
        <v>301</v>
      </c>
      <c r="C198" s="5" t="s">
        <v>13</v>
      </c>
      <c r="D198" s="7">
        <v>230201</v>
      </c>
      <c r="E198" s="9" t="s">
        <v>106</v>
      </c>
      <c r="F198" s="53" t="s">
        <v>424</v>
      </c>
      <c r="G198" s="6">
        <f>3*6</f>
        <v>18</v>
      </c>
      <c r="H198" s="54">
        <v>12.88</v>
      </c>
      <c r="I198" s="54">
        <v>4.01</v>
      </c>
      <c r="J198" s="54">
        <f t="shared" si="36"/>
        <v>16.89</v>
      </c>
      <c r="K198" s="54">
        <f t="shared" si="37"/>
        <v>304.02</v>
      </c>
    </row>
    <row r="199" spans="2:11" s="11" customFormat="1" ht="15.6" x14ac:dyDescent="0.3">
      <c r="B199" s="96" t="s">
        <v>36</v>
      </c>
      <c r="C199" s="97"/>
      <c r="D199" s="97"/>
      <c r="E199" s="97"/>
      <c r="F199" s="97"/>
      <c r="G199" s="97"/>
      <c r="H199" s="97"/>
      <c r="I199" s="97"/>
      <c r="J199" s="98">
        <f t="shared" ref="J199" si="38">H199+I199</f>
        <v>0</v>
      </c>
      <c r="K199" s="55">
        <f>SUM(K191:K198)</f>
        <v>13081.580100000001</v>
      </c>
    </row>
    <row r="200" spans="2:11" ht="15.6" x14ac:dyDescent="0.3">
      <c r="B200" s="49">
        <v>11</v>
      </c>
      <c r="C200" s="93" t="s">
        <v>33</v>
      </c>
      <c r="D200" s="94"/>
      <c r="E200" s="94"/>
      <c r="F200" s="94"/>
      <c r="G200" s="94"/>
      <c r="H200" s="94"/>
      <c r="I200" s="94"/>
      <c r="J200" s="94"/>
      <c r="K200" s="95"/>
    </row>
    <row r="201" spans="2:11" x14ac:dyDescent="0.25">
      <c r="B201" s="51" t="s">
        <v>315</v>
      </c>
      <c r="C201" s="83" t="s">
        <v>110</v>
      </c>
      <c r="D201" s="84"/>
      <c r="E201" s="84"/>
      <c r="F201" s="84"/>
      <c r="G201" s="84"/>
      <c r="H201" s="84"/>
      <c r="I201" s="84"/>
      <c r="J201" s="84"/>
      <c r="K201" s="85"/>
    </row>
    <row r="202" spans="2:11" x14ac:dyDescent="0.25">
      <c r="B202" s="50" t="s">
        <v>316</v>
      </c>
      <c r="C202" s="5" t="s">
        <v>13</v>
      </c>
      <c r="D202" s="7">
        <v>260104</v>
      </c>
      <c r="E202" s="9" t="s">
        <v>112</v>
      </c>
      <c r="F202" s="53" t="s">
        <v>419</v>
      </c>
      <c r="G202" s="6">
        <f>G204*0.2</f>
        <v>38.636000000000003</v>
      </c>
      <c r="H202" s="54">
        <v>8.34</v>
      </c>
      <c r="I202" s="54">
        <v>0</v>
      </c>
      <c r="J202" s="54">
        <f t="shared" ref="J202:J204" si="39">H202+I202</f>
        <v>8.34</v>
      </c>
      <c r="K202" s="54">
        <f>G202*J202</f>
        <v>322.22424000000001</v>
      </c>
    </row>
    <row r="203" spans="2:11" x14ac:dyDescent="0.25">
      <c r="B203" s="50" t="s">
        <v>318</v>
      </c>
      <c r="C203" s="5" t="s">
        <v>13</v>
      </c>
      <c r="D203" s="7">
        <v>261300</v>
      </c>
      <c r="E203" s="9" t="s">
        <v>113</v>
      </c>
      <c r="F203" s="53" t="s">
        <v>419</v>
      </c>
      <c r="G203" s="6">
        <f>G202</f>
        <v>38.636000000000003</v>
      </c>
      <c r="H203" s="54">
        <v>13.23</v>
      </c>
      <c r="I203" s="54">
        <v>2.96</v>
      </c>
      <c r="J203" s="54">
        <f t="shared" si="39"/>
        <v>16.190000000000001</v>
      </c>
      <c r="K203" s="54">
        <f>G203*J203</f>
        <v>625.51684000000012</v>
      </c>
    </row>
    <row r="204" spans="2:11" x14ac:dyDescent="0.25">
      <c r="B204" s="50" t="s">
        <v>319</v>
      </c>
      <c r="C204" s="5" t="s">
        <v>13</v>
      </c>
      <c r="D204" s="7">
        <v>261302</v>
      </c>
      <c r="E204" s="9" t="s">
        <v>197</v>
      </c>
      <c r="F204" s="53" t="s">
        <v>419</v>
      </c>
      <c r="G204" s="6">
        <v>193.18</v>
      </c>
      <c r="H204" s="54">
        <v>8.9499999999999993</v>
      </c>
      <c r="I204" s="54">
        <v>5.21</v>
      </c>
      <c r="J204" s="54">
        <f t="shared" si="39"/>
        <v>14.16</v>
      </c>
      <c r="K204" s="54">
        <f>G204*J204</f>
        <v>2735.4288000000001</v>
      </c>
    </row>
    <row r="205" spans="2:11" ht="15" customHeight="1" x14ac:dyDescent="0.25">
      <c r="B205" s="51" t="s">
        <v>320</v>
      </c>
      <c r="C205" s="83" t="s">
        <v>111</v>
      </c>
      <c r="D205" s="84"/>
      <c r="E205" s="84"/>
      <c r="F205" s="84"/>
      <c r="G205" s="84"/>
      <c r="H205" s="84"/>
      <c r="I205" s="84"/>
      <c r="J205" s="84"/>
      <c r="K205" s="85"/>
    </row>
    <row r="206" spans="2:11" x14ac:dyDescent="0.25">
      <c r="B206" s="50" t="s">
        <v>321</v>
      </c>
      <c r="C206" s="5" t="s">
        <v>13</v>
      </c>
      <c r="D206" s="7">
        <v>260104</v>
      </c>
      <c r="E206" s="9" t="s">
        <v>112</v>
      </c>
      <c r="F206" s="53" t="s">
        <v>419</v>
      </c>
      <c r="G206" s="6">
        <f>(G209+G211)*0.3</f>
        <v>159.96299999999999</v>
      </c>
      <c r="H206" s="54">
        <v>8.34</v>
      </c>
      <c r="I206" s="54">
        <v>0</v>
      </c>
      <c r="J206" s="54">
        <f t="shared" ref="J206:J211" si="40">H206+I206</f>
        <v>8.34</v>
      </c>
      <c r="K206" s="54">
        <f t="shared" ref="K206:K211" si="41">G206*J206</f>
        <v>1334.09142</v>
      </c>
    </row>
    <row r="207" spans="2:11" x14ac:dyDescent="0.25">
      <c r="B207" s="50" t="s">
        <v>317</v>
      </c>
      <c r="C207" s="5" t="s">
        <v>13</v>
      </c>
      <c r="D207" s="7">
        <v>260105</v>
      </c>
      <c r="E207" s="9" t="s">
        <v>115</v>
      </c>
      <c r="F207" s="53" t="s">
        <v>419</v>
      </c>
      <c r="G207" s="6">
        <f>G210*0.35</f>
        <v>66.003</v>
      </c>
      <c r="H207" s="54">
        <v>10.43</v>
      </c>
      <c r="I207" s="54">
        <v>1.95</v>
      </c>
      <c r="J207" s="54">
        <f t="shared" si="40"/>
        <v>12.379999999999999</v>
      </c>
      <c r="K207" s="54">
        <f t="shared" si="41"/>
        <v>817.11713999999995</v>
      </c>
    </row>
    <row r="208" spans="2:11" x14ac:dyDescent="0.25">
      <c r="B208" s="50" t="s">
        <v>327</v>
      </c>
      <c r="C208" s="5" t="s">
        <v>13</v>
      </c>
      <c r="D208" s="7">
        <v>261304</v>
      </c>
      <c r="E208" s="9" t="s">
        <v>114</v>
      </c>
      <c r="F208" s="53" t="s">
        <v>419</v>
      </c>
      <c r="G208" s="6">
        <f>(G209*0.3)+(G210*0.35)</f>
        <v>198.16199999999998</v>
      </c>
      <c r="H208" s="54">
        <v>15.81</v>
      </c>
      <c r="I208" s="54">
        <v>6.71</v>
      </c>
      <c r="J208" s="54">
        <f t="shared" si="40"/>
        <v>22.52</v>
      </c>
      <c r="K208" s="54">
        <f t="shared" si="41"/>
        <v>4462.6082399999996</v>
      </c>
    </row>
    <row r="209" spans="2:11" x14ac:dyDescent="0.25">
      <c r="B209" s="50" t="s">
        <v>331</v>
      </c>
      <c r="C209" s="5" t="s">
        <v>13</v>
      </c>
      <c r="D209" s="7">
        <v>261000</v>
      </c>
      <c r="E209" s="9" t="s">
        <v>32</v>
      </c>
      <c r="F209" s="53" t="s">
        <v>419</v>
      </c>
      <c r="G209" s="6">
        <f>217.35+223.18</f>
        <v>440.53</v>
      </c>
      <c r="H209" s="54">
        <v>10.65</v>
      </c>
      <c r="I209" s="54">
        <v>5.74</v>
      </c>
      <c r="J209" s="54">
        <f t="shared" si="40"/>
        <v>16.39</v>
      </c>
      <c r="K209" s="54">
        <f t="shared" si="41"/>
        <v>7220.2866999999997</v>
      </c>
    </row>
    <row r="210" spans="2:11" x14ac:dyDescent="0.25">
      <c r="B210" s="50" t="s">
        <v>332</v>
      </c>
      <c r="C210" s="5" t="s">
        <v>13</v>
      </c>
      <c r="D210" s="7">
        <v>261550</v>
      </c>
      <c r="E210" s="9" t="s">
        <v>443</v>
      </c>
      <c r="F210" s="53" t="s">
        <v>419</v>
      </c>
      <c r="G210" s="6">
        <f>(188.58)</f>
        <v>188.58</v>
      </c>
      <c r="H210" s="54">
        <v>11.94</v>
      </c>
      <c r="I210" s="54">
        <v>6.94</v>
      </c>
      <c r="J210" s="54">
        <f t="shared" si="40"/>
        <v>18.88</v>
      </c>
      <c r="K210" s="54">
        <f t="shared" si="41"/>
        <v>3560.3904000000002</v>
      </c>
    </row>
    <row r="211" spans="2:11" x14ac:dyDescent="0.25">
      <c r="B211" s="50" t="s">
        <v>337</v>
      </c>
      <c r="C211" s="5" t="s">
        <v>13</v>
      </c>
      <c r="D211" s="7">
        <v>260601</v>
      </c>
      <c r="E211" s="9" t="s">
        <v>198</v>
      </c>
      <c r="F211" s="53" t="s">
        <v>419</v>
      </c>
      <c r="G211" s="6">
        <f>92.68</f>
        <v>92.68</v>
      </c>
      <c r="H211" s="54">
        <v>9.65</v>
      </c>
      <c r="I211" s="54">
        <v>7.45</v>
      </c>
      <c r="J211" s="54">
        <f t="shared" si="40"/>
        <v>17.100000000000001</v>
      </c>
      <c r="K211" s="54">
        <f t="shared" si="41"/>
        <v>1584.8280000000002</v>
      </c>
    </row>
    <row r="212" spans="2:11" ht="15" customHeight="1" x14ac:dyDescent="0.25">
      <c r="B212" s="51" t="s">
        <v>322</v>
      </c>
      <c r="C212" s="83" t="s">
        <v>333</v>
      </c>
      <c r="D212" s="84"/>
      <c r="E212" s="84"/>
      <c r="F212" s="84"/>
      <c r="G212" s="84"/>
      <c r="H212" s="84"/>
      <c r="I212" s="84"/>
      <c r="J212" s="84"/>
      <c r="K212" s="85"/>
    </row>
    <row r="213" spans="2:11" x14ac:dyDescent="0.25">
      <c r="B213" s="50" t="s">
        <v>323</v>
      </c>
      <c r="C213" s="5" t="s">
        <v>13</v>
      </c>
      <c r="D213" s="7">
        <v>260104</v>
      </c>
      <c r="E213" s="9" t="s">
        <v>112</v>
      </c>
      <c r="F213" s="53" t="s">
        <v>419</v>
      </c>
      <c r="G213" s="6">
        <f>G214*0.3</f>
        <v>237.04799999999997</v>
      </c>
      <c r="H213" s="54">
        <v>8.34</v>
      </c>
      <c r="I213" s="54">
        <v>0</v>
      </c>
      <c r="J213" s="54">
        <f t="shared" ref="J213:J214" si="42">H213+I213</f>
        <v>8.34</v>
      </c>
      <c r="K213" s="54">
        <f>G213*J213</f>
        <v>1976.9803199999997</v>
      </c>
    </row>
    <row r="214" spans="2:11" x14ac:dyDescent="0.25">
      <c r="B214" s="50" t="s">
        <v>324</v>
      </c>
      <c r="C214" s="5" t="s">
        <v>13</v>
      </c>
      <c r="D214" s="7">
        <v>260601</v>
      </c>
      <c r="E214" s="9" t="s">
        <v>198</v>
      </c>
      <c r="F214" s="53" t="s">
        <v>419</v>
      </c>
      <c r="G214" s="6">
        <f>((289.63+10.27)+(136.88)+(174.65+8))+(153.27+17.46)</f>
        <v>790.16</v>
      </c>
      <c r="H214" s="54">
        <v>9.65</v>
      </c>
      <c r="I214" s="54">
        <v>7.45</v>
      </c>
      <c r="J214" s="54">
        <f t="shared" si="42"/>
        <v>17.100000000000001</v>
      </c>
      <c r="K214" s="54">
        <f>G214*J214</f>
        <v>13511.736000000001</v>
      </c>
    </row>
    <row r="215" spans="2:11" ht="15" customHeight="1" x14ac:dyDescent="0.25">
      <c r="B215" s="51" t="s">
        <v>325</v>
      </c>
      <c r="C215" s="83" t="s">
        <v>98</v>
      </c>
      <c r="D215" s="84"/>
      <c r="E215" s="84"/>
      <c r="F215" s="84"/>
      <c r="G215" s="84"/>
      <c r="H215" s="84"/>
      <c r="I215" s="84"/>
      <c r="J215" s="84"/>
      <c r="K215" s="85"/>
    </row>
    <row r="216" spans="2:11" x14ac:dyDescent="0.25">
      <c r="B216" s="50" t="s">
        <v>326</v>
      </c>
      <c r="C216" s="5" t="s">
        <v>13</v>
      </c>
      <c r="D216" s="7">
        <v>261602</v>
      </c>
      <c r="E216" s="9" t="s">
        <v>444</v>
      </c>
      <c r="F216" s="53" t="s">
        <v>419</v>
      </c>
      <c r="G216" s="6">
        <f>103.32+25.73</f>
        <v>129.04999999999998</v>
      </c>
      <c r="H216" s="54">
        <v>20.190000000000001</v>
      </c>
      <c r="I216" s="54">
        <v>11.86</v>
      </c>
      <c r="J216" s="54">
        <f t="shared" ref="J216:J218" si="43">H216+I216</f>
        <v>32.049999999999997</v>
      </c>
      <c r="K216" s="54">
        <f>G216*J216</f>
        <v>4136.0524999999989</v>
      </c>
    </row>
    <row r="217" spans="2:11" x14ac:dyDescent="0.25">
      <c r="B217" s="50" t="s">
        <v>328</v>
      </c>
      <c r="C217" s="5" t="s">
        <v>13</v>
      </c>
      <c r="D217" s="7">
        <v>261501</v>
      </c>
      <c r="E217" s="9" t="s">
        <v>116</v>
      </c>
      <c r="F217" s="53" t="s">
        <v>419</v>
      </c>
      <c r="G217" s="6">
        <f>G218*0.3</f>
        <v>24.947999999999997</v>
      </c>
      <c r="H217" s="54">
        <v>15.81</v>
      </c>
      <c r="I217" s="54">
        <v>9.93</v>
      </c>
      <c r="J217" s="54">
        <f t="shared" si="43"/>
        <v>25.740000000000002</v>
      </c>
      <c r="K217" s="54">
        <f>G217*J217</f>
        <v>642.16152</v>
      </c>
    </row>
    <row r="218" spans="2:11" x14ac:dyDescent="0.25">
      <c r="B218" s="50" t="s">
        <v>334</v>
      </c>
      <c r="C218" s="5" t="s">
        <v>13</v>
      </c>
      <c r="D218" s="7">
        <v>260901</v>
      </c>
      <c r="E218" s="9" t="s">
        <v>34</v>
      </c>
      <c r="F218" s="53" t="s">
        <v>419</v>
      </c>
      <c r="G218" s="6">
        <v>83.16</v>
      </c>
      <c r="H218" s="54">
        <v>8.9499999999999993</v>
      </c>
      <c r="I218" s="54">
        <v>19.350000000000001</v>
      </c>
      <c r="J218" s="54">
        <f t="shared" si="43"/>
        <v>28.3</v>
      </c>
      <c r="K218" s="54">
        <f>G218*J218</f>
        <v>2353.4279999999999</v>
      </c>
    </row>
    <row r="219" spans="2:11" s="11" customFormat="1" ht="15.6" x14ac:dyDescent="0.3">
      <c r="B219" s="96" t="s">
        <v>36</v>
      </c>
      <c r="C219" s="97"/>
      <c r="D219" s="97"/>
      <c r="E219" s="97"/>
      <c r="F219" s="97"/>
      <c r="G219" s="97"/>
      <c r="H219" s="97"/>
      <c r="I219" s="97"/>
      <c r="J219" s="98">
        <f t="shared" ref="J219" si="44">H219+I219</f>
        <v>0</v>
      </c>
      <c r="K219" s="55">
        <f>SUM(K202:K218)</f>
        <v>45282.850120000003</v>
      </c>
    </row>
    <row r="220" spans="2:11" ht="15.6" x14ac:dyDescent="0.3">
      <c r="B220" s="49">
        <v>12</v>
      </c>
      <c r="C220" s="93" t="s">
        <v>27</v>
      </c>
      <c r="D220" s="94"/>
      <c r="E220" s="94"/>
      <c r="F220" s="94"/>
      <c r="G220" s="94"/>
      <c r="H220" s="94"/>
      <c r="I220" s="94"/>
      <c r="J220" s="94"/>
      <c r="K220" s="95"/>
    </row>
    <row r="221" spans="2:11" x14ac:dyDescent="0.25">
      <c r="B221" s="50" t="s">
        <v>302</v>
      </c>
      <c r="C221" s="5" t="s">
        <v>13</v>
      </c>
      <c r="D221" s="7">
        <v>270501</v>
      </c>
      <c r="E221" s="9" t="s">
        <v>28</v>
      </c>
      <c r="F221" s="53" t="s">
        <v>419</v>
      </c>
      <c r="G221" s="6">
        <f>G18</f>
        <v>355.12</v>
      </c>
      <c r="H221" s="54">
        <v>3.12</v>
      </c>
      <c r="I221" s="54">
        <v>1.8</v>
      </c>
      <c r="J221" s="54">
        <f t="shared" ref="J221:J226" si="45">H221+I221</f>
        <v>4.92</v>
      </c>
      <c r="K221" s="54">
        <f t="shared" ref="K221:K226" si="46">G221*J221</f>
        <v>1747.1904</v>
      </c>
    </row>
    <row r="222" spans="2:11" x14ac:dyDescent="0.25">
      <c r="B222" s="50" t="s">
        <v>303</v>
      </c>
      <c r="C222" s="5" t="s">
        <v>13</v>
      </c>
      <c r="D222" s="7">
        <v>271852</v>
      </c>
      <c r="E222" s="9" t="s">
        <v>336</v>
      </c>
      <c r="F222" s="53" t="s">
        <v>420</v>
      </c>
      <c r="G222" s="6">
        <v>3</v>
      </c>
      <c r="H222" s="54">
        <v>0</v>
      </c>
      <c r="I222" s="54">
        <v>701.22</v>
      </c>
      <c r="J222" s="54">
        <f t="shared" si="45"/>
        <v>701.22</v>
      </c>
      <c r="K222" s="54">
        <f t="shared" si="46"/>
        <v>2103.66</v>
      </c>
    </row>
    <row r="223" spans="2:11" x14ac:dyDescent="0.25">
      <c r="B223" s="50" t="s">
        <v>304</v>
      </c>
      <c r="C223" s="5" t="s">
        <v>13</v>
      </c>
      <c r="D223" s="7">
        <v>270210</v>
      </c>
      <c r="E223" s="9" t="s">
        <v>445</v>
      </c>
      <c r="F223" s="53" t="s">
        <v>419</v>
      </c>
      <c r="G223" s="6">
        <v>9.94</v>
      </c>
      <c r="H223" s="54">
        <v>8.83</v>
      </c>
      <c r="I223" s="54">
        <v>23.09</v>
      </c>
      <c r="J223" s="54">
        <f t="shared" si="45"/>
        <v>31.92</v>
      </c>
      <c r="K223" s="54">
        <f t="shared" si="46"/>
        <v>317.28480000000002</v>
      </c>
    </row>
    <row r="224" spans="2:11" x14ac:dyDescent="0.25">
      <c r="B224" s="50" t="s">
        <v>308</v>
      </c>
      <c r="C224" s="5" t="s">
        <v>13</v>
      </c>
      <c r="D224" s="7">
        <v>85006</v>
      </c>
      <c r="E224" s="9" t="s">
        <v>305</v>
      </c>
      <c r="F224" s="53" t="s">
        <v>424</v>
      </c>
      <c r="G224" s="6">
        <v>1</v>
      </c>
      <c r="H224" s="54">
        <v>22.49</v>
      </c>
      <c r="I224" s="54">
        <v>193.28</v>
      </c>
      <c r="J224" s="54">
        <f t="shared" si="45"/>
        <v>215.77</v>
      </c>
      <c r="K224" s="54">
        <f t="shared" si="46"/>
        <v>215.77</v>
      </c>
    </row>
    <row r="225" spans="2:12" x14ac:dyDescent="0.25">
      <c r="B225" s="50" t="s">
        <v>309</v>
      </c>
      <c r="C225" s="5" t="s">
        <v>13</v>
      </c>
      <c r="D225" s="7">
        <v>71598</v>
      </c>
      <c r="E225" s="9" t="s">
        <v>306</v>
      </c>
      <c r="F225" s="53" t="s">
        <v>424</v>
      </c>
      <c r="G225" s="6">
        <v>2</v>
      </c>
      <c r="H225" s="54">
        <v>8.64</v>
      </c>
      <c r="I225" s="54">
        <v>19.2</v>
      </c>
      <c r="J225" s="54">
        <f t="shared" si="45"/>
        <v>27.84</v>
      </c>
      <c r="K225" s="54">
        <f t="shared" si="46"/>
        <v>55.68</v>
      </c>
    </row>
    <row r="226" spans="2:12" ht="26.4" x14ac:dyDescent="0.25">
      <c r="B226" s="50" t="s">
        <v>310</v>
      </c>
      <c r="C226" s="5" t="s">
        <v>13</v>
      </c>
      <c r="D226" s="7">
        <v>91046</v>
      </c>
      <c r="E226" s="62" t="s">
        <v>307</v>
      </c>
      <c r="F226" s="53" t="s">
        <v>424</v>
      </c>
      <c r="G226" s="6">
        <v>3</v>
      </c>
      <c r="H226" s="54">
        <v>2.1</v>
      </c>
      <c r="I226" s="54">
        <v>55.51</v>
      </c>
      <c r="J226" s="54">
        <f t="shared" si="45"/>
        <v>57.61</v>
      </c>
      <c r="K226" s="54">
        <f t="shared" si="46"/>
        <v>172.82999999999998</v>
      </c>
    </row>
    <row r="227" spans="2:12" s="11" customFormat="1" ht="15.6" x14ac:dyDescent="0.3">
      <c r="B227" s="96" t="s">
        <v>36</v>
      </c>
      <c r="C227" s="97"/>
      <c r="D227" s="97"/>
      <c r="E227" s="97"/>
      <c r="F227" s="97"/>
      <c r="G227" s="97"/>
      <c r="H227" s="97"/>
      <c r="I227" s="97"/>
      <c r="J227" s="98"/>
      <c r="K227" s="55">
        <f>SUM(K221:K226)</f>
        <v>4612.4152000000004</v>
      </c>
    </row>
    <row r="228" spans="2:12" x14ac:dyDescent="0.25">
      <c r="K228" s="52"/>
    </row>
    <row r="229" spans="2:12" ht="15" customHeight="1" x14ac:dyDescent="0.25">
      <c r="B229" s="100" t="s">
        <v>426</v>
      </c>
      <c r="C229" s="100"/>
      <c r="D229" s="100"/>
      <c r="E229" s="100"/>
      <c r="F229" s="100"/>
      <c r="G229" s="100"/>
      <c r="H229" s="100"/>
      <c r="I229" s="101" t="s">
        <v>429</v>
      </c>
      <c r="J229" s="101"/>
      <c r="K229" s="55">
        <f>SUM(K21,K27,K43,K65,K71,K79,K138,K176,K189,K199,K219,K227)</f>
        <v>250113.69481999998</v>
      </c>
    </row>
    <row r="230" spans="2:12" ht="15.6" x14ac:dyDescent="0.3">
      <c r="B230" s="56"/>
      <c r="C230" s="56"/>
      <c r="D230" s="56"/>
      <c r="E230" s="56"/>
      <c r="F230" s="56"/>
      <c r="G230" s="56"/>
      <c r="I230" s="59" t="s">
        <v>427</v>
      </c>
      <c r="J230" s="60">
        <v>0.27739999999999998</v>
      </c>
      <c r="K230" s="58">
        <f>K229*J230</f>
        <v>69381.538943067993</v>
      </c>
      <c r="L230" s="46"/>
    </row>
    <row r="231" spans="2:12" ht="15.6" x14ac:dyDescent="0.25">
      <c r="I231" s="102" t="s">
        <v>428</v>
      </c>
      <c r="J231" s="102"/>
      <c r="K231" s="55">
        <f>SUM(K229:K230)</f>
        <v>319495.23376306798</v>
      </c>
    </row>
    <row r="233" spans="2:12" s="13" customFormat="1" ht="15.6" x14ac:dyDescent="0.3">
      <c r="B233" s="57"/>
      <c r="C233" s="57"/>
      <c r="D233" s="57"/>
      <c r="E233" s="57"/>
      <c r="F233" s="57"/>
      <c r="G233" s="57"/>
      <c r="H233" s="57"/>
      <c r="I233" s="57"/>
      <c r="J233" s="57"/>
      <c r="K233" s="57"/>
      <c r="L233" s="44"/>
    </row>
    <row r="234" spans="2:12" s="13" customFormat="1" ht="15.6" x14ac:dyDescent="0.3">
      <c r="B234" s="99" t="s">
        <v>418</v>
      </c>
      <c r="C234" s="99"/>
      <c r="D234" s="99"/>
      <c r="E234" s="99"/>
      <c r="F234" s="99"/>
      <c r="G234" s="99"/>
      <c r="H234" s="99"/>
      <c r="I234" s="99"/>
      <c r="J234" s="99"/>
      <c r="K234" s="99"/>
      <c r="L234" s="44"/>
    </row>
    <row r="235" spans="2:12" s="13" customFormat="1" ht="15.6" x14ac:dyDescent="0.3">
      <c r="B235" s="92" t="s">
        <v>417</v>
      </c>
      <c r="C235" s="92"/>
      <c r="D235" s="92"/>
      <c r="E235" s="92"/>
      <c r="F235" s="92"/>
      <c r="G235" s="92"/>
      <c r="H235" s="92"/>
      <c r="I235" s="92"/>
      <c r="J235" s="92"/>
      <c r="K235" s="92"/>
      <c r="L235" s="44"/>
    </row>
    <row r="236" spans="2:12" s="13" customFormat="1" ht="15.6" x14ac:dyDescent="0.3">
      <c r="B236" s="45"/>
      <c r="C236" s="43"/>
      <c r="D236" s="45"/>
      <c r="E236" s="44"/>
      <c r="F236" s="44"/>
      <c r="G236" s="44"/>
      <c r="H236" s="44"/>
      <c r="I236" s="44"/>
      <c r="J236" s="44"/>
      <c r="K236" s="44"/>
      <c r="L236" s="44"/>
    </row>
  </sheetData>
  <mergeCells count="58">
    <mergeCell ref="B219:J219"/>
    <mergeCell ref="C220:K220"/>
    <mergeCell ref="B227:J227"/>
    <mergeCell ref="C28:K28"/>
    <mergeCell ref="B43:J43"/>
    <mergeCell ref="C44:K44"/>
    <mergeCell ref="B65:J65"/>
    <mergeCell ref="C66:K66"/>
    <mergeCell ref="C178:K178"/>
    <mergeCell ref="C167:K167"/>
    <mergeCell ref="B235:K235"/>
    <mergeCell ref="C80:K80"/>
    <mergeCell ref="B138:J138"/>
    <mergeCell ref="C139:K139"/>
    <mergeCell ref="B234:K234"/>
    <mergeCell ref="C190:K190"/>
    <mergeCell ref="B199:J199"/>
    <mergeCell ref="C177:K177"/>
    <mergeCell ref="B189:J189"/>
    <mergeCell ref="B229:H229"/>
    <mergeCell ref="I229:J229"/>
    <mergeCell ref="I231:J231"/>
    <mergeCell ref="B176:J176"/>
    <mergeCell ref="C200:K200"/>
    <mergeCell ref="C215:K215"/>
    <mergeCell ref="C212:K212"/>
    <mergeCell ref="C205:K205"/>
    <mergeCell ref="C201:K201"/>
    <mergeCell ref="C183:K183"/>
    <mergeCell ref="B6:K6"/>
    <mergeCell ref="B7:K7"/>
    <mergeCell ref="B8:K8"/>
    <mergeCell ref="C35:K35"/>
    <mergeCell ref="C29:K29"/>
    <mergeCell ref="B27:J27"/>
    <mergeCell ref="C22:K22"/>
    <mergeCell ref="B12:H12"/>
    <mergeCell ref="I12:K12"/>
    <mergeCell ref="B9:K9"/>
    <mergeCell ref="B13:K13"/>
    <mergeCell ref="B14:K14"/>
    <mergeCell ref="C16:K16"/>
    <mergeCell ref="B21:J21"/>
    <mergeCell ref="B10:K10"/>
    <mergeCell ref="B11:K11"/>
    <mergeCell ref="C161:K161"/>
    <mergeCell ref="C154:K154"/>
    <mergeCell ref="C140:K140"/>
    <mergeCell ref="C123:K123"/>
    <mergeCell ref="C103:K103"/>
    <mergeCell ref="C100:K100"/>
    <mergeCell ref="C81:K81"/>
    <mergeCell ref="C57:K57"/>
    <mergeCell ref="C51:K51"/>
    <mergeCell ref="C45:K45"/>
    <mergeCell ref="B71:J71"/>
    <mergeCell ref="C72:K72"/>
    <mergeCell ref="B79:J79"/>
  </mergeCells>
  <phoneticPr fontId="18" type="noConversion"/>
  <printOptions horizontalCentered="1"/>
  <pageMargins left="0.51181102362204722" right="0.51181102362204722" top="0.55118110236220474" bottom="0.55118110236220474" header="0.31496062992125984" footer="0.31496062992125984"/>
  <pageSetup paperSize="9" scale="51" fitToHeight="0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3A0F15-2A94-46B5-AF56-A61ED0DED995}">
  <sheetPr>
    <pageSetUpPr fitToPage="1"/>
  </sheetPr>
  <dimension ref="A6:P36"/>
  <sheetViews>
    <sheetView zoomScale="90" zoomScaleNormal="90" workbookViewId="0">
      <selection activeCell="A8" sqref="A8:O8"/>
    </sheetView>
  </sheetViews>
  <sheetFormatPr defaultColWidth="9.109375" defaultRowHeight="15" x14ac:dyDescent="0.3"/>
  <cols>
    <col min="1" max="1" width="6.6640625" style="15" bestFit="1" customWidth="1"/>
    <col min="2" max="2" width="40.6640625" style="15" bestFit="1" customWidth="1"/>
    <col min="3" max="3" width="11.44140625" style="15" bestFit="1" customWidth="1"/>
    <col min="4" max="4" width="9.33203125" style="15" bestFit="1" customWidth="1"/>
    <col min="5" max="5" width="12.6640625" style="15" bestFit="1" customWidth="1"/>
    <col min="6" max="6" width="9.33203125" style="15" bestFit="1" customWidth="1"/>
    <col min="7" max="7" width="12.6640625" style="15" bestFit="1" customWidth="1"/>
    <col min="8" max="8" width="9.33203125" style="15" bestFit="1" customWidth="1"/>
    <col min="9" max="9" width="12.6640625" style="15" bestFit="1" customWidth="1"/>
    <col min="10" max="10" width="9.33203125" style="15" bestFit="1" customWidth="1"/>
    <col min="11" max="11" width="12.6640625" style="15" bestFit="1" customWidth="1"/>
    <col min="12" max="12" width="10.5546875" style="15" bestFit="1" customWidth="1"/>
    <col min="13" max="13" width="11.109375" style="15" bestFit="1" customWidth="1"/>
    <col min="14" max="14" width="12.6640625" style="14" bestFit="1" customWidth="1"/>
    <col min="15" max="15" width="10.5546875" style="14" bestFit="1" customWidth="1"/>
    <col min="16" max="16" width="9.109375" style="15" hidden="1" customWidth="1"/>
    <col min="17" max="16384" width="9.109375" style="15"/>
  </cols>
  <sheetData>
    <row r="6" spans="1:16" ht="20.399999999999999" x14ac:dyDescent="0.3">
      <c r="A6" s="111" t="s">
        <v>434</v>
      </c>
      <c r="B6" s="111"/>
      <c r="C6" s="111"/>
      <c r="D6" s="111"/>
      <c r="E6" s="111"/>
      <c r="F6" s="111"/>
      <c r="G6" s="111"/>
      <c r="H6" s="111"/>
      <c r="I6" s="111"/>
      <c r="J6" s="111"/>
      <c r="K6" s="111"/>
      <c r="L6" s="111"/>
      <c r="M6" s="111"/>
      <c r="N6" s="111"/>
      <c r="O6" s="111"/>
    </row>
    <row r="7" spans="1:16" x14ac:dyDescent="0.3">
      <c r="A7" s="110" t="s">
        <v>449</v>
      </c>
      <c r="B7" s="110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0"/>
    </row>
    <row r="8" spans="1:16" ht="15" customHeight="1" x14ac:dyDescent="0.3">
      <c r="A8" s="109" t="s">
        <v>435</v>
      </c>
      <c r="B8" s="109"/>
      <c r="C8" s="109"/>
      <c r="D8" s="109"/>
      <c r="E8" s="109"/>
      <c r="F8" s="109"/>
      <c r="G8" s="109"/>
      <c r="H8" s="109"/>
      <c r="I8" s="109"/>
      <c r="J8" s="109"/>
      <c r="K8" s="109"/>
      <c r="L8" s="109"/>
      <c r="M8" s="109"/>
      <c r="N8" s="109"/>
      <c r="O8" s="109"/>
    </row>
    <row r="9" spans="1:16" customFormat="1" ht="15.6" x14ac:dyDescent="0.3">
      <c r="A9" s="10"/>
      <c r="N9" s="13"/>
      <c r="O9" s="13"/>
    </row>
    <row r="10" spans="1:16" customFormat="1" ht="15.6" x14ac:dyDescent="0.3">
      <c r="A10" s="108" t="s">
        <v>446</v>
      </c>
      <c r="B10" s="108"/>
      <c r="C10" s="108"/>
      <c r="D10" s="108"/>
      <c r="E10" s="108"/>
      <c r="F10" s="108"/>
      <c r="G10" s="108"/>
      <c r="H10" s="108"/>
      <c r="I10" s="108"/>
      <c r="J10" s="108"/>
      <c r="K10" s="108"/>
      <c r="L10" s="108"/>
      <c r="M10" s="108"/>
      <c r="N10" s="108"/>
      <c r="O10" s="108"/>
    </row>
    <row r="11" spans="1:16" customFormat="1" ht="15.6" x14ac:dyDescent="0.3">
      <c r="A11" s="104" t="s">
        <v>447</v>
      </c>
      <c r="B11" s="104"/>
      <c r="C11" s="104"/>
      <c r="D11" s="104"/>
      <c r="E11" s="104"/>
      <c r="F11" s="104"/>
      <c r="G11" s="104"/>
      <c r="H11" s="104"/>
      <c r="I11" s="104"/>
      <c r="J11" s="104"/>
      <c r="K11" s="104"/>
      <c r="L11" s="104"/>
      <c r="M11" s="104"/>
      <c r="N11" s="104"/>
      <c r="O11" s="104"/>
    </row>
    <row r="12" spans="1:16" ht="15.6" x14ac:dyDescent="0.3">
      <c r="A12" s="40"/>
      <c r="B12" s="16"/>
      <c r="C12" s="16"/>
      <c r="D12" s="16"/>
      <c r="E12" s="16"/>
      <c r="F12" s="16"/>
      <c r="G12" s="16"/>
      <c r="H12" s="16"/>
      <c r="I12" s="17"/>
      <c r="J12" s="17"/>
      <c r="K12" s="17"/>
      <c r="L12" s="17"/>
      <c r="M12" s="17"/>
      <c r="N12" s="41"/>
      <c r="O12" s="41"/>
    </row>
    <row r="13" spans="1:16" customFormat="1" ht="15.6" x14ac:dyDescent="0.3">
      <c r="A13" s="126" t="s">
        <v>37</v>
      </c>
      <c r="B13" s="126"/>
      <c r="C13" s="126"/>
      <c r="D13" s="126"/>
      <c r="E13" s="126"/>
      <c r="F13" s="126"/>
      <c r="G13" s="126"/>
      <c r="H13" s="126"/>
      <c r="I13" s="126"/>
      <c r="J13" s="126"/>
      <c r="K13" s="126"/>
      <c r="L13" s="126"/>
      <c r="M13" s="126"/>
      <c r="N13" s="126"/>
      <c r="O13" s="126"/>
    </row>
    <row r="14" spans="1:16" s="13" customFormat="1" ht="15.6" x14ac:dyDescent="0.3">
      <c r="A14" s="112" t="s">
        <v>0</v>
      </c>
      <c r="B14" s="112" t="s">
        <v>404</v>
      </c>
      <c r="C14" s="116" t="s">
        <v>405</v>
      </c>
      <c r="D14" s="127"/>
      <c r="E14" s="116" t="s">
        <v>406</v>
      </c>
      <c r="F14" s="127"/>
      <c r="G14" s="116" t="s">
        <v>407</v>
      </c>
      <c r="H14" s="127"/>
      <c r="I14" s="115" t="s">
        <v>408</v>
      </c>
      <c r="J14" s="116"/>
      <c r="K14" s="115" t="s">
        <v>450</v>
      </c>
      <c r="L14" s="116"/>
      <c r="M14" s="112" t="s">
        <v>452</v>
      </c>
      <c r="N14" s="115" t="s">
        <v>36</v>
      </c>
      <c r="O14" s="115"/>
    </row>
    <row r="15" spans="1:16" s="13" customFormat="1" ht="15.6" x14ac:dyDescent="0.3">
      <c r="A15" s="113"/>
      <c r="B15" s="113"/>
      <c r="C15" s="65" t="s">
        <v>93</v>
      </c>
      <c r="D15" s="65" t="s">
        <v>31</v>
      </c>
      <c r="E15" s="65" t="s">
        <v>93</v>
      </c>
      <c r="F15" s="65" t="s">
        <v>31</v>
      </c>
      <c r="G15" s="65" t="s">
        <v>93</v>
      </c>
      <c r="H15" s="65" t="s">
        <v>31</v>
      </c>
      <c r="I15" s="65" t="s">
        <v>93</v>
      </c>
      <c r="J15" s="64" t="s">
        <v>31</v>
      </c>
      <c r="K15" s="64" t="s">
        <v>451</v>
      </c>
      <c r="L15" s="64" t="s">
        <v>31</v>
      </c>
      <c r="M15" s="113"/>
      <c r="N15" s="65" t="s">
        <v>93</v>
      </c>
      <c r="O15" s="65" t="s">
        <v>31</v>
      </c>
    </row>
    <row r="16" spans="1:16" customFormat="1" ht="15.6" x14ac:dyDescent="0.3">
      <c r="A16" s="65">
        <v>1</v>
      </c>
      <c r="B16" s="66" t="s">
        <v>9</v>
      </c>
      <c r="C16" s="77">
        <f>D16*N16</f>
        <v>11022.565873334401</v>
      </c>
      <c r="D16" s="79">
        <v>0.28000000000000003</v>
      </c>
      <c r="E16" s="77">
        <f>F16*N16</f>
        <v>7085.9352042863993</v>
      </c>
      <c r="F16" s="80">
        <v>0.18</v>
      </c>
      <c r="G16" s="77">
        <f>H16*N16</f>
        <v>7085.9352042863993</v>
      </c>
      <c r="H16" s="80">
        <v>0.18</v>
      </c>
      <c r="I16" s="77">
        <f>J16*N16</f>
        <v>7085.9352042863993</v>
      </c>
      <c r="J16" s="80">
        <v>0.18</v>
      </c>
      <c r="K16" s="78">
        <f>L16*N16</f>
        <v>7085.9352042863993</v>
      </c>
      <c r="L16" s="81">
        <v>0.18</v>
      </c>
      <c r="M16" s="67">
        <f>IF(P16&lt;=100,D16+F16+H16+J16+L16,"INVALIDO")</f>
        <v>1</v>
      </c>
      <c r="N16" s="68">
        <f>'ORÇAMENTO CREAS'!K21*(1+'ORÇAMENTO CREAS'!J230)</f>
        <v>39366.30669048</v>
      </c>
      <c r="O16" s="69">
        <f>N16/$N$28</f>
        <v>0.12321406559596237</v>
      </c>
      <c r="P16" s="63">
        <f>D16+F16+H16+J16+L16</f>
        <v>1</v>
      </c>
    </row>
    <row r="17" spans="1:16" customFormat="1" ht="15.6" x14ac:dyDescent="0.3">
      <c r="A17" s="65">
        <v>2</v>
      </c>
      <c r="B17" s="66" t="s">
        <v>151</v>
      </c>
      <c r="C17" s="77">
        <f t="shared" ref="C17:C27" si="0">D17*N17</f>
        <v>2281.1836025399998</v>
      </c>
      <c r="D17" s="79">
        <v>1</v>
      </c>
      <c r="E17" s="77">
        <f t="shared" ref="E17:E27" si="1">F17*N17</f>
        <v>0</v>
      </c>
      <c r="F17" s="79"/>
      <c r="G17" s="77">
        <f t="shared" ref="G17:G27" si="2">H17*N17</f>
        <v>0</v>
      </c>
      <c r="H17" s="79"/>
      <c r="I17" s="77">
        <f t="shared" ref="I17:I27" si="3">J17*N17</f>
        <v>0</v>
      </c>
      <c r="J17" s="79"/>
      <c r="K17" s="78">
        <f t="shared" ref="K17:K27" si="4">L17*N17</f>
        <v>0</v>
      </c>
      <c r="L17" s="82"/>
      <c r="M17" s="67">
        <f t="shared" ref="M17:M27" si="5">IF(P17&lt;=100,D17+F17+H17+J17+L17,"INVALIDO")</f>
        <v>1</v>
      </c>
      <c r="N17" s="68">
        <f>'ORÇAMENTO CREAS'!K27*(1+'ORÇAMENTO CREAS'!J230)</f>
        <v>2281.1836025399998</v>
      </c>
      <c r="O17" s="69">
        <f t="shared" ref="O17:O27" si="6">N17/$N$28</f>
        <v>7.139961293543693E-3</v>
      </c>
      <c r="P17" s="63">
        <f t="shared" ref="P17:P27" si="7">D17+F17+H17+J17+L17</f>
        <v>1</v>
      </c>
    </row>
    <row r="18" spans="1:16" customFormat="1" ht="15.6" x14ac:dyDescent="0.3">
      <c r="A18" s="65">
        <v>3</v>
      </c>
      <c r="B18" s="66" t="s">
        <v>455</v>
      </c>
      <c r="C18" s="77">
        <f t="shared" si="0"/>
        <v>21946.773719700002</v>
      </c>
      <c r="D18" s="79">
        <v>1</v>
      </c>
      <c r="E18" s="77">
        <f t="shared" si="1"/>
        <v>0</v>
      </c>
      <c r="F18" s="79"/>
      <c r="G18" s="77">
        <f t="shared" si="2"/>
        <v>0</v>
      </c>
      <c r="H18" s="79"/>
      <c r="I18" s="77">
        <f t="shared" si="3"/>
        <v>0</v>
      </c>
      <c r="J18" s="79"/>
      <c r="K18" s="78">
        <f t="shared" si="4"/>
        <v>0</v>
      </c>
      <c r="L18" s="82"/>
      <c r="M18" s="67">
        <f t="shared" si="5"/>
        <v>1</v>
      </c>
      <c r="N18" s="68">
        <f>'ORÇAMENTO CREAS'!K43*(1+'ORÇAMENTO CREAS'!J230)</f>
        <v>21946.773719700002</v>
      </c>
      <c r="O18" s="69">
        <f t="shared" si="6"/>
        <v>6.8692022291560503E-2</v>
      </c>
      <c r="P18" s="63">
        <f t="shared" si="7"/>
        <v>1</v>
      </c>
    </row>
    <row r="19" spans="1:16" customFormat="1" ht="15.6" x14ac:dyDescent="0.3">
      <c r="A19" s="65">
        <v>4</v>
      </c>
      <c r="B19" s="66" t="s">
        <v>96</v>
      </c>
      <c r="C19" s="77">
        <f t="shared" si="0"/>
        <v>6879.463764069601</v>
      </c>
      <c r="D19" s="80">
        <v>0.4</v>
      </c>
      <c r="E19" s="77">
        <f t="shared" si="1"/>
        <v>10319.195646104401</v>
      </c>
      <c r="F19" s="79">
        <v>0.6</v>
      </c>
      <c r="G19" s="77">
        <f t="shared" si="2"/>
        <v>0</v>
      </c>
      <c r="H19" s="79"/>
      <c r="I19" s="77">
        <f t="shared" si="3"/>
        <v>0</v>
      </c>
      <c r="J19" s="79"/>
      <c r="K19" s="78">
        <f t="shared" si="4"/>
        <v>0</v>
      </c>
      <c r="L19" s="82"/>
      <c r="M19" s="67">
        <f t="shared" si="5"/>
        <v>1</v>
      </c>
      <c r="N19" s="68">
        <f>'ORÇAMENTO CREAS'!K65*(1+'ORÇAMENTO CREAS'!J230)</f>
        <v>17198.659410174001</v>
      </c>
      <c r="O19" s="69">
        <f t="shared" si="6"/>
        <v>5.3830722942578291E-2</v>
      </c>
      <c r="P19" s="63">
        <f t="shared" si="7"/>
        <v>1</v>
      </c>
    </row>
    <row r="20" spans="1:16" customFormat="1" ht="15.6" x14ac:dyDescent="0.3">
      <c r="A20" s="65">
        <v>5</v>
      </c>
      <c r="B20" s="66" t="s">
        <v>97</v>
      </c>
      <c r="C20" s="77">
        <f t="shared" si="0"/>
        <v>18898.836030047998</v>
      </c>
      <c r="D20" s="80">
        <v>0.4</v>
      </c>
      <c r="E20" s="77">
        <f t="shared" si="1"/>
        <v>28348.254045071997</v>
      </c>
      <c r="F20" s="80">
        <v>0.6</v>
      </c>
      <c r="G20" s="77">
        <f t="shared" si="2"/>
        <v>0</v>
      </c>
      <c r="H20" s="80"/>
      <c r="I20" s="77">
        <f t="shared" si="3"/>
        <v>0</v>
      </c>
      <c r="J20" s="80"/>
      <c r="K20" s="78">
        <f t="shared" si="4"/>
        <v>0</v>
      </c>
      <c r="L20" s="81"/>
      <c r="M20" s="67">
        <f t="shared" si="5"/>
        <v>1</v>
      </c>
      <c r="N20" s="68">
        <f>'ORÇAMENTO CREAS'!K71*(1+'ORÇAMENTO CREAS'!J230)</f>
        <v>47247.090075119995</v>
      </c>
      <c r="O20" s="69">
        <f t="shared" si="6"/>
        <v>0.1478804222480439</v>
      </c>
      <c r="P20" s="63">
        <f t="shared" si="7"/>
        <v>1</v>
      </c>
    </row>
    <row r="21" spans="1:16" customFormat="1" ht="15.6" x14ac:dyDescent="0.3">
      <c r="A21" s="65">
        <v>6</v>
      </c>
      <c r="B21" s="66" t="s">
        <v>10</v>
      </c>
      <c r="C21" s="77">
        <f t="shared" si="0"/>
        <v>0</v>
      </c>
      <c r="D21" s="80"/>
      <c r="E21" s="77">
        <f t="shared" si="1"/>
        <v>0</v>
      </c>
      <c r="F21" s="80"/>
      <c r="G21" s="77">
        <f t="shared" si="2"/>
        <v>18284.951952108</v>
      </c>
      <c r="H21" s="80">
        <v>0.53</v>
      </c>
      <c r="I21" s="77">
        <f t="shared" si="3"/>
        <v>10694.971896515999</v>
      </c>
      <c r="J21" s="80">
        <v>0.31</v>
      </c>
      <c r="K21" s="78">
        <f t="shared" si="4"/>
        <v>5519.9854949759992</v>
      </c>
      <c r="L21" s="81">
        <v>0.16</v>
      </c>
      <c r="M21" s="67">
        <f t="shared" si="5"/>
        <v>1</v>
      </c>
      <c r="N21" s="68">
        <f>'ORÇAMENTO CREAS'!K79*(1+'ORÇAMENTO CREAS'!J230)</f>
        <v>34499.909343599997</v>
      </c>
      <c r="O21" s="69">
        <f t="shared" si="6"/>
        <v>0.10798254777467045</v>
      </c>
      <c r="P21" s="63">
        <f t="shared" si="7"/>
        <v>1</v>
      </c>
    </row>
    <row r="22" spans="1:16" customFormat="1" ht="15.6" x14ac:dyDescent="0.3">
      <c r="A22" s="65">
        <v>7</v>
      </c>
      <c r="B22" s="66" t="s">
        <v>454</v>
      </c>
      <c r="C22" s="77">
        <f t="shared" si="0"/>
        <v>0</v>
      </c>
      <c r="D22" s="80"/>
      <c r="E22" s="77">
        <f t="shared" si="1"/>
        <v>0</v>
      </c>
      <c r="F22" s="80"/>
      <c r="G22" s="77">
        <f t="shared" si="2"/>
        <v>3350.9304498023994</v>
      </c>
      <c r="H22" s="80">
        <v>0.4</v>
      </c>
      <c r="I22" s="77">
        <f t="shared" si="3"/>
        <v>4188.6630622529992</v>
      </c>
      <c r="J22" s="80">
        <v>0.5</v>
      </c>
      <c r="K22" s="78">
        <f t="shared" si="4"/>
        <v>837.73261245059985</v>
      </c>
      <c r="L22" s="81">
        <v>0.1</v>
      </c>
      <c r="M22" s="67">
        <f t="shared" si="5"/>
        <v>1</v>
      </c>
      <c r="N22" s="68">
        <f>'ORÇAMENTO CREAS'!K138*(1+'ORÇAMENTO CREAS'!J230)</f>
        <v>8377.3261245059985</v>
      </c>
      <c r="O22" s="69">
        <f t="shared" si="6"/>
        <v>2.6220504217970505E-2</v>
      </c>
      <c r="P22" s="63">
        <f t="shared" si="7"/>
        <v>1</v>
      </c>
    </row>
    <row r="23" spans="1:16" customFormat="1" ht="15.6" x14ac:dyDescent="0.3">
      <c r="A23" s="65">
        <v>8</v>
      </c>
      <c r="B23" s="66" t="s">
        <v>12</v>
      </c>
      <c r="C23" s="77">
        <f t="shared" si="0"/>
        <v>0</v>
      </c>
      <c r="D23" s="80"/>
      <c r="E23" s="77">
        <f t="shared" si="1"/>
        <v>0</v>
      </c>
      <c r="F23" s="80"/>
      <c r="G23" s="77">
        <f t="shared" si="2"/>
        <v>10861.476720000006</v>
      </c>
      <c r="H23" s="80">
        <v>0.4</v>
      </c>
      <c r="I23" s="77">
        <f t="shared" si="3"/>
        <v>13576.845900000006</v>
      </c>
      <c r="J23" s="80">
        <v>0.5</v>
      </c>
      <c r="K23" s="78">
        <f t="shared" si="4"/>
        <v>2715.3691800000015</v>
      </c>
      <c r="L23" s="81">
        <v>0.1</v>
      </c>
      <c r="M23" s="67">
        <f t="shared" si="5"/>
        <v>1</v>
      </c>
      <c r="N23" s="68">
        <f>'ORÇAMENTO CREAS'!K176*(1+'ORÇAMENTO CREAS'!J230)</f>
        <v>27153.691800000011</v>
      </c>
      <c r="O23" s="69">
        <f t="shared" si="6"/>
        <v>8.4989348605233661E-2</v>
      </c>
      <c r="P23" s="63">
        <f t="shared" si="7"/>
        <v>1</v>
      </c>
    </row>
    <row r="24" spans="1:16" customFormat="1" ht="15.6" x14ac:dyDescent="0.3">
      <c r="A24" s="65">
        <v>9</v>
      </c>
      <c r="B24" s="66" t="s">
        <v>453</v>
      </c>
      <c r="C24" s="77">
        <f t="shared" si="0"/>
        <v>0</v>
      </c>
      <c r="D24" s="80"/>
      <c r="E24" s="77">
        <f t="shared" si="1"/>
        <v>0</v>
      </c>
      <c r="F24" s="80"/>
      <c r="G24" s="77">
        <f t="shared" si="2"/>
        <v>8195.5341314880006</v>
      </c>
      <c r="H24" s="80">
        <v>0.2</v>
      </c>
      <c r="I24" s="77">
        <f t="shared" si="3"/>
        <v>16391.068262976001</v>
      </c>
      <c r="J24" s="80">
        <v>0.4</v>
      </c>
      <c r="K24" s="78">
        <f t="shared" si="4"/>
        <v>16391.068262976001</v>
      </c>
      <c r="L24" s="81">
        <v>0.4</v>
      </c>
      <c r="M24" s="67">
        <f t="shared" si="5"/>
        <v>1</v>
      </c>
      <c r="N24" s="68">
        <f>'ORÇAMENTO CREAS'!K189*(1+'ORÇAMENTO CREAS'!J230)</f>
        <v>40977.670657440001</v>
      </c>
      <c r="O24" s="69">
        <f t="shared" si="6"/>
        <v>0.12825753353124608</v>
      </c>
      <c r="P24" s="63">
        <f t="shared" si="7"/>
        <v>1</v>
      </c>
    </row>
    <row r="25" spans="1:16" customFormat="1" ht="15.6" x14ac:dyDescent="0.3">
      <c r="A25" s="65">
        <v>10</v>
      </c>
      <c r="B25" s="66" t="s">
        <v>98</v>
      </c>
      <c r="C25" s="77">
        <f t="shared" si="0"/>
        <v>0</v>
      </c>
      <c r="D25" s="80"/>
      <c r="E25" s="77">
        <f t="shared" si="1"/>
        <v>0</v>
      </c>
      <c r="F25" s="80"/>
      <c r="G25" s="77">
        <f t="shared" si="2"/>
        <v>8355.2052098700005</v>
      </c>
      <c r="H25" s="80">
        <v>0.5</v>
      </c>
      <c r="I25" s="77">
        <f t="shared" si="3"/>
        <v>8355.2052098700005</v>
      </c>
      <c r="J25" s="80">
        <v>0.5</v>
      </c>
      <c r="K25" s="78">
        <f t="shared" si="4"/>
        <v>0</v>
      </c>
      <c r="L25" s="81"/>
      <c r="M25" s="67">
        <f t="shared" si="5"/>
        <v>1</v>
      </c>
      <c r="N25" s="68">
        <f>'ORÇAMENTO CREAS'!K199*(1+'ORÇAMENTO CREAS'!J230)</f>
        <v>16710.410419740001</v>
      </c>
      <c r="O25" s="69">
        <f t="shared" si="6"/>
        <v>5.2302534291112909E-2</v>
      </c>
      <c r="P25" s="63">
        <f t="shared" si="7"/>
        <v>1</v>
      </c>
    </row>
    <row r="26" spans="1:16" customFormat="1" ht="15.6" x14ac:dyDescent="0.3">
      <c r="A26" s="65">
        <v>11</v>
      </c>
      <c r="B26" s="66" t="s">
        <v>33</v>
      </c>
      <c r="C26" s="77">
        <f t="shared" si="0"/>
        <v>0</v>
      </c>
      <c r="D26" s="80"/>
      <c r="E26" s="77">
        <f t="shared" si="1"/>
        <v>0</v>
      </c>
      <c r="F26" s="80"/>
      <c r="G26" s="77">
        <f t="shared" si="2"/>
        <v>0</v>
      </c>
      <c r="H26" s="80"/>
      <c r="I26" s="77">
        <f t="shared" si="3"/>
        <v>28922.156371644003</v>
      </c>
      <c r="J26" s="80">
        <v>0.5</v>
      </c>
      <c r="K26" s="78">
        <f t="shared" si="4"/>
        <v>28922.156371644003</v>
      </c>
      <c r="L26" s="81">
        <v>0.5</v>
      </c>
      <c r="M26" s="67">
        <f t="shared" si="5"/>
        <v>1</v>
      </c>
      <c r="N26" s="68">
        <f>'ORÇAMENTO CREAS'!K219*(1+'ORÇAMENTO CREAS'!J230)</f>
        <v>57844.312743288006</v>
      </c>
      <c r="O26" s="69">
        <f t="shared" si="6"/>
        <v>0.18104906311743077</v>
      </c>
      <c r="P26" s="63">
        <f t="shared" si="7"/>
        <v>1</v>
      </c>
    </row>
    <row r="27" spans="1:16" customFormat="1" ht="15.6" x14ac:dyDescent="0.3">
      <c r="A27" s="65">
        <v>12</v>
      </c>
      <c r="B27" s="66" t="s">
        <v>27</v>
      </c>
      <c r="C27" s="77">
        <f t="shared" si="0"/>
        <v>0</v>
      </c>
      <c r="D27" s="80"/>
      <c r="E27" s="77">
        <f t="shared" si="1"/>
        <v>0</v>
      </c>
      <c r="F27" s="80"/>
      <c r="G27" s="77">
        <f t="shared" si="2"/>
        <v>0</v>
      </c>
      <c r="H27" s="80"/>
      <c r="I27" s="77">
        <f t="shared" si="3"/>
        <v>0</v>
      </c>
      <c r="J27" s="80"/>
      <c r="K27" s="78">
        <f t="shared" si="4"/>
        <v>5891.8991764800012</v>
      </c>
      <c r="L27" s="81">
        <v>1</v>
      </c>
      <c r="M27" s="67">
        <f t="shared" si="5"/>
        <v>1</v>
      </c>
      <c r="N27" s="68">
        <f>'ORÇAMENTO CREAS'!K227*(1+'ORÇAMENTO CREAS'!J230)</f>
        <v>5891.8991764800012</v>
      </c>
      <c r="O27" s="69">
        <f t="shared" si="6"/>
        <v>1.8441274090646775E-2</v>
      </c>
      <c r="P27" s="63">
        <f t="shared" si="7"/>
        <v>1</v>
      </c>
    </row>
    <row r="28" spans="1:16" s="13" customFormat="1" ht="15.6" x14ac:dyDescent="0.3">
      <c r="A28" s="123" t="s">
        <v>409</v>
      </c>
      <c r="B28" s="124"/>
      <c r="C28" s="70">
        <f>SUM(C16:C27)</f>
        <v>61028.822989692002</v>
      </c>
      <c r="D28" s="71">
        <f>C29/N28</f>
        <v>0.19101638002822255</v>
      </c>
      <c r="E28" s="70">
        <f>SUM(E16:E27)</f>
        <v>45753.384895462797</v>
      </c>
      <c r="F28" s="71">
        <f>E28/N28</f>
        <v>0.14320521892164653</v>
      </c>
      <c r="G28" s="70">
        <f>SUM(G16:G27)</f>
        <v>56134.033667554802</v>
      </c>
      <c r="H28" s="71">
        <f>G28/N28</f>
        <v>0.17569599710893591</v>
      </c>
      <c r="I28" s="70">
        <f>SUM(I16:I27)</f>
        <v>89214.845907545416</v>
      </c>
      <c r="J28" s="71">
        <f>I28/N28</f>
        <v>0.27923686014579346</v>
      </c>
      <c r="K28" s="72">
        <f>SUM(K16:K27)</f>
        <v>67364.146302813009</v>
      </c>
      <c r="L28" s="71">
        <f>K28/N28</f>
        <v>0.21084554379540152</v>
      </c>
      <c r="M28" s="121"/>
      <c r="N28" s="117">
        <f>SUM(N16:N27)</f>
        <v>319495.23376306804</v>
      </c>
      <c r="O28" s="119">
        <f>SUM(O16:O27)</f>
        <v>0.99999999999999978</v>
      </c>
    </row>
    <row r="29" spans="1:16" s="13" customFormat="1" ht="15.6" x14ac:dyDescent="0.3">
      <c r="A29" s="125" t="s">
        <v>410</v>
      </c>
      <c r="B29" s="125"/>
      <c r="C29" s="73">
        <f>C28</f>
        <v>61028.822989692002</v>
      </c>
      <c r="D29" s="74">
        <f>D28</f>
        <v>0.19101638002822255</v>
      </c>
      <c r="E29" s="73">
        <f t="shared" ref="E29:L29" si="8">C29+E28</f>
        <v>106782.2078851548</v>
      </c>
      <c r="F29" s="74">
        <f t="shared" si="8"/>
        <v>0.33422159894986908</v>
      </c>
      <c r="G29" s="73">
        <f t="shared" si="8"/>
        <v>162916.2415527096</v>
      </c>
      <c r="H29" s="74">
        <f t="shared" si="8"/>
        <v>0.50991759605880493</v>
      </c>
      <c r="I29" s="73">
        <f t="shared" si="8"/>
        <v>252131.08746025502</v>
      </c>
      <c r="J29" s="74">
        <f t="shared" si="8"/>
        <v>0.78915445620459845</v>
      </c>
      <c r="K29" s="75">
        <f t="shared" si="8"/>
        <v>319495.23376306804</v>
      </c>
      <c r="L29" s="76">
        <f t="shared" si="8"/>
        <v>1</v>
      </c>
      <c r="M29" s="122"/>
      <c r="N29" s="118"/>
      <c r="O29" s="120"/>
    </row>
    <row r="31" spans="1:16" x14ac:dyDescent="0.25">
      <c r="A31" s="114" t="s">
        <v>448</v>
      </c>
      <c r="B31" s="114"/>
      <c r="C31" s="114"/>
      <c r="D31" s="114"/>
      <c r="E31" s="114"/>
      <c r="F31" s="114"/>
      <c r="G31" s="114"/>
      <c r="H31" s="114"/>
      <c r="I31" s="114"/>
      <c r="J31" s="114"/>
      <c r="K31" s="114"/>
      <c r="L31" s="114"/>
      <c r="M31" s="114"/>
      <c r="N31" s="114"/>
    </row>
    <row r="32" spans="1:16" x14ac:dyDescent="0.25">
      <c r="A32" s="42"/>
      <c r="B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</row>
    <row r="33" spans="1:15" s="14" customFormat="1" ht="15" customHeight="1" x14ac:dyDescent="0.3">
      <c r="A33" s="57"/>
      <c r="B33" s="57"/>
      <c r="C33" s="57"/>
      <c r="D33" s="57"/>
      <c r="E33" s="57"/>
      <c r="F33" s="57"/>
      <c r="G33" s="57"/>
      <c r="H33" s="57"/>
      <c r="I33" s="57"/>
      <c r="J33" s="57"/>
      <c r="K33" s="57"/>
      <c r="L33" s="57"/>
      <c r="M33" s="57"/>
      <c r="N33" s="57"/>
      <c r="O33" s="57"/>
    </row>
    <row r="34" spans="1:15" ht="15" customHeight="1" x14ac:dyDescent="0.3">
      <c r="A34" s="57"/>
      <c r="B34" s="57"/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</row>
    <row r="35" spans="1:15" x14ac:dyDescent="0.3">
      <c r="A35" s="99" t="s">
        <v>418</v>
      </c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</row>
    <row r="36" spans="1:15" ht="13.2" x14ac:dyDescent="0.3">
      <c r="A36" s="92" t="s">
        <v>417</v>
      </c>
      <c r="B36" s="92"/>
      <c r="C36" s="9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</row>
  </sheetData>
  <mergeCells count="23">
    <mergeCell ref="A29:B29"/>
    <mergeCell ref="A13:O13"/>
    <mergeCell ref="C14:D14"/>
    <mergeCell ref="E14:F14"/>
    <mergeCell ref="G14:H14"/>
    <mergeCell ref="I14:J14"/>
    <mergeCell ref="N14:O14"/>
    <mergeCell ref="A8:O8"/>
    <mergeCell ref="A7:O7"/>
    <mergeCell ref="A6:O6"/>
    <mergeCell ref="A35:O35"/>
    <mergeCell ref="A36:O36"/>
    <mergeCell ref="A14:A15"/>
    <mergeCell ref="B14:B15"/>
    <mergeCell ref="A31:N31"/>
    <mergeCell ref="K14:L14"/>
    <mergeCell ref="M14:M15"/>
    <mergeCell ref="N28:N29"/>
    <mergeCell ref="O28:O29"/>
    <mergeCell ref="M28:M29"/>
    <mergeCell ref="A28:B28"/>
    <mergeCell ref="A10:O10"/>
    <mergeCell ref="A11:O11"/>
  </mergeCells>
  <phoneticPr fontId="18" type="noConversion"/>
  <pageMargins left="0.511811024" right="0.511811024" top="0.78740157499999996" bottom="0.78740157499999996" header="0.31496062000000002" footer="0.31496062000000002"/>
  <pageSetup paperSize="9" scale="7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469C65-0380-4263-B6C3-EEA38ABFD62A}">
  <sheetPr>
    <pageSetUpPr fitToPage="1"/>
  </sheetPr>
  <dimension ref="A1:L54"/>
  <sheetViews>
    <sheetView topLeftCell="A22" zoomScale="80" zoomScaleNormal="80" workbookViewId="0">
      <selection activeCell="F59" sqref="F59"/>
    </sheetView>
  </sheetViews>
  <sheetFormatPr defaultRowHeight="14.4" x14ac:dyDescent="0.3"/>
  <cols>
    <col min="3" max="3" width="20.6640625" bestFit="1" customWidth="1"/>
    <col min="4" max="4" width="17.88671875" customWidth="1"/>
    <col min="5" max="5" width="18.44140625" customWidth="1"/>
    <col min="6" max="6" width="17.109375" customWidth="1"/>
    <col min="7" max="7" width="16.44140625" customWidth="1"/>
    <col min="8" max="8" width="16.109375" customWidth="1"/>
    <col min="9" max="9" width="14.109375" customWidth="1"/>
  </cols>
  <sheetData>
    <row r="1" spans="1:12" ht="69.75" customHeight="1" x14ac:dyDescent="0.3">
      <c r="A1" s="105"/>
      <c r="B1" s="105"/>
      <c r="C1" s="105"/>
      <c r="D1" s="105"/>
      <c r="E1" s="105"/>
      <c r="F1" s="105"/>
      <c r="G1" s="105"/>
      <c r="H1" s="105"/>
      <c r="I1" s="105"/>
      <c r="J1" s="1"/>
      <c r="K1" s="1"/>
      <c r="L1" s="1"/>
    </row>
    <row r="3" spans="1:12" ht="34.5" customHeight="1" x14ac:dyDescent="0.3">
      <c r="A3" s="135" t="s">
        <v>413</v>
      </c>
      <c r="B3" s="135"/>
      <c r="C3" s="135"/>
      <c r="D3" s="135"/>
      <c r="E3" s="135"/>
      <c r="F3" s="135"/>
      <c r="G3" s="135"/>
      <c r="H3" s="135"/>
      <c r="I3" s="135"/>
      <c r="J3" s="34"/>
    </row>
    <row r="4" spans="1:12" ht="31.5" customHeight="1" x14ac:dyDescent="0.3">
      <c r="A4" s="134" t="s">
        <v>95</v>
      </c>
      <c r="B4" s="134"/>
      <c r="C4" s="134"/>
      <c r="D4" s="134"/>
      <c r="E4" s="134"/>
      <c r="F4" s="134"/>
      <c r="G4" s="134"/>
      <c r="H4" s="134"/>
      <c r="I4" s="134"/>
      <c r="J4" s="34"/>
      <c r="K4" s="34"/>
    </row>
    <row r="6" spans="1:12" ht="24.6" x14ac:dyDescent="0.3">
      <c r="A6" s="133" t="s">
        <v>63</v>
      </c>
      <c r="B6" s="133"/>
      <c r="C6" s="133"/>
      <c r="D6" s="133"/>
      <c r="E6" s="133"/>
      <c r="F6" s="133"/>
      <c r="G6" s="133"/>
      <c r="H6" s="133"/>
      <c r="I6" s="133"/>
      <c r="J6" s="33"/>
      <c r="K6" s="18"/>
    </row>
    <row r="8" spans="1:12" s="13" customFormat="1" ht="15.6" x14ac:dyDescent="0.3">
      <c r="A8" s="19" t="s">
        <v>64</v>
      </c>
      <c r="B8" s="19"/>
      <c r="C8" s="19"/>
      <c r="D8" s="19"/>
      <c r="E8" s="19"/>
      <c r="F8" s="19"/>
      <c r="G8" s="19"/>
      <c r="H8" s="19"/>
      <c r="I8" s="19"/>
      <c r="J8" s="20"/>
      <c r="K8" s="20"/>
    </row>
    <row r="9" spans="1:12" s="13" customFormat="1" ht="15.6" x14ac:dyDescent="0.3">
      <c r="A9" s="20"/>
      <c r="B9" s="21"/>
      <c r="C9" s="21"/>
      <c r="D9" s="22"/>
      <c r="E9" s="23"/>
      <c r="F9" s="24"/>
      <c r="G9" s="25"/>
      <c r="H9" s="25"/>
      <c r="I9" s="26"/>
      <c r="J9" s="20"/>
      <c r="K9" s="20"/>
    </row>
    <row r="10" spans="1:12" s="13" customFormat="1" ht="15.6" x14ac:dyDescent="0.3">
      <c r="A10" s="19" t="s">
        <v>65</v>
      </c>
      <c r="B10" s="21"/>
      <c r="C10" s="21"/>
      <c r="D10" s="22"/>
      <c r="E10" s="23"/>
      <c r="F10" s="24"/>
      <c r="G10" s="25"/>
      <c r="H10" s="25"/>
      <c r="I10" s="26"/>
      <c r="J10" s="20"/>
      <c r="K10" s="20"/>
    </row>
    <row r="11" spans="1:12" s="13" customFormat="1" ht="15.6" x14ac:dyDescent="0.3">
      <c r="A11" s="19"/>
      <c r="B11" s="21"/>
      <c r="C11" s="21"/>
      <c r="D11" s="22"/>
      <c r="E11" s="23"/>
      <c r="F11" s="24"/>
      <c r="G11" s="25"/>
      <c r="H11" s="25"/>
      <c r="I11" s="26"/>
      <c r="J11" s="20"/>
      <c r="K11" s="20"/>
    </row>
    <row r="12" spans="1:12" s="13" customFormat="1" ht="15.6" x14ac:dyDescent="0.3">
      <c r="A12" s="20" t="s">
        <v>66</v>
      </c>
      <c r="B12" s="20"/>
      <c r="C12" s="20"/>
      <c r="D12" s="20"/>
      <c r="E12" s="20"/>
      <c r="F12" s="20"/>
      <c r="G12" s="20"/>
      <c r="H12" s="20"/>
      <c r="I12" s="20"/>
      <c r="J12" s="20"/>
      <c r="K12" s="20"/>
    </row>
    <row r="13" spans="1:12" s="13" customFormat="1" ht="15.6" x14ac:dyDescent="0.3">
      <c r="A13" s="20"/>
      <c r="B13" s="21"/>
      <c r="C13" s="21"/>
      <c r="D13" s="22"/>
      <c r="E13" s="23"/>
      <c r="F13" s="24"/>
      <c r="G13" s="25"/>
      <c r="H13" s="25"/>
      <c r="I13" s="26"/>
      <c r="J13" s="20"/>
      <c r="K13" s="20"/>
    </row>
    <row r="14" spans="1:12" s="13" customFormat="1" ht="15.6" x14ac:dyDescent="0.3">
      <c r="A14" s="20" t="s">
        <v>67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</row>
    <row r="15" spans="1:12" s="13" customFormat="1" ht="15.6" x14ac:dyDescent="0.3">
      <c r="A15" s="20" t="s">
        <v>68</v>
      </c>
      <c r="B15" s="20"/>
      <c r="C15" s="20"/>
      <c r="D15" s="20"/>
      <c r="E15" s="20"/>
      <c r="F15" s="20"/>
      <c r="G15" s="20"/>
      <c r="H15" s="20"/>
      <c r="I15" s="20"/>
      <c r="J15" s="20"/>
      <c r="K15" s="20"/>
    </row>
    <row r="16" spans="1:12" s="13" customFormat="1" ht="15.6" x14ac:dyDescent="0.3">
      <c r="A16" s="20"/>
      <c r="B16" s="21"/>
      <c r="C16" s="21"/>
      <c r="D16" s="22"/>
      <c r="E16" s="23"/>
      <c r="F16" s="24"/>
      <c r="G16" s="25"/>
      <c r="H16" s="25"/>
      <c r="I16" s="26"/>
      <c r="J16" s="20"/>
      <c r="K16" s="20"/>
    </row>
    <row r="17" spans="1:11" s="13" customFormat="1" ht="18" customHeight="1" x14ac:dyDescent="0.3">
      <c r="A17" s="30" t="s">
        <v>69</v>
      </c>
      <c r="B17" s="30"/>
      <c r="C17" s="30"/>
      <c r="D17" s="30"/>
      <c r="E17" s="30"/>
      <c r="F17" s="30"/>
      <c r="G17" s="30"/>
      <c r="H17" s="30"/>
      <c r="I17" s="30"/>
      <c r="J17" s="30"/>
      <c r="K17" s="27"/>
    </row>
    <row r="18" spans="1:11" s="13" customFormat="1" ht="15.6" x14ac:dyDescent="0.3">
      <c r="A18" s="20" t="s">
        <v>70</v>
      </c>
      <c r="B18" s="21"/>
      <c r="C18" s="21"/>
      <c r="D18" s="22"/>
      <c r="E18" s="23"/>
      <c r="F18" s="24"/>
      <c r="G18" s="25"/>
      <c r="H18" s="25"/>
      <c r="I18" s="26"/>
      <c r="J18" s="20"/>
      <c r="K18" s="20"/>
    </row>
    <row r="19" spans="1:11" s="13" customFormat="1" ht="15.6" x14ac:dyDescent="0.3">
      <c r="A19" s="20"/>
      <c r="B19" s="21"/>
      <c r="C19" s="21"/>
      <c r="D19" s="22"/>
      <c r="E19" s="23"/>
      <c r="F19" s="24"/>
      <c r="G19" s="25"/>
      <c r="H19" s="25"/>
      <c r="I19" s="26"/>
      <c r="J19" s="20"/>
      <c r="K19" s="20"/>
    </row>
    <row r="20" spans="1:11" s="13" customFormat="1" ht="15.6" x14ac:dyDescent="0.3">
      <c r="A20" s="28" t="s">
        <v>71</v>
      </c>
      <c r="B20" s="28"/>
      <c r="C20" s="28"/>
      <c r="D20" s="28"/>
      <c r="E20" s="28"/>
      <c r="F20" s="28"/>
      <c r="G20" s="28"/>
      <c r="H20" s="28"/>
      <c r="I20" s="28"/>
      <c r="J20" s="28"/>
      <c r="K20" s="29"/>
    </row>
    <row r="21" spans="1:11" s="13" customFormat="1" ht="199.5" customHeight="1" x14ac:dyDescent="0.3">
      <c r="A21" s="132" t="s">
        <v>72</v>
      </c>
      <c r="B21" s="132"/>
      <c r="C21" s="132"/>
      <c r="D21" s="132"/>
      <c r="E21" s="132"/>
      <c r="F21" s="132"/>
      <c r="G21" s="132"/>
      <c r="H21" s="132"/>
      <c r="I21" s="132"/>
      <c r="J21" s="32"/>
      <c r="K21" s="20"/>
    </row>
    <row r="22" spans="1:11" s="13" customFormat="1" ht="15.6" x14ac:dyDescent="0.3">
      <c r="A22" s="20"/>
      <c r="B22" s="21"/>
      <c r="C22" s="21"/>
      <c r="D22" s="22"/>
      <c r="E22" s="23"/>
      <c r="F22" s="24"/>
      <c r="G22" s="25"/>
      <c r="H22" s="25"/>
      <c r="I22" s="26"/>
      <c r="J22" s="20"/>
      <c r="K22" s="20"/>
    </row>
    <row r="23" spans="1:11" s="13" customFormat="1" ht="15.6" x14ac:dyDescent="0.3">
      <c r="A23" s="20" t="s">
        <v>73</v>
      </c>
      <c r="B23" s="20"/>
      <c r="C23" s="20"/>
      <c r="D23" s="20"/>
      <c r="E23" s="20"/>
      <c r="F23" s="20"/>
      <c r="G23" s="20"/>
      <c r="H23" s="20"/>
      <c r="I23" s="20"/>
      <c r="J23" s="20"/>
      <c r="K23" s="20"/>
    </row>
    <row r="24" spans="1:11" s="13" customFormat="1" ht="15.6" x14ac:dyDescent="0.3">
      <c r="A24" s="20"/>
      <c r="B24" s="21"/>
      <c r="C24" s="21"/>
      <c r="D24" s="22"/>
      <c r="E24" s="23"/>
      <c r="F24" s="24"/>
      <c r="G24" s="25"/>
      <c r="H24" s="25"/>
      <c r="I24" s="26"/>
      <c r="J24" s="20"/>
      <c r="K24" s="20"/>
    </row>
    <row r="25" spans="1:11" s="13" customFormat="1" ht="15.6" x14ac:dyDescent="0.3">
      <c r="A25" s="20" t="s">
        <v>415</v>
      </c>
      <c r="B25" s="20"/>
      <c r="C25" s="20"/>
      <c r="D25" s="20"/>
      <c r="E25" s="20"/>
      <c r="F25" s="20"/>
      <c r="G25" s="20"/>
      <c r="H25" s="20"/>
      <c r="I25" s="20"/>
      <c r="J25" s="20"/>
      <c r="K25" s="20"/>
    </row>
    <row r="26" spans="1:11" s="13" customFormat="1" ht="15.6" x14ac:dyDescent="0.3">
      <c r="A26" s="20"/>
      <c r="B26" s="21"/>
      <c r="C26" s="21"/>
      <c r="D26" s="22"/>
      <c r="E26" s="23"/>
      <c r="F26" s="24"/>
      <c r="G26" s="25"/>
      <c r="H26" s="25"/>
      <c r="I26" s="26"/>
      <c r="J26" s="20"/>
      <c r="K26" s="20"/>
    </row>
    <row r="27" spans="1:11" s="13" customFormat="1" ht="15.6" x14ac:dyDescent="0.3">
      <c r="A27" s="20" t="s">
        <v>74</v>
      </c>
      <c r="B27" s="20"/>
      <c r="C27" s="20"/>
      <c r="D27" s="20"/>
      <c r="E27" s="20"/>
      <c r="F27" s="20"/>
      <c r="G27" s="20"/>
      <c r="H27" s="20"/>
      <c r="I27" s="20"/>
      <c r="J27" s="20"/>
      <c r="K27" s="20"/>
    </row>
    <row r="28" spans="1:11" s="13" customFormat="1" ht="15.6" x14ac:dyDescent="0.3">
      <c r="A28" s="20"/>
      <c r="B28" s="21"/>
      <c r="C28" s="21"/>
      <c r="D28" s="22"/>
      <c r="E28" s="23"/>
      <c r="F28" s="24"/>
      <c r="G28" s="25"/>
      <c r="H28" s="25"/>
      <c r="I28" s="26"/>
      <c r="J28" s="20"/>
      <c r="K28" s="20"/>
    </row>
    <row r="29" spans="1:11" s="13" customFormat="1" ht="15.6" x14ac:dyDescent="0.3">
      <c r="A29" s="20" t="s">
        <v>75</v>
      </c>
      <c r="B29" s="20"/>
      <c r="C29" s="20"/>
      <c r="D29" s="20"/>
      <c r="E29" s="20"/>
      <c r="F29" s="20"/>
      <c r="G29" s="20"/>
      <c r="H29" s="20"/>
      <c r="I29" s="20"/>
      <c r="J29" s="20"/>
      <c r="K29" s="20"/>
    </row>
    <row r="30" spans="1:11" s="13" customFormat="1" ht="15.6" x14ac:dyDescent="0.3">
      <c r="A30" s="20"/>
      <c r="B30" s="21"/>
      <c r="C30" s="21"/>
      <c r="D30" s="22"/>
      <c r="E30" s="23"/>
      <c r="F30" s="24"/>
      <c r="G30" s="25"/>
      <c r="H30" s="25"/>
      <c r="I30" s="26"/>
      <c r="J30" s="20"/>
      <c r="K30" s="20"/>
    </row>
    <row r="31" spans="1:11" s="13" customFormat="1" ht="15.6" x14ac:dyDescent="0.3">
      <c r="A31" s="20" t="s">
        <v>76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</row>
    <row r="32" spans="1:11" s="13" customFormat="1" ht="15.6" x14ac:dyDescent="0.3">
      <c r="A32" s="20" t="s">
        <v>77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</row>
    <row r="33" spans="1:11" s="13" customFormat="1" ht="15.6" x14ac:dyDescent="0.3">
      <c r="A33" s="20"/>
      <c r="B33" s="21"/>
      <c r="C33" s="21"/>
      <c r="D33" s="22"/>
      <c r="E33" s="23"/>
      <c r="F33" s="24"/>
      <c r="G33" s="25"/>
      <c r="H33" s="25"/>
      <c r="I33" s="26"/>
      <c r="J33" s="20"/>
      <c r="K33" s="20"/>
    </row>
    <row r="34" spans="1:11" s="13" customFormat="1" ht="15.6" x14ac:dyDescent="0.3">
      <c r="A34" s="19" t="s">
        <v>91</v>
      </c>
      <c r="B34" s="20"/>
      <c r="C34" s="20"/>
      <c r="D34" s="20"/>
      <c r="E34" s="20"/>
      <c r="F34" s="20"/>
      <c r="G34" s="20"/>
      <c r="H34" s="20"/>
      <c r="I34" s="20"/>
      <c r="J34" s="20"/>
      <c r="K34" s="20"/>
    </row>
    <row r="35" spans="1:11" s="13" customFormat="1" ht="15.6" x14ac:dyDescent="0.3">
      <c r="A35" s="30"/>
      <c r="B35" s="30"/>
      <c r="C35" s="30"/>
      <c r="D35" s="30"/>
      <c r="E35" s="30"/>
      <c r="F35" s="30"/>
      <c r="G35" s="30"/>
      <c r="H35" s="30"/>
      <c r="I35" s="30"/>
      <c r="J35" s="20"/>
      <c r="K35" s="20"/>
    </row>
    <row r="36" spans="1:11" s="13" customFormat="1" ht="15.6" x14ac:dyDescent="0.3">
      <c r="A36" s="142" t="s">
        <v>78</v>
      </c>
      <c r="B36" s="142"/>
      <c r="C36" s="142"/>
      <c r="D36" s="142"/>
      <c r="E36" s="142"/>
      <c r="F36" s="142"/>
      <c r="G36" s="142"/>
      <c r="H36" s="142"/>
      <c r="I36" s="142"/>
      <c r="J36" s="20"/>
      <c r="K36" s="20"/>
    </row>
    <row r="37" spans="1:11" s="13" customFormat="1" ht="15.6" x14ac:dyDescent="0.3">
      <c r="A37" s="20"/>
      <c r="B37" s="21"/>
      <c r="C37" s="21"/>
      <c r="D37" s="22"/>
      <c r="E37" s="23"/>
      <c r="F37" s="24"/>
      <c r="G37" s="25"/>
      <c r="H37" s="25"/>
      <c r="I37" s="26"/>
      <c r="J37" s="20"/>
      <c r="K37" s="20"/>
    </row>
    <row r="38" spans="1:11" s="13" customFormat="1" ht="31.2" x14ac:dyDescent="0.3">
      <c r="A38" s="137" t="s">
        <v>79</v>
      </c>
      <c r="B38" s="138"/>
      <c r="C38" s="35" t="s">
        <v>80</v>
      </c>
      <c r="D38" s="35" t="s">
        <v>81</v>
      </c>
      <c r="E38" s="36" t="s">
        <v>82</v>
      </c>
      <c r="F38" s="36" t="s">
        <v>83</v>
      </c>
      <c r="G38" s="37" t="s">
        <v>84</v>
      </c>
      <c r="H38" s="37" t="s">
        <v>85</v>
      </c>
      <c r="I38" s="38" t="s">
        <v>86</v>
      </c>
      <c r="J38" s="20"/>
      <c r="K38" s="20"/>
    </row>
    <row r="39" spans="1:11" s="13" customFormat="1" ht="15.6" x14ac:dyDescent="0.3">
      <c r="A39" s="139"/>
      <c r="B39" s="140"/>
      <c r="C39" s="47">
        <v>0.04</v>
      </c>
      <c r="D39" s="47">
        <v>2.2499999999999999E-2</v>
      </c>
      <c r="E39" s="48">
        <v>0.01</v>
      </c>
      <c r="F39" s="47">
        <v>1.1999999999999999E-3</v>
      </c>
      <c r="G39" s="48">
        <v>9.7000000000000003E-3</v>
      </c>
      <c r="H39" s="48">
        <v>0.1104</v>
      </c>
      <c r="I39" s="39">
        <v>0.28000000000000003</v>
      </c>
      <c r="J39" s="20"/>
      <c r="K39" s="20"/>
    </row>
    <row r="40" spans="1:11" s="13" customFormat="1" ht="15.6" x14ac:dyDescent="0.3">
      <c r="A40" s="20"/>
      <c r="B40" s="21"/>
      <c r="C40" s="21"/>
      <c r="D40" s="22"/>
      <c r="E40" s="23"/>
      <c r="F40" s="24"/>
      <c r="G40" s="25"/>
      <c r="H40" s="25"/>
      <c r="I40" s="26"/>
      <c r="J40" s="20"/>
      <c r="K40" s="20"/>
    </row>
    <row r="41" spans="1:11" s="13" customFormat="1" ht="34.5" customHeight="1" x14ac:dyDescent="0.3">
      <c r="A41" s="141" t="s">
        <v>87</v>
      </c>
      <c r="B41" s="141"/>
      <c r="C41" s="141"/>
      <c r="D41" s="141"/>
      <c r="E41" s="141"/>
      <c r="F41" s="141"/>
      <c r="G41" s="141"/>
      <c r="H41" s="141"/>
      <c r="I41" s="141"/>
      <c r="J41" s="27"/>
      <c r="K41" s="27"/>
    </row>
    <row r="42" spans="1:11" s="13" customFormat="1" ht="15.6" x14ac:dyDescent="0.3">
      <c r="A42" s="20"/>
      <c r="B42" s="21"/>
      <c r="C42" s="21"/>
      <c r="D42" s="22"/>
      <c r="E42" s="23"/>
      <c r="F42" s="24"/>
      <c r="G42" s="25"/>
      <c r="H42" s="25"/>
      <c r="I42" s="26"/>
      <c r="J42" s="20"/>
      <c r="K42" s="20"/>
    </row>
    <row r="43" spans="1:11" s="13" customFormat="1" ht="15.6" x14ac:dyDescent="0.3">
      <c r="A43" s="136" t="s">
        <v>90</v>
      </c>
      <c r="B43" s="136"/>
      <c r="C43" s="136"/>
      <c r="D43" s="136"/>
      <c r="E43" s="136"/>
      <c r="F43" s="136"/>
      <c r="G43" s="136"/>
      <c r="H43" s="136"/>
      <c r="I43" s="136"/>
      <c r="J43" s="20"/>
      <c r="K43" s="20"/>
    </row>
    <row r="44" spans="1:11" s="13" customFormat="1" ht="15.6" x14ac:dyDescent="0.3">
      <c r="A44" s="136" t="s">
        <v>88</v>
      </c>
      <c r="B44" s="136"/>
      <c r="C44" s="136"/>
      <c r="D44" s="136"/>
      <c r="E44" s="136"/>
      <c r="F44" s="136"/>
      <c r="G44" s="136"/>
      <c r="H44" s="136"/>
      <c r="I44" s="136"/>
      <c r="J44" s="20"/>
      <c r="K44" s="20"/>
    </row>
    <row r="45" spans="1:11" s="13" customFormat="1" ht="15.6" x14ac:dyDescent="0.3">
      <c r="A45" s="31"/>
      <c r="B45" s="31"/>
      <c r="C45" s="31"/>
      <c r="D45" s="31"/>
      <c r="E45" s="31"/>
      <c r="F45" s="31"/>
      <c r="G45" s="31"/>
      <c r="H45" s="31"/>
      <c r="I45" s="31"/>
      <c r="J45" s="20"/>
      <c r="K45" s="20"/>
    </row>
    <row r="46" spans="1:11" s="13" customFormat="1" ht="15.6" x14ac:dyDescent="0.3">
      <c r="A46" s="136" t="s">
        <v>416</v>
      </c>
      <c r="B46" s="136"/>
      <c r="C46" s="136"/>
      <c r="D46" s="136"/>
      <c r="E46" s="136"/>
      <c r="F46" s="136"/>
      <c r="G46" s="136"/>
      <c r="H46" s="136"/>
      <c r="I46" s="136"/>
      <c r="J46" s="20"/>
      <c r="K46" s="20"/>
    </row>
    <row r="47" spans="1:11" s="13" customFormat="1" ht="15.6" x14ac:dyDescent="0.3">
      <c r="A47" s="136" t="s">
        <v>89</v>
      </c>
      <c r="B47" s="136"/>
      <c r="C47" s="136"/>
      <c r="D47" s="136"/>
      <c r="E47" s="136"/>
      <c r="F47" s="136"/>
      <c r="G47" s="136"/>
      <c r="H47" s="136"/>
      <c r="I47" s="136"/>
      <c r="J47" s="20"/>
      <c r="K47" s="20"/>
    </row>
    <row r="48" spans="1:11" s="13" customFormat="1" ht="15.6" x14ac:dyDescent="0.3">
      <c r="A48" s="131" t="s">
        <v>414</v>
      </c>
      <c r="B48" s="131"/>
      <c r="C48" s="131"/>
      <c r="D48" s="131"/>
      <c r="E48" s="131"/>
      <c r="F48" s="131"/>
      <c r="G48" s="131"/>
      <c r="H48" s="131"/>
      <c r="I48" s="131"/>
    </row>
    <row r="49" spans="1:9" s="13" customFormat="1" ht="15.6" x14ac:dyDescent="0.3">
      <c r="A49" s="128" t="s">
        <v>92</v>
      </c>
      <c r="B49" s="128"/>
      <c r="C49" s="128"/>
      <c r="D49" s="128"/>
      <c r="E49" s="128"/>
      <c r="F49" s="128"/>
      <c r="G49" s="128"/>
      <c r="H49" s="128"/>
      <c r="I49" s="128"/>
    </row>
    <row r="50" spans="1:9" s="13" customFormat="1" ht="15.6" x14ac:dyDescent="0.3">
      <c r="A50" s="128"/>
      <c r="B50" s="128"/>
      <c r="C50" s="128"/>
      <c r="D50" s="128"/>
      <c r="E50" s="128"/>
      <c r="F50" s="128"/>
      <c r="G50" s="128"/>
      <c r="H50" s="128"/>
      <c r="I50" s="128"/>
    </row>
    <row r="51" spans="1:9" s="13" customFormat="1" ht="32.25" customHeight="1" x14ac:dyDescent="0.3">
      <c r="A51" s="128"/>
      <c r="B51" s="128"/>
      <c r="C51" s="128"/>
      <c r="D51" s="128"/>
      <c r="E51" s="128"/>
      <c r="F51" s="128"/>
      <c r="G51" s="128"/>
      <c r="H51" s="128"/>
      <c r="I51" s="128"/>
    </row>
    <row r="52" spans="1:9" s="13" customFormat="1" ht="15.6" x14ac:dyDescent="0.3">
      <c r="A52" s="129" t="s">
        <v>418</v>
      </c>
      <c r="B52" s="129"/>
      <c r="C52" s="129"/>
      <c r="D52" s="129"/>
      <c r="E52" s="129"/>
      <c r="F52" s="129"/>
      <c r="G52" s="129"/>
      <c r="H52" s="129"/>
      <c r="I52" s="129"/>
    </row>
    <row r="53" spans="1:9" s="13" customFormat="1" ht="15.6" x14ac:dyDescent="0.3">
      <c r="A53" s="130" t="s">
        <v>417</v>
      </c>
      <c r="B53" s="130"/>
      <c r="C53" s="130"/>
      <c r="D53" s="130"/>
      <c r="E53" s="130"/>
      <c r="F53" s="130"/>
      <c r="G53" s="130"/>
      <c r="H53" s="130"/>
      <c r="I53" s="130"/>
    </row>
    <row r="54" spans="1:9" s="13" customFormat="1" ht="15.6" x14ac:dyDescent="0.3"/>
  </sheetData>
  <mergeCells count="16">
    <mergeCell ref="A6:I6"/>
    <mergeCell ref="A4:I4"/>
    <mergeCell ref="A3:I3"/>
    <mergeCell ref="A1:I1"/>
    <mergeCell ref="A47:I47"/>
    <mergeCell ref="A38:B39"/>
    <mergeCell ref="A41:I41"/>
    <mergeCell ref="A43:I43"/>
    <mergeCell ref="A44:I44"/>
    <mergeCell ref="A36:I36"/>
    <mergeCell ref="A46:I46"/>
    <mergeCell ref="A49:I51"/>
    <mergeCell ref="A52:I52"/>
    <mergeCell ref="A53:I53"/>
    <mergeCell ref="A48:I48"/>
    <mergeCell ref="A21:I21"/>
  </mergeCells>
  <pageMargins left="0.511811024" right="0.511811024" top="0.78740157499999996" bottom="0.78740157499999996" header="0.31496062000000002" footer="0.31496062000000002"/>
  <pageSetup paperSize="9" scale="6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ORÇAMENTO CREAS</vt:lpstr>
      <vt:lpstr>CRONOG CREAS</vt:lpstr>
      <vt:lpstr>BDI</vt:lpstr>
      <vt:lpstr>'ORÇAMENTO CREAS'!Area_de_impressao</vt:lpstr>
      <vt:lpstr>'ORÇAMENTO CREAS'!Titulos_de_impressao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Victória Araújo</dc:creator>
  <cp:lastModifiedBy>LICITACAO-ANA_PAULA</cp:lastModifiedBy>
  <cp:lastPrinted>2026-06-11T18:04:03Z</cp:lastPrinted>
  <dcterms:created xsi:type="dcterms:W3CDTF">2025-10-23T17:51:34Z</dcterms:created>
  <dcterms:modified xsi:type="dcterms:W3CDTF">2026-07-24T17:55:47Z</dcterms:modified>
</cp:coreProperties>
</file>