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G:\Meu Drive\CAMPO\SÃO FELIPE\ATA_ESTRADAS VICINAIS\SÃO FELIPE_ATA_ESTRADAS VICINAIS\EDITÁVEIS\"/>
    </mc:Choice>
  </mc:AlternateContent>
  <xr:revisionPtr revIDLastSave="0" documentId="13_ncr:1_{801DAAAB-68FB-4E59-94FF-B0B4FA17E85F}" xr6:coauthVersionLast="47" xr6:coauthVersionMax="47" xr10:uidLastSave="{00000000-0000-0000-0000-000000000000}"/>
  <bookViews>
    <workbookView xWindow="-108" yWindow="-108" windowWidth="23256" windowHeight="12456" tabRatio="801" activeTab="4" xr2:uid="{00000000-000D-0000-FFFF-FFFF00000000}"/>
  </bookViews>
  <sheets>
    <sheet name="MENU" sheetId="15" r:id="rId1"/>
    <sheet name="DADOS" sheetId="2" r:id="rId2"/>
    <sheet name="BDI SERVIÇO" sheetId="18" r:id="rId3"/>
    <sheet name="BDI INSUMO" sheetId="17" r:id="rId4"/>
    <sheet name="PLQ" sheetId="16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OMPANHAMENTO" localSheetId="3" hidden="1">IF(VALUE([1]MENU!$O$4)=2,"BM","PLE")</definedName>
    <definedName name="ACOMPANHAMENTO" localSheetId="2" hidden="1">IF(VALUE([1]MENU!$O$4)=2,"BM","PLE")</definedName>
    <definedName name="ACOMPANHAMENTO" hidden="1">IF(VALUE(MENU!$O$4)=2,"BM","PLE")</definedName>
    <definedName name="ACRE" hidden="1">#REF!</definedName>
    <definedName name="ademir" localSheetId="3" hidden="1">{#N/A,#N/A,FALSE,"Cronograma";#N/A,#N/A,FALSE,"Cronogr. 2"}</definedName>
    <definedName name="ademir" localSheetId="2" hidden="1">{#N/A,#N/A,FALSE,"Cronograma";#N/A,#N/A,FALSE,"Cronogr. 2"}</definedName>
    <definedName name="ademir" hidden="1">{#N/A,#N/A,FALSE,"Cronograma";#N/A,#N/A,FALSE,"Cronogr. 2"}</definedName>
    <definedName name="_xlnm.Print_Area" localSheetId="3">'BDI INSUMO'!$I$1:$R$61</definedName>
    <definedName name="_xlnm.Print_Area" localSheetId="2">'BDI SERVIÇO'!$I$1:$R$61</definedName>
    <definedName name="_xlnm.Print_Area" localSheetId="0">MENU!$A$1:$I$25</definedName>
    <definedName name="_xlnm.Print_Area" localSheetId="4">PLQ!$A$1:$L$241</definedName>
    <definedName name="AUTOEVENTO" localSheetId="3" hidden="1">[1]CÁLCULO!$A$12</definedName>
    <definedName name="AUTOEVENTO" localSheetId="2" hidden="1">[1]CÁLCULO!$A$12</definedName>
    <definedName name="AUTOEVENTO" hidden="1">#REF!</definedName>
    <definedName name="BDI.Filtro" hidden="1">#REF!</definedName>
    <definedName name="BDI.Opcao" localSheetId="3" hidden="1">[1]DADOS!$F$18</definedName>
    <definedName name="BDI.Opcao" localSheetId="2" hidden="1">[1]DADOS!$F$18</definedName>
    <definedName name="BDI.Opcao" localSheetId="4" hidden="1">[2]DADOS!$F$18</definedName>
    <definedName name="BDI.Opcao" hidden="1">DADOS!$F$18</definedName>
    <definedName name="BDI.TipoObra" localSheetId="3" hidden="1">[1]BDI!$A$138:$A$146</definedName>
    <definedName name="BDI.TipoObra" localSheetId="2" hidden="1">[1]BDI!$A$138:$A$146</definedName>
    <definedName name="BDI.TipoObra" hidden="1">#REF!</definedName>
    <definedName name="BM.AFAcumulado" localSheetId="3" hidden="1">[1]BM!$R1</definedName>
    <definedName name="BM.AFAcumulado" localSheetId="2" hidden="1">[1]BM!$R1</definedName>
    <definedName name="BM.AFAcumulado" hidden="1">#REF!</definedName>
    <definedName name="BM.AFAnterior" localSheetId="3" hidden="1">[1]BM!$Q1</definedName>
    <definedName name="BM.AFAnterior" localSheetId="2" hidden="1">[1]BM!$Q1</definedName>
    <definedName name="BM.AFAnterior" hidden="1">#REF!</definedName>
    <definedName name="BM.CaixaColunas" hidden="1">#REF!</definedName>
    <definedName name="BM.Filtro" hidden="1">#REF!</definedName>
    <definedName name="BM.firstrow" hidden="1">#REF!</definedName>
    <definedName name="BM.FormulaMed" hidden="1">#REF!</definedName>
    <definedName name="BM.lastrow" hidden="1">#REF!</definedName>
    <definedName name="BM.LinhaPadrão" hidden="1">#REF!</definedName>
    <definedName name="BM.MaxMed" localSheetId="3" hidden="1">IF('BDI INSUMO'!RegimeExecucao="Global",1,[1]BM!$G1)</definedName>
    <definedName name="BM.MaxMed" localSheetId="2" hidden="1">IF('BDI SERVIÇO'!RegimeExecucao="Global",1,[1]BM!$G1)</definedName>
    <definedName name="BM.MaxMed" hidden="1">IF(RegimeExecucao="Global",1,#REF!)</definedName>
    <definedName name="BM.MCAIXA.Filter" hidden="1">#REF!</definedName>
    <definedName name="BM.MEDAcumulado" localSheetId="3" hidden="1">IF(COUNTIF([1]BM!$AB$13:$AM$13,'BDI INSUMO'!BM.medicao)&gt;0,SUM(OFFSET([1]BM!$AB1,0,0,1,MATCH('BDI INSUMO'!BM.medicao,[1]BM!$AB$13:$AM$13,0))),0)</definedName>
    <definedName name="BM.MEDAcumulado" localSheetId="2" hidden="1">IF(COUNTIF([1]BM!$AB$13:$AM$13,'BDI SERVIÇO'!BM.medicao)&gt;0,SUM(OFFSET([1]BM!$AB1,0,0,1,MATCH('BDI SERVIÇO'!BM.medicao,[1]BM!$AB$13:$AM$13,0))),0)</definedName>
    <definedName name="BM.MEDAcumulado" hidden="1">IF(COUNTIF(#REF!,BM.medicao)&gt;0,SUM(OFFSET(#REF!,0,0,1,MATCH(BM.medicao,#REF!,0))),0)</definedName>
    <definedName name="BM.MEDAnterior" localSheetId="3" hidden="1">IF(COUNTIF([1]BM!$AB$13:$AM$13,'BDI INSUMO'!BM.medicao-1)&gt;0,SUM(OFFSET([1]BM!$AB1,0,0,1,MATCH('BDI INSUMO'!BM.medicao-1,[1]BM!$AB$13:$AM$13,0))),0)</definedName>
    <definedName name="BM.MEDAnterior" localSheetId="2" hidden="1">IF(COUNTIF([1]BM!$AB$13:$AM$13,'BDI SERVIÇO'!BM.medicao-1)&gt;0,SUM(OFFSET([1]BM!$AB1,0,0,1,MATCH('BDI SERVIÇO'!BM.medicao-1,[1]BM!$AB$13:$AM$13,0))),0)</definedName>
    <definedName name="BM.MEDAnterior" hidden="1">IF(COUNTIF(#REF!,BM.medicao-1)&gt;0,SUM(OFFSET(#REF!,0,0,1,MATCH(BM.medicao-1,#REF!,0))),0)</definedName>
    <definedName name="BM.medicao" localSheetId="3" hidden="1">OFFSET([1]BM!$O$7,1,0)</definedName>
    <definedName name="BM.medicao" localSheetId="2" hidden="1">OFFSET([1]BM!$O$7,1,0)</definedName>
    <definedName name="BM.medicao" hidden="1">OFFSET(#REF!,1,0)</definedName>
    <definedName name="BM.MinMed" localSheetId="3" hidden="1">IF('BDI INSUMO'!RegimeExecucao="Global",-1,-[1]BM!$G1)</definedName>
    <definedName name="BM.MinMed" localSheetId="2" hidden="1">IF('BDI SERVIÇO'!RegimeExecucao="Global",-1,-[1]BM!$G1)</definedName>
    <definedName name="BM.MinMed" hidden="1">IF(RegimeExecucao="Global",-1,-#REF!)</definedName>
    <definedName name="BM.TomadorColunas" hidden="1">#REF!</definedName>
    <definedName name="bosta" localSheetId="3" hidden="1">{#N/A,#N/A,FALSE,"Cronograma";#N/A,#N/A,FALSE,"Cronogr. 2"}</definedName>
    <definedName name="bosta" localSheetId="2" hidden="1">{#N/A,#N/A,FALSE,"Cronograma";#N/A,#N/A,FALSE,"Cronogr. 2"}</definedName>
    <definedName name="bosta" hidden="1">{#N/A,#N/A,FALSE,"Cronograma";#N/A,#N/A,FALSE,"Cronogr. 2"}</definedName>
    <definedName name="Brasao" hidden="1">#REF!</definedName>
    <definedName name="CA´L" localSheetId="3" hidden="1">{#N/A,#N/A,FALSE,"Cronograma";#N/A,#N/A,FALSE,"Cronogr. 2"}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IXA.Modo" localSheetId="3" hidden="1">[1]BM!$A$3</definedName>
    <definedName name="CAIXA.Modo" localSheetId="2" hidden="1">[1]BM!$A$3</definedName>
    <definedName name="CAIXA.Modo" hidden="1">#REF!</definedName>
    <definedName name="CÁLCULO.AgrupEventos" hidden="1">#REF!</definedName>
    <definedName name="CÁLCULO.ColunaPadrão" hidden="1">#REF!</definedName>
    <definedName name="CÁLCULO.Filtro" hidden="1">#REF!</definedName>
    <definedName name="CÁLCULO.firstcol" hidden="1">#REF!</definedName>
    <definedName name="CÁLCULO.firstrow" hidden="1">#REF!</definedName>
    <definedName name="CÁLCULO.Frenterow" hidden="1">#REF!</definedName>
    <definedName name="CÁLCULO.lastcol" hidden="1">#REF!</definedName>
    <definedName name="CÁLCULO.lastrow" hidden="1">#REF!</definedName>
    <definedName name="CÁLCULO.LinhaPadrão" hidden="1">#REF!</definedName>
    <definedName name="CÁLCULO.margemrow" hidden="1">#REF!</definedName>
    <definedName name="CÁLCULO.MATRIZ1.ColunaPadrão" hidden="1">#REF!</definedName>
    <definedName name="CÁLCULO.MATRIZ1.firstcol" hidden="1">#REF!</definedName>
    <definedName name="CÁLCULO.MATRIZ1.lastcol" hidden="1">#REF!</definedName>
    <definedName name="CÁLCULO.MATRIZ1.lastrow" hidden="1">#REF!</definedName>
    <definedName name="CÁLCULO.MATRIZ2.ColunaPadrão" hidden="1">#REF!</definedName>
    <definedName name="CÁLCULO.MATRIZ2.firstcol" hidden="1">#REF!</definedName>
    <definedName name="CÁLCULO.MATRIZ2.lastcol" hidden="1">#REF!</definedName>
    <definedName name="CÁLCULO.MATRIZ2.lastrow" hidden="1">#REF!</definedName>
    <definedName name="CÁLCULO.MATRIZ3.ColunaPadrão" hidden="1">#REF!</definedName>
    <definedName name="CÁLCULO.MATRIZ3.firstcol" hidden="1">#REF!</definedName>
    <definedName name="CÁLCULO.MATRIZ3.lastcol" hidden="1">#REF!</definedName>
    <definedName name="CÁLCULO.MATRIZ3.lastrow" hidden="1">#REF!</definedName>
    <definedName name="CÁLCULO.NúmeroDeEventos" localSheetId="3" hidden="1">IF('BDI INSUMO'!AUTOEVENTO&lt;&gt;"manual",MAX([1]CÁLCULO!$M$15:$M$39),MAX(OFFSET([1]EVENTOS!$C$14:$C$21,1,0)))</definedName>
    <definedName name="CÁLCULO.NúmeroDeEventos" localSheetId="2" hidden="1">IF('BDI SERVIÇO'!AUTOEVENTO&lt;&gt;"manual",MAX([1]CÁLCULO!$M$15:$M$39),MAX(OFFSET([1]EVENTOS!$C$14:$C$21,1,0)))</definedName>
    <definedName name="CÁLCULO.NúmeroDeEventos" hidden="1">IF(AUTOEVENTO&lt;&gt;"manual",MAX(#REF!),MAX(OFFSET(#REF!,1,0)))</definedName>
    <definedName name="CÁLCULO.NúmeroDeFrentes" localSheetId="3" hidden="1">COLUMN([1]CÁLCULO!$AA$15)-COLUMN([1]CÁLCULO!$Q$15)</definedName>
    <definedName name="CÁLCULO.NúmeroDeFrentes" localSheetId="2" hidden="1">COLUMN([1]CÁLCULO!$AA$15)-COLUMN([1]CÁLCULO!$Q$15)</definedName>
    <definedName name="CÁLCULO.NúmeroDeFrentes" hidden="1">COLUMN(#REF!)-COLUMN(#REF!)</definedName>
    <definedName name="CÁLCULO.TotalAdmLocal" localSheetId="3" hidden="1">IF('BDI INSUMO'!AUTOEVENTO="manual",SUMIF([1]CÁLCULO!$M$15:$M$39,1,[1]ORÇAMENTO!$X$15:$X$39),0)</definedName>
    <definedName name="CÁLCULO.TotalAdmLocal" localSheetId="2" hidden="1">IF('BDI SERVIÇO'!AUTOEVENTO="manual",SUMIF([1]CÁLCULO!$M$15:$M$39,1,[1]ORÇAMENTO!$X$15:$X$39),0)</definedName>
    <definedName name="CÁLCULO.TotalAdmLocal" hidden="1">IF(AUTOEVENTO="manual",SUMIF(#REF!,1,#REF!),0)</definedName>
    <definedName name="CONCATENAR">CONCATENATE([3]Banco!$B1," ",[3]Banco!$C1)</definedName>
    <definedName name="concorrentes" localSheetId="3" hidden="1">{#N/A,#N/A,FALSE,"Cronograma";#N/A,#N/A,FALSE,"Cronogr. 2"}</definedName>
    <definedName name="concorrentes" localSheetId="2" hidden="1">{#N/A,#N/A,FALSE,"Cronograma";#N/A,#N/A,FALSE,"Cronogr. 2"}</definedName>
    <definedName name="concorrentes" hidden="1">{#N/A,#N/A,FALSE,"Cronograma";#N/A,#N/A,FALSE,"Cronogr. 2"}</definedName>
    <definedName name="Cot.LP.Banco">#REF!</definedName>
    <definedName name="Cot.LP.Cot">#REF!</definedName>
    <definedName name="Cot.LP.Cotacao">#REF!</definedName>
    <definedName name="Cot.LP.Empresa">#REF!</definedName>
    <definedName name="Cot.LP.Indice">#REF!</definedName>
    <definedName name="CRONO.ColunaPadrão" hidden="1">#REF!</definedName>
    <definedName name="CRONO.Filtro" hidden="1">#REF!</definedName>
    <definedName name="CRONO.FirstCol" hidden="1">#REF!</definedName>
    <definedName name="CRONO.firstrow" hidden="1">#REF!</definedName>
    <definedName name="CRONO.Frenterow" hidden="1">#REF!</definedName>
    <definedName name="CRONO.LastCol" hidden="1">#REF!</definedName>
    <definedName name="CRONO.lastrow" hidden="1">#REF!</definedName>
    <definedName name="CRONO.LinhaPadrão" hidden="1">#REF!</definedName>
    <definedName name="CRONO.LinhasNecessarias" localSheetId="3" hidden="1">COUNTIF([1]QCI!$B$13:$B$24,"Manual")+COUNTIF([1]QCI!$B$13:$B$24,"SemiAuto")+COUNT('BDI INSUMO'!ORÇAMENTO.ListaCrono)</definedName>
    <definedName name="CRONO.LinhasNecessarias" localSheetId="2" hidden="1">COUNTIF([1]QCI!$B$13:$B$24,"Manual")+COUNTIF([1]QCI!$B$13:$B$24,"SemiAuto")+COUNT('BDI SERVIÇO'!ORÇAMENTO.ListaCrono)</definedName>
    <definedName name="CRONO.LinhasNecessarias" hidden="1">COUNTIF(#REF!,"Manual")+COUNTIF(#REF!,"SemiAuto")+COUNT(ORÇAMENTO.ListaCrono)</definedName>
    <definedName name="CRONO.margemrow" hidden="1">#REF!</definedName>
    <definedName name="CRONO.MaxParc" localSheetId="3" hidden="1">[1]CRONO!$G1048576+[1]CRONO!A1</definedName>
    <definedName name="CRONO.MaxParc" localSheetId="2" hidden="1">[1]CRONO!$G1048576+[1]CRONO!A1</definedName>
    <definedName name="CRONO.MaxParc" hidden="1">#REF!+#REF!</definedName>
    <definedName name="CRONO.NivelExibicao" localSheetId="3" hidden="1">[1]CRONO!$G$10</definedName>
    <definedName name="CRONO.NivelExibicao" localSheetId="2" hidden="1">[1]CRONO!$G$10</definedName>
    <definedName name="CRONO.NivelExibicao" hidden="1">#REF!</definedName>
    <definedName name="CRONO.Parcela1" hidden="1">#REF!</definedName>
    <definedName name="CRONOPLE.ColunaPadrão" hidden="1">#REF!</definedName>
    <definedName name="CRONOPLE.FirstCol" hidden="1">#REF!</definedName>
    <definedName name="CRONOPLE.firstrow" hidden="1">#REF!</definedName>
    <definedName name="CRONOPLE.Frenterow" hidden="1">#REF!</definedName>
    <definedName name="CRONOPLE.LastCol" hidden="1">#REF!</definedName>
    <definedName name="CRONOPLE.lastrow" hidden="1">#REF!</definedName>
    <definedName name="CRONOPLE.LinhaPadrão" hidden="1">#REF!</definedName>
    <definedName name="CRONOPLE.margemrow" hidden="1">#REF!</definedName>
    <definedName name="CRONOPLE.ValorDoEvento" localSheetId="3" hidden="1">SUMIF([1]CÁLCULO!$M$15:$M$39,[1]CRONOPLE!$B1,OFFSET([1]CÁLCULO!$AA$15:$AA$39,0,[1]CRONOPLE!A$12))</definedName>
    <definedName name="CRONOPLE.ValorDoEvento" localSheetId="2" hidden="1">SUMIF([1]CÁLCULO!$M$15:$M$39,[1]CRONOPLE!$B1,OFFSET([1]CÁLCULO!$AA$15:$AA$39,0,[1]CRONOPLE!A$12))</definedName>
    <definedName name="CRONOPLE.ValorDoEvento" hidden="1">SUMIF(#REF!,#REF!,OFFSET(#REF!,0,#REF!))</definedName>
    <definedName name="DescForms" localSheetId="3">#REF!</definedName>
    <definedName name="DescForms" localSheetId="2">#REF!</definedName>
    <definedName name="DescForms">#REF!</definedName>
    <definedName name="DESONERACAO" localSheetId="3" hidden="1">IF(OR('BDI INSUMO'!Import.Desoneracao="DESONERADO",'BDI INSUMO'!Import.Desoneracao="SIM"),"SIM","NÃO")</definedName>
    <definedName name="DESONERACAO" localSheetId="2" hidden="1">IF(OR('BDI SERVIÇO'!Import.Desoneracao="DESONERADO",'BDI SERVIÇO'!Import.Desoneracao="SIM"),"SIM","NÃO")</definedName>
    <definedName name="DESONERACAO" localSheetId="4" hidden="1">IF(OR(PLQ!Import.Desoneracao="DESONERADO",PLQ!Import.Desoneracao="SIM"),"SIM","NÃO")</definedName>
    <definedName name="DESONERACAO" hidden="1">IF(OR(Import.Desoneracao="DESONERADO",Import.Desoneracao="SIM"),"SIM","NÃO")</definedName>
    <definedName name="EMPRESAS" localSheetId="3">OFFSET([4]Cotações!#REF!,1,0):OFFSET([4]Cotações!#REF!,-1,0)</definedName>
    <definedName name="EMPRESAS" localSheetId="2">OFFSET([4]Cotações!#REF!,1,0):OFFSET([4]Cotações!#REF!,-1,0)</definedName>
    <definedName name="EMPRESAS">OFFSET([5]Cotações!#REF!,1,0):OFFSET([5]Cotações!#REF!,-1,0)</definedName>
    <definedName name="EVENTOS.firstrow" hidden="1">#REF!</definedName>
    <definedName name="EVENTOS.lastrow" hidden="1">#REF!</definedName>
    <definedName name="EVENTOS.LinhaPadrão" hidden="1">#REF!</definedName>
    <definedName name="EVENTOS.Lista" localSheetId="3" hidden="1">[1]EVENTOS!$C$15:OFFSET([1]EVENTOS!$C$21,-1,0)</definedName>
    <definedName name="EVENTOS.Lista" localSheetId="2" hidden="1">[1]EVENTOS!$C$15:OFFSET([1]EVENTOS!$C$21,-1,0)</definedName>
    <definedName name="EVENTOS.Lista" hidden="1">#REF!:OFFSET(#REF!,-1,0)</definedName>
    <definedName name="EVENTOS.ListaValidacao" localSheetId="3" hidden="1">[1]EVENTOS!$B$15:OFFSET([1]EVENTOS!$B$21,-1,0)</definedName>
    <definedName name="EVENTOS.ListaValidacao" localSheetId="2" hidden="1">[1]EVENTOS!$B$15:OFFSET([1]EVENTOS!$B$21,-1,0)</definedName>
    <definedName name="EVENTOS.ListaValidacao" hidden="1">#REF!:OFFSET(#REF!,-1,0)</definedName>
    <definedName name="Excel_BuiltIn_Database" localSheetId="3" hidden="1">TEXT('BDI INSUMO'!Import.DataBase,"mm-aaaa")</definedName>
    <definedName name="Excel_BuiltIn_Database" localSheetId="2" hidden="1">TEXT('BDI SERVIÇO'!Import.DataBase,"mm-aaaa")</definedName>
    <definedName name="Excel_BuiltIn_Database" hidden="1">TEXT(Import.DataBase,"mm-aaaa")</definedName>
    <definedName name="FiltroCot">#REF!</definedName>
    <definedName name="Import.Apelido" localSheetId="3" hidden="1">[1]DADOS!$F$16</definedName>
    <definedName name="Import.Apelido" localSheetId="2" hidden="1">[1]DADOS!$F$16</definedName>
    <definedName name="Import.Apelido" hidden="1">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.Datas" hidden="1">#REF!</definedName>
    <definedName name="Import.BM.Obs" hidden="1">#REF!</definedName>
    <definedName name="Import.BMAFAcumulado" localSheetId="3" hidden="1">OFFSET([1]BM!$R$15,1,0):OFFSET([1]BM!$R$39,-1,0)</definedName>
    <definedName name="Import.BMAFAcumulado" localSheetId="2" hidden="1">OFFSET([1]BM!$R$15,1,0):OFFSET([1]BM!$R$39,-1,0)</definedName>
    <definedName name="Import.BMAFAcumulado" hidden="1">OFFSET(#REF!,1,0):OFFSET(#REF!,-1,0)</definedName>
    <definedName name="Import.BMArred" hidden="1">#REF!</definedName>
    <definedName name="Import.CNPJ" localSheetId="3" hidden="1">[1]DADOS!$F$38</definedName>
    <definedName name="Import.CNPJ" localSheetId="2" hidden="1">[1]DADOS!$F$38</definedName>
    <definedName name="Import.CNPJ" hidden="1">DADOS!$F$39</definedName>
    <definedName name="Import.Código" localSheetId="3" hidden="1">OFFSET([1]ORÇAMENTO!$Q$15,1,0):OFFSET([1]ORÇAMENTO!$Q$39,-1,0)</definedName>
    <definedName name="Import.Código" localSheetId="2" hidden="1">OFFSET([1]ORÇAMENTO!$Q$15,1,0):OFFSET([1]ORÇAMENTO!$Q$39,-1,0)</definedName>
    <definedName name="Import.Código" hidden="1">OFFSET(#REF!,1,0):OFFSET(#REF!,-1,0)</definedName>
    <definedName name="Import.Contrapartida" localSheetId="3" hidden="1">[1]DADOS!$F$10</definedName>
    <definedName name="Import.Contrapartida" localSheetId="2" hidden="1">[1]DADOS!$F$10</definedName>
    <definedName name="Import.Contrapartida" hidden="1">DADOS!$F$10</definedName>
    <definedName name="Import.CPMaxPerc" localSheetId="3" hidden="1">[1]DADOS!$F$13</definedName>
    <definedName name="Import.CPMaxPerc" localSheetId="2" hidden="1">[1]DADOS!$F$13</definedName>
    <definedName name="Import.CPMaxPerc" hidden="1">DADOS!$F$13</definedName>
    <definedName name="Import.CPMinAbsoluta" localSheetId="3" hidden="1">[1]DADOS!$F$12</definedName>
    <definedName name="Import.CPMinAbsoluta" localSheetId="2" hidden="1">[1]DADOS!$F$12</definedName>
    <definedName name="Import.CPMinAbsoluta" hidden="1">DADOS!$F$12</definedName>
    <definedName name="Import.CPMinPerc" localSheetId="3" hidden="1">[1]DADOS!$F$11</definedName>
    <definedName name="Import.CPMinPerc" localSheetId="2" hidden="1">[1]DADOS!$F$11</definedName>
    <definedName name="Import.CPMinPerc" hidden="1">DADOS!$F$11</definedName>
    <definedName name="Import.CR" localSheetId="3" hidden="1">[1]DADOS!$F$7</definedName>
    <definedName name="Import.CR" localSheetId="2" hidden="1">[1]DADOS!$F$7</definedName>
    <definedName name="Import.CR" hidden="1">DADOS!$F$7</definedName>
    <definedName name="Import.CRONOPLE" localSheetId="3" hidden="1">OFFSET([1]CRONOPLE!$F$15,1,1):OFFSET([1]CRONOPLE!$AF$21,-1,-1)</definedName>
    <definedName name="Import.CRONOPLE" localSheetId="2" hidden="1">OFFSET([1]CRONOPLE!$F$15,1,1):OFFSET([1]CRONOPLE!$AF$21,-1,-1)</definedName>
    <definedName name="Import.CRONOPLE" hidden="1">OFFSET(#REF!,1,1):OFFSET(#REF!,-1,-1)</definedName>
    <definedName name="Import.CTEF" localSheetId="3" hidden="1">[1]DADOS!$F$36</definedName>
    <definedName name="Import.CTEF" localSheetId="2" hidden="1">[1]DADOS!$F$36</definedName>
    <definedName name="Import.CTEF" hidden="1">DADOS!$F$37</definedName>
    <definedName name="Import.CustoUnitário" localSheetId="3" hidden="1">OFFSET([1]ORÇAMENTO!$U$15,1,0):OFFSET([1]ORÇAMENTO!$U$39,-1,0)</definedName>
    <definedName name="Import.CustoUnitário" localSheetId="2" hidden="1">OFFSET([1]ORÇAMENTO!$U$15,1,0):OFFSET([1]ORÇAMENTO!$U$39,-1,0)</definedName>
    <definedName name="Import.CustoUnitário" hidden="1">OFFSET(#REF!,1,0):OFFSET(#REF!,-1,0)</definedName>
    <definedName name="Import.DataBase" localSheetId="3" hidden="1">OFFSET([1]DADOS!$G$19,0,-1)</definedName>
    <definedName name="Import.DataBase" localSheetId="2" hidden="1">OFFSET([1]DADOS!$G$19,0,-1)</definedName>
    <definedName name="Import.DataBase" hidden="1">OFFSET(DADOS!$G$19,0,-1)</definedName>
    <definedName name="Import.DataBaseLicit" localSheetId="3" hidden="1">OFFSET([1]DADOS!$G$40,0,-1)</definedName>
    <definedName name="Import.DataBaseLicit" localSheetId="2" hidden="1">OFFSET([1]DADOS!$G$40,0,-1)</definedName>
    <definedName name="Import.DataBaseLicit" hidden="1">OFFSET(DADOS!$G$41,0,-1)</definedName>
    <definedName name="Import.DataEmissaoLicit" hidden="1">DADOS!$F$36</definedName>
    <definedName name="Import.DataInicioObra" localSheetId="3" hidden="1">[1]DADOS!$F$46</definedName>
    <definedName name="Import.DataInicioObra" localSheetId="2" hidden="1">[1]DADOS!$F$46</definedName>
    <definedName name="Import.DataInicioObra" hidden="1">DADOS!$F$47</definedName>
    <definedName name="Import.DescLote" localSheetId="3" hidden="1">[1]DADOS!$F$17</definedName>
    <definedName name="Import.DescLote" localSheetId="2" hidden="1">[1]DADOS!$F$17</definedName>
    <definedName name="Import.DescLote" hidden="1">DADOS!$F$17</definedName>
    <definedName name="Import.Descrição" localSheetId="3" hidden="1">OFFSET([1]ORÇAMENTO!$R$15,1,0):OFFSET([1]ORÇAMENTO!$R$39,-1,0)</definedName>
    <definedName name="Import.Descrição" localSheetId="2" hidden="1">OFFSET([1]ORÇAMENTO!$R$15,1,0):OFFSET([1]ORÇAMENTO!$R$39,-1,0)</definedName>
    <definedName name="Import.Descrição" hidden="1">OFFSET(#REF!,1,0):OFFSET(#REF!,-1,0)</definedName>
    <definedName name="Import.Desoneracao" localSheetId="3" hidden="1">OFFSET([1]DADOS!$G$18,0,-1)</definedName>
    <definedName name="Import.Desoneracao" localSheetId="2" hidden="1">OFFSET([1]DADOS!$G$18,0,-1)</definedName>
    <definedName name="Import.Desoneracao" localSheetId="4" hidden="1">OFFSET([2]DADOS!$G$18,0,-1)</definedName>
    <definedName name="Import.Desoneracao" hidden="1">OFFSET(DADOS!$G$18,0,-1)</definedName>
    <definedName name="Import.empresa" localSheetId="3" hidden="1">[1]DADOS!$F$37</definedName>
    <definedName name="Import.empresa" localSheetId="2" hidden="1">[1]DADOS!$F$37</definedName>
    <definedName name="Import.empresa" hidden="1">DADOS!$F$38</definedName>
    <definedName name="Import.Eventos.Nível" hidden="1">#REF!</definedName>
    <definedName name="Import.Eventos.Nomes" localSheetId="3" hidden="1">OFFSET([1]EVENTOS!$D$15,1,0):OFFSET([1]EVENTOS!$D$21,-1,0)</definedName>
    <definedName name="Import.Eventos.Nomes" localSheetId="2" hidden="1">OFFSET([1]EVENTOS!$D$15,1,0):OFFSET([1]EVENTOS!$D$21,-1,0)</definedName>
    <definedName name="Import.Eventos.Nomes" hidden="1">OFFSET(#REF!,1,0):OFFSET(#REF!,-1,0)</definedName>
    <definedName name="Import.Fonte" localSheetId="3" hidden="1">OFFSET([1]ORÇAMENTO!$P$15,1,0):OFFSET([1]ORÇAMENTO!$P$39,-1,0)</definedName>
    <definedName name="Import.Fonte" localSheetId="2" hidden="1">OFFSET([1]ORÇAMENTO!$P$15,1,0):OFFSET([1]ORÇAMENTO!$P$39,-1,0)</definedName>
    <definedName name="Import.Fonte" hidden="1">OFFSET(#REF!,1,0):OFFSET(#REF!,-1,0)</definedName>
    <definedName name="Import.FrenteDeObra" localSheetId="3" hidden="1">[1]CÁLCULO!$Q$12:OFFSET([1]CÁLCULO!$AA$12,0,-1)</definedName>
    <definedName name="Import.FrenteDeObra" localSheetId="2" hidden="1">[1]CÁLCULO!$Q$12:OFFSET([1]CÁLCULO!$AA$12,0,-1)</definedName>
    <definedName name="Import.FrenteDeObra" hidden="1">#REF!:OFFSET(#REF!,0,-1)</definedName>
    <definedName name="Import.Município" localSheetId="3" hidden="1">[1]DADOS!$F$6</definedName>
    <definedName name="Import.Município" localSheetId="2" hidden="1">[1]DADOS!$F$6</definedName>
    <definedName name="Import.Município" hidden="1">DADOS!$F$6</definedName>
    <definedName name="Import.Nível" localSheetId="3" hidden="1">OFFSET([1]ORÇAMENTO!$M$15,1,0):OFFSET([1]ORÇAMENTO!$M$39,-1,0)</definedName>
    <definedName name="Import.Nível" localSheetId="2" hidden="1">OFFSET([1]ORÇAMENTO!$M$15,1,0):OFFSET([1]ORÇAMENTO!$M$39,-1,0)</definedName>
    <definedName name="Import.Nível" hidden="1">OFFSET(#REF!,1,0):OFFSET(#REF!,-1,0)</definedName>
    <definedName name="Import.Ofício.Dest" hidden="1">#REF!</definedName>
    <definedName name="Import.Ofício.GIGOV" hidden="1">#REF!</definedName>
    <definedName name="Import.Ofício.Num" hidden="1">#REF!</definedName>
    <definedName name="Import.OpcaoBDI" localSheetId="3" hidden="1">OFFSET([1]ORÇAMENTO!$V$15,1,0):OFFSET([1]ORÇAMENTO!$V$39,-1,0)</definedName>
    <definedName name="Import.OpcaoBDI" localSheetId="2" hidden="1">OFFSET([1]ORÇAMENTO!$V$15,1,0):OFFSET([1]ORÇAMENTO!$V$39,-1,0)</definedName>
    <definedName name="Import.OpcaoBDI" hidden="1">OFFSET(#REF!,1,0):OFFSET(#REF!,-1,0)</definedName>
    <definedName name="Import.ORÇAMENTO.DivRecurso" localSheetId="3" hidden="1">OFFSET([1]ORÇAMENTO!$Y$15,1,0):OFFSET([1]ORÇAMENTO!$Y$39,-1,0)</definedName>
    <definedName name="Import.ORÇAMENTO.DivRecurso" localSheetId="2" hidden="1">OFFSET([1]ORÇAMENTO!$Y$15,1,0):OFFSET([1]ORÇAMENTO!$Y$39,-1,0)</definedName>
    <definedName name="Import.ORÇAMENTO.DivRecurso" hidden="1">OFFSET(#REF!,1,0):OFFSET(#REF!,-1,0)</definedName>
    <definedName name="Import.ORÇAMENTO.Obs" hidden="1">#REF!</definedName>
    <definedName name="Import.PLE" localSheetId="3" hidden="1">OFFSET([1]PLE!$G$15,1,1):OFFSET([1]PLE!$AG$21,-1,-1)</definedName>
    <definedName name="Import.PLE" localSheetId="2" hidden="1">OFFSET([1]PLE!$G$15,1,1):OFFSET([1]PLE!$AG$21,-1,-1)</definedName>
    <definedName name="Import.PLE" hidden="1">OFFSET(#REF!,1,1):OFFSET(#REF!,-1,-1)</definedName>
    <definedName name="Import.PLE.Datas" hidden="1">#REF!</definedName>
    <definedName name="Import.PLQ" localSheetId="3" hidden="1">OFFSET([1]CÁLCULO!$P$15,1,1):OFFSET([1]CÁLCULO!$AA$39,-1,-1)</definedName>
    <definedName name="Import.PLQ" localSheetId="2" hidden="1">OFFSET([1]CÁLCULO!$P$15,1,1):OFFSET([1]CÁLCULO!$AA$39,-1,-1)</definedName>
    <definedName name="Import.PLQ" hidden="1">OFFSET(#REF!,1,1):OFFSET(#REF!,-1,-1)</definedName>
    <definedName name="Import.PLQ.MemCalc" localSheetId="3" hidden="1">OFFSET([1]CÁLCULO!$I$15,1,0):OFFSET([1]CÁLCULO!$I$39,-1,0)</definedName>
    <definedName name="Import.PLQ.MemCalc" localSheetId="2" hidden="1">OFFSET([1]CÁLCULO!$I$15,1,0):OFFSET([1]CÁLCULO!$I$39,-1,0)</definedName>
    <definedName name="Import.PLQ.MemCalc" hidden="1">OFFSET(#REF!,1,0):OFFSET(#REF!,-1,0)</definedName>
    <definedName name="Import.POArred" hidden="1">#REF!</definedName>
    <definedName name="IMport.Prefeito" hidden="1">DADOS!$F$28:$F$29</definedName>
    <definedName name="Import.Proponente" localSheetId="3" hidden="1">[1]DADOS!$F$5</definedName>
    <definedName name="Import.Proponente" localSheetId="2" hidden="1">[1]DADOS!$F$5</definedName>
    <definedName name="Import.Proponente" hidden="1">DADOS!$F$5</definedName>
    <definedName name="Import.QCI.Divisao" localSheetId="3" hidden="1">OFFSET([1]QCI!$V$13,1,0):OFFSET([1]QCI!$V$24,-1,0)</definedName>
    <definedName name="Import.QCI.Divisao" localSheetId="2" hidden="1">OFFSET([1]QCI!$V$13,1,0):OFFSET([1]QCI!$V$24,-1,0)</definedName>
    <definedName name="Import.QCI.Divisao" hidden="1">OFFSET(#REF!,1,0):OFFSET(#REF!,-1,0)</definedName>
    <definedName name="Import.QCI.ItemInv" localSheetId="3" hidden="1">OFFSET([1]QCI!$E$13,1,0):OFFSET([1]QCI!$E$24,-1,0)</definedName>
    <definedName name="Import.QCI.ItemInv" localSheetId="2" hidden="1">OFFSET([1]QCI!$E$13,1,0):OFFSET([1]QCI!$E$24,-1,0)</definedName>
    <definedName name="Import.QCI.ItemInv" hidden="1">OFFSET(#REF!,1,0):OFFSET(#REF!,-1,0)</definedName>
    <definedName name="Import.QCI.Obs" hidden="1">#REF!</definedName>
    <definedName name="Import.QCI.Qtde" localSheetId="3" hidden="1">OFFSET([1]QCI!$I$13,1,0):OFFSET([1]QCI!$I$24,-1,0)</definedName>
    <definedName name="Import.QCI.Qtde" localSheetId="2" hidden="1">OFFSET([1]QCI!$I$13,1,0):OFFSET([1]QCI!$I$24,-1,0)</definedName>
    <definedName name="Import.QCI.Qtde" hidden="1">OFFSET(#REF!,1,0):OFFSET(#REF!,-1,0)</definedName>
    <definedName name="Import.QCI.Situacao" localSheetId="3" hidden="1">OFFSET([1]QCI!$H$13,1,0):OFFSET([1]QCI!$H$24,-1,0)</definedName>
    <definedName name="Import.QCI.Situacao" localSheetId="2" hidden="1">OFFSET([1]QCI!$H$13,1,0):OFFSET([1]QCI!$H$24,-1,0)</definedName>
    <definedName name="Import.QCI.Situacao" hidden="1">OFFSET(#REF!,1,0):OFFSET(#REF!,-1,0)</definedName>
    <definedName name="Import.QCI.SubItemInv" localSheetId="3" hidden="1">OFFSET([1]QCI!$F$13,1,0):OFFSET([1]QCI!$F$24,-1,0)</definedName>
    <definedName name="Import.QCI.SubItemInv" localSheetId="2" hidden="1">OFFSET([1]QCI!$F$13,1,0):OFFSET([1]QCI!$F$24,-1,0)</definedName>
    <definedName name="Import.QCI.SubItemInv" hidden="1">OFFSET(#REF!,1,0):OFFSET(#REF!,-1,0)</definedName>
    <definedName name="Import.QCICP" localSheetId="3" hidden="1">OFFSET([1]QCI!$W$13,1,0):OFFSET([1]QCI!$W$24,-1,0)</definedName>
    <definedName name="Import.QCICP" localSheetId="2" hidden="1">OFFSET([1]QCI!$W$13,1,0):OFFSET([1]QCI!$W$24,-1,0)</definedName>
    <definedName name="Import.QCICP" hidden="1">OFFSET(#REF!,1,0):OFFSET(#REF!,-1,0)</definedName>
    <definedName name="Import.QCIDesc" localSheetId="3" hidden="1">OFFSET([1]QCI!$R$13,1,0):OFFSET([1]QCI!$R$24,-1,0)</definedName>
    <definedName name="Import.QCIDesc" localSheetId="2" hidden="1">OFFSET([1]QCI!$R$13,1,0):OFFSET([1]QCI!$R$24,-1,0)</definedName>
    <definedName name="Import.QCIDesc" hidden="1">OFFSET(#REF!,1,0):OFFSET(#REF!,-1,0)</definedName>
    <definedName name="Import.QCIInv" localSheetId="3" hidden="1">OFFSET([1]QCI!$U$13,1,0):OFFSET([1]QCI!$U$24,-1,0)</definedName>
    <definedName name="Import.QCIInv" localSheetId="2" hidden="1">OFFSET([1]QCI!$U$13,1,0):OFFSET([1]QCI!$U$24,-1,0)</definedName>
    <definedName name="Import.QCIInv" hidden="1">OFFSET(#REF!,1,0):OFFSET(#REF!,-1,0)</definedName>
    <definedName name="Import.QCILote" localSheetId="3" hidden="1">OFFSET([1]QCI!$T$13,1,0):OFFSET([1]QCI!$T$24,-1,0)</definedName>
    <definedName name="Import.QCILote" localSheetId="2" hidden="1">OFFSET([1]QCI!$T$13,1,0):OFFSET([1]QCI!$T$24,-1,0)</definedName>
    <definedName name="Import.QCILote" hidden="1">OFFSET(#REF!,1,0):OFFSET(#REF!,-1,0)</definedName>
    <definedName name="Import.QCIOutros" localSheetId="3" hidden="1">OFFSET([1]QCI!$X$13,1,0):OFFSET([1]QCI!$X$24,-1,0)</definedName>
    <definedName name="Import.QCIOutros" localSheetId="2" hidden="1">OFFSET([1]QCI!$X$13,1,0):OFFSET([1]QCI!$X$24,-1,0)</definedName>
    <definedName name="Import.QCIOutros" hidden="1">OFFSET(#REF!,1,0):OFFSET(#REF!,-1,0)</definedName>
    <definedName name="Import.Quantidade" localSheetId="3" hidden="1">OFFSET([1]ORÇAMENTO!$AJ$15,1,0):OFFSET([1]ORÇAMENTO!$AJ$39,-1,0)</definedName>
    <definedName name="Import.Quantidade" localSheetId="2" hidden="1">OFFSET([1]ORÇAMENTO!$AJ$15,1,0):OFFSET([1]ORÇAMENTO!$AJ$39,-1,0)</definedName>
    <definedName name="Import.Quantidade" hidden="1">OFFSET(#REF!,1,0):OFFSET(#REF!,-1,0)</definedName>
    <definedName name="import.recurso" localSheetId="3" hidden="1">[1]DADOS!$F$4</definedName>
    <definedName name="import.recurso" localSheetId="2" hidden="1">[1]DADOS!$F$4</definedName>
    <definedName name="import.recurso" hidden="1">DADOS!$F$4</definedName>
    <definedName name="Import.RegimeExecução" localSheetId="3" hidden="1">OFFSET([1]DADOS!$G$39,0,-1)</definedName>
    <definedName name="Import.RegimeExecução" localSheetId="2" hidden="1">OFFSET([1]DADOS!$G$39,0,-1)</definedName>
    <definedName name="Import.RegimeExecução" hidden="1">OFFSET(DADOS!$G$40,0,-1)</definedName>
    <definedName name="Import.Repasse" localSheetId="3" hidden="1">[1]DADOS!$F$9</definedName>
    <definedName name="Import.Repasse" localSheetId="2" hidden="1">[1]DADOS!$F$9</definedName>
    <definedName name="Import.Repasse" hidden="1">DADOS!$F$9</definedName>
    <definedName name="Import.RespFiscalização" localSheetId="3" hidden="1">[1]DADOS!$F$50:$F$53</definedName>
    <definedName name="Import.RespFiscalização" localSheetId="2" hidden="1">[1]DADOS!$F$50:$F$53</definedName>
    <definedName name="Import.RespFiscalização" hidden="1">DADOS!$F$51:$F$54</definedName>
    <definedName name="Import.RespOrçamento" localSheetId="3" hidden="1">[1]DADOS!$F$22:$F$24</definedName>
    <definedName name="Import.RespOrçamento" localSheetId="2" hidden="1">[1]DADOS!$F$22:$F$24</definedName>
    <definedName name="Import.RespOrçamento" hidden="1">DADOS!$F$22:$F$24</definedName>
    <definedName name="Import.RRE.Financeiro" hidden="1">#REF!</definedName>
    <definedName name="Import.RRE.Obs" hidden="1">#REF!</definedName>
    <definedName name="Import.RRE.Social" hidden="1">#REF!</definedName>
    <definedName name="Import.SICONV" localSheetId="3" hidden="1">[1]DADOS!$F$8</definedName>
    <definedName name="Import.SICONV" localSheetId="2" hidden="1">[1]DADOS!$F$8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localSheetId="3" hidden="1">OFFSET([1]ORÇAMENTO!$S$15,1,0):OFFSET([1]ORÇAMENTO!$S$39,-1,0)</definedName>
    <definedName name="Import.Unidade" localSheetId="2" hidden="1">OFFSET([1]ORÇAMENTO!$S$15,1,0):OFFSET([1]ORÇAMENTO!$S$39,-1,0)</definedName>
    <definedName name="Import.Unidade" hidden="1">OFFSET(#REF!,1,0):OFFSET(#REF!,-1,0)</definedName>
    <definedName name="Import.UnitarioLicitado" localSheetId="3" hidden="1">OFFSET([1]ORÇAMENTO!$AL$15,1,0):OFFSET([1]ORÇAMENTO!$AL$39,-1,0)</definedName>
    <definedName name="Import.UnitarioLicitado" localSheetId="2" hidden="1">OFFSET([1]ORÇAMENTO!$AL$15,1,0):OFFSET([1]ORÇAMENTO!$AL$39,-1,0)</definedName>
    <definedName name="Import.UnitarioLicitado" hidden="1">OFFSET(#REF!,1,0):OFFSET(#REF!,-1,0)</definedName>
    <definedName name="INDICES" localSheetId="3">OFFSET([4]Cotações!#REF!,1,0):OFFSET([4]Cotações!#REF!,-1,0)</definedName>
    <definedName name="INDICES" localSheetId="2">OFFSET([4]Cotações!#REF!,1,0):OFFSET([4]Cotações!#REF!,-1,0)</definedName>
    <definedName name="INDICES">OFFSET([5]Cotações!#REF!,1,0):OFFSET([5]Cotações!#REF!,-1,0)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localSheetId="3" hidden="1">OFFSET([1]CRONO!$T$11,1,0)</definedName>
    <definedName name="MENU.CRONO" localSheetId="2" hidden="1">OFFSET([1]CRONO!$T$11,1,0)</definedName>
    <definedName name="MENU.CRONO" hidden="1">OFFSET(#REF!,1,0)</definedName>
    <definedName name="MENU.CRONOPLE" hidden="1">#REF!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NCOMPOSICOES">27</definedName>
    <definedName name="NCOTACOES">19</definedName>
    <definedName name="NEMPRESAS">33</definedName>
    <definedName name="NINDICES">3</definedName>
    <definedName name="NRELATORIOS">COUNTA([3]Relatórios!$A:$A)-2</definedName>
    <definedName name="NumerEmpresa">33</definedName>
    <definedName name="NumerIndice">3</definedName>
    <definedName name="Objeto" localSheetId="3">"Referência"</definedName>
    <definedName name="Objeto" localSheetId="2">"Referência"</definedName>
    <definedName name="Objeto" localSheetId="4">"Referência"</definedName>
    <definedName name="Objeto" hidden="1">MENU!$J$1</definedName>
    <definedName name="OQUE">#REF!</definedName>
    <definedName name="ORÇAMENTO.BancoRef" localSheetId="4" hidden="1">#REF!</definedName>
    <definedName name="ORÇAMENTO.BancoRef" hidden="1">#REF!</definedName>
    <definedName name="ORÇAMENTO.CodBarra" localSheetId="3" hidden="1">IF('BDI INSUMO'!ORÇAMENTO.Fonte="Sinapi",SUBSTITUTE(SUBSTITUTE('BDI INSUMO'!ORÇAMENTO.Codigo,"/00","/"),"/0","/"),'BDI INSUMO'!ORÇAMENTO.Codigo)</definedName>
    <definedName name="ORÇAMENTO.CodBarra" localSheetId="2" hidden="1">IF('BDI SERVIÇO'!ORÇAMENTO.Fonte="Sinapi",SUBSTITUTE(SUBSTITUTE('BDI SERVIÇO'!ORÇAMENTO.Codigo,"/00","/"),"/0","/"),'BDI SERVIÇO'!ORÇAMENTO.Codigo)</definedName>
    <definedName name="ORÇAMENTO.CodBarra" hidden="1">IF(ORÇAMENTO.Fonte="Sinapi",SUBSTITUTE(SUBSTITUTE(ORÇAMENTO.Codigo,"/00","/"),"/0","/"),ORÇAMENTO.Codigo)</definedName>
    <definedName name="ORÇAMENTO.Codigo" localSheetId="3" hidden="1">[1]ORÇAMENTO!$Q1</definedName>
    <definedName name="ORÇAMENTO.Codigo" localSheetId="2" hidden="1">[1]ORÇAMENTO!$Q1</definedName>
    <definedName name="ORÇAMENTO.Codigo" hidden="1">#REF!</definedName>
    <definedName name="ORÇAMENTO.ColunaLicit" hidden="1">#REF!</definedName>
    <definedName name="ORÇAMENTO.CopyFormat1" hidden="1">#REF!</definedName>
    <definedName name="ORÇAMENTO.CopyFormat2" hidden="1">#REF!</definedName>
    <definedName name="ORÇAMENTO.CustoUnitario" localSheetId="3" hidden="1">ROUND([1]ORÇAMENTO!$U1,15-13*[1]ORÇAMENTO!$AF$8)</definedName>
    <definedName name="ORÇAMENTO.CustoUnitario" localSheetId="2" hidden="1">ROUND([1]ORÇAMENTO!$U1,15-13*[1]ORÇAMENTO!$AF$8)</definedName>
    <definedName name="ORÇAMENTO.CustoUnitario" hidden="1">ROUND(#REF!,15-13*#REF!)</definedName>
    <definedName name="ORÇAMENTO.Descricao" localSheetId="3" hidden="1">[1]ORÇAMENTO!$R1</definedName>
    <definedName name="ORÇAMENTO.Descricao" localSheetId="2" hidden="1">[1]ORÇAMENTO!$R1</definedName>
    <definedName name="ORÇAMENTO.Descricao" hidden="1">#REF!</definedName>
    <definedName name="ORÇAMENTO.Filtro" hidden="1">#REF!</definedName>
    <definedName name="ORÇAMENTO.firstrow" hidden="1">#REF!</definedName>
    <definedName name="ORÇAMENTO.Fonte" localSheetId="3" hidden="1">[1]ORÇAMENTO!$P1</definedName>
    <definedName name="ORÇAMENTO.Fonte" localSheetId="2" hidden="1">[1]ORÇAMENTO!$P1</definedName>
    <definedName name="ORÇAMENTO.Fonte" hidden="1">#REF!</definedName>
    <definedName name="ORÇAMENTO.lastrow" hidden="1">#REF!</definedName>
    <definedName name="ORÇAMENTO.LinhaPadrão" hidden="1">#REF!</definedName>
    <definedName name="ORÇAMENTO.ListaCrono" localSheetId="3" hidden="1">OFFSET([1]ORÇAMENTO!$AD$15,1,0):OFFSET([1]ORÇAMENTO!$AD$39,-1,0)</definedName>
    <definedName name="ORÇAMENTO.ListaCrono" localSheetId="2" hidden="1">OFFSET([1]ORÇAMENTO!$AD$15,1,0):OFFSET([1]ORÇAMENTO!$AD$39,-1,0)</definedName>
    <definedName name="ORÇAMENTO.ListaCrono" hidden="1">OFFSET(#REF!,1,0):OFFSET(#REF!,-1,0)</definedName>
    <definedName name="ORÇAMENTO.MáximoListaCrono" localSheetId="3" hidden="1">MAX('BDI INSUMO'!ORÇAMENTO.ListaCrono)</definedName>
    <definedName name="ORÇAMENTO.MáximoListaCrono" localSheetId="2" hidden="1">MAX('BDI SERVIÇO'!ORÇAMENTO.ListaCrono)</definedName>
    <definedName name="ORÇAMENTO.MáximoListaCrono" hidden="1">MAX(ORÇAMENTO.ListaCrono)</definedName>
    <definedName name="ORÇAMENTO.Nivel" localSheetId="3" hidden="1">[1]ORÇAMENTO!$M1</definedName>
    <definedName name="ORÇAMENTO.Nivel" localSheetId="2" hidden="1">[1]ORÇAMENTO!$M1</definedName>
    <definedName name="ORÇAMENTO.Nivel" hidden="1">#REF!</definedName>
    <definedName name="ORÇAMENTO.OpcaoBDI" localSheetId="3" hidden="1">[1]ORÇAMENTO!$V1</definedName>
    <definedName name="ORÇAMENTO.OpcaoBDI" localSheetId="2" hidden="1">[1]ORÇAMENTO!$V1</definedName>
    <definedName name="ORÇAMENTO.OpcaoBDI" hidden="1">#REF!</definedName>
    <definedName name="ORÇAMENTO.PasteFormat1" localSheetId="3" hidden="1">OFFSET([1]ORÇAMENTO!$P$15,1,0):OFFSET([1]ORÇAMENTO!$S$39,-1,0)</definedName>
    <definedName name="ORÇAMENTO.PasteFormat1" localSheetId="2" hidden="1">OFFSET([1]ORÇAMENTO!$P$15,1,0):OFFSET([1]ORÇAMENTO!$S$39,-1,0)</definedName>
    <definedName name="ORÇAMENTO.PasteFormat1" hidden="1">OFFSET(#REF!,1,0):OFFSET(#REF!,-1,0)</definedName>
    <definedName name="ORÇAMENTO.PasteFormat2" localSheetId="3" hidden="1">OFFSET([1]ORÇAMENTO!$U$15,1,0):OFFSET([1]ORÇAMENTO!$V$39,-1,0)</definedName>
    <definedName name="ORÇAMENTO.PasteFormat2" localSheetId="2" hidden="1">OFFSET([1]ORÇAMENTO!$U$15,1,0):OFFSET([1]ORÇAMENTO!$V$39,-1,0)</definedName>
    <definedName name="ORÇAMENTO.PasteFormat2" hidden="1">OFFSET(#REF!,1,0):OFFSET(#REF!,-1,0)</definedName>
    <definedName name="ORÇAMENTO.PrecoUnitarioLicitado" localSheetId="3" hidden="1">[1]ORÇAMENTO!$AL1</definedName>
    <definedName name="ORÇAMENTO.PrecoUnitarioLicitado" localSheetId="2" hidden="1">[1]ORÇAMENTO!$AL1</definedName>
    <definedName name="ORÇAMENTO.PrecoUnitarioLicitado" hidden="1">#REF!</definedName>
    <definedName name="ORÇAMENTO.QuantBM" hidden="1">#REF!</definedName>
    <definedName name="ORÇAMENTO.RangeQuant" localSheetId="3" hidden="1">OFFSET([1]ORÇAMENTO!$T$15,1,0):OFFSET([1]ORÇAMENTO!$T$39,-1,0)</definedName>
    <definedName name="ORÇAMENTO.RangeQuant" localSheetId="2" hidden="1">OFFSET([1]ORÇAMENTO!$T$15,1,0):OFFSET([1]ORÇAMENTO!$T$39,-1,0)</definedName>
    <definedName name="ORÇAMENTO.RangeQuant" hidden="1">OFFSET(#REF!,1,0):OFFSET(#REF!,-1,0)</definedName>
    <definedName name="ORÇAMENTO.SumCPMANUAL" localSheetId="3" hidden="1">SUMIF([1]ORÇAMENTO!$Z$15:$Z$39,"CP",[1]ORÇAMENTO!$AA$15:$AA$39)</definedName>
    <definedName name="ORÇAMENTO.SumCPMANUAL" localSheetId="2" hidden="1">SUMIF([1]ORÇAMENTO!$Z$15:$Z$39,"CP",[1]ORÇAMENTO!$AA$15:$AA$39)</definedName>
    <definedName name="ORÇAMENTO.SumCPMANUAL" hidden="1">SUMIF(#REF!,"CP",#REF!)</definedName>
    <definedName name="ORÇAMENTO.SumINVMANUAL" localSheetId="3" hidden="1">SUMIF([1]ORÇAMENTO!$Z$15:$Z$39,"RP",[1]ORÇAMENTO!$X$15:$X$39)+SUMIF([1]ORÇAMENTO!$Z$15:$Z$39,"CP",[1]ORÇAMENTO!$X$15:$X$39)+SUMIF([1]ORÇAMENTO!$Z$15:$Z$39,"OU",[1]ORÇAMENTO!$X$15:$X$39)</definedName>
    <definedName name="ORÇAMENTO.SumINVMANUAL" localSheetId="2" hidden="1">SUMIF([1]ORÇAMENTO!$Z$15:$Z$39,"RP",[1]ORÇAMENTO!$X$15:$X$39)+SUMIF([1]ORÇAMENTO!$Z$15:$Z$39,"CP",[1]ORÇAMENTO!$X$15:$X$39)+SUMIF([1]ORÇAMENTO!$Z$15:$Z$39,"OU",[1]ORÇAMENTO!$X$15:$X$39)</definedName>
    <definedName name="ORÇAMENTO.SumINVMANUAL" hidden="1">SUMIF(#REF!,"RP",#REF!)+SUMIF(#REF!,"CP",#REF!)+SUMIF(#REF!,"OU",#REF!)</definedName>
    <definedName name="ORÇAMENTO.SumOUTROSMANUAL" localSheetId="3" hidden="1">SUMIF([1]ORÇAMENTO!$Z$15:$Z$39,"OU",[1]ORÇAMENTO!$AB$15:$AB$39)</definedName>
    <definedName name="ORÇAMENTO.SumOUTROSMANUAL" localSheetId="2" hidden="1">SUMIF([1]ORÇAMENTO!$Z$15:$Z$39,"OU",[1]ORÇAMENTO!$AB$15:$AB$39)</definedName>
    <definedName name="ORÇAMENTO.SumOUTROSMANUAL" hidden="1">SUMIF(#REF!,"OU",#REF!)</definedName>
    <definedName name="ORÇAMENTO.SumREPASSEMANUAL" localSheetId="3" hidden="1">'BDI INSUMO'!ORÇAMENTO.SumINVMANUAL-'BDI INSUMO'!ORÇAMENTO.SumCPMANUAL-'BDI INSUMO'!ORÇAMENTO.SumOUTROSMANUAL</definedName>
    <definedName name="ORÇAMENTO.SumREPASSEMANUAL" localSheetId="2" hidden="1">'BDI SERVIÇO'!ORÇAMENTO.SumINVMANUAL-'BDI SERVIÇO'!ORÇAMENTO.SumCPMANUAL-'BDI SERVIÇO'!ORÇAMENTO.SumOUTROSMANUAL</definedName>
    <definedName name="ORÇAMENTO.SumREPASSEMANUAL" hidden="1">ORÇAMENTO.SumINVMANUAL-ORÇAMENTO.SumCPMANUAL-ORÇAMENTO.SumOUTROSMANUAL</definedName>
    <definedName name="ORÇAMENTO.Unidade" localSheetId="3" hidden="1">[1]ORÇAMENTO!$S1</definedName>
    <definedName name="ORÇAMENTO.Unidade" localSheetId="2" hidden="1">[1]ORÇAMENTO!$S1</definedName>
    <definedName name="ORÇAMENTO.Unidade" hidden="1">#REF!</definedName>
    <definedName name="PLANOS" localSheetId="3">#REF!</definedName>
    <definedName name="PLANOS" localSheetId="2">#REF!</definedName>
    <definedName name="PLANOS">#REF!</definedName>
    <definedName name="PLANOS." localSheetId="3">#REF!</definedName>
    <definedName name="PLANOS." localSheetId="2">#REF!</definedName>
    <definedName name="PLANOS.">#REF!</definedName>
    <definedName name="PLE.ColunaPadrão" hidden="1">#REF!</definedName>
    <definedName name="PLE.Filtro" hidden="1">#REF!</definedName>
    <definedName name="PLE.FirstCol" hidden="1">#REF!</definedName>
    <definedName name="PLE.firstrow" localSheetId="3" hidden="1">[1]PLE!$15:$15</definedName>
    <definedName name="PLE.firstrow" localSheetId="2" hidden="1">[1]PLE!$15:$15</definedName>
    <definedName name="PLE.firstrow" hidden="1">#REF!</definedName>
    <definedName name="PLE.FrenteRow" hidden="1">#REF!</definedName>
    <definedName name="PLE.LastCol" hidden="1">#REF!</definedName>
    <definedName name="PLE.lastrow" localSheetId="3" hidden="1">[1]PLE!$21:$21</definedName>
    <definedName name="PLE.lastrow" localSheetId="2" hidden="1">[1]PLE!$21:$21</definedName>
    <definedName name="PLE.lastrow" hidden="1">#REF!</definedName>
    <definedName name="PLE.LinhaPadrão" hidden="1">#REF!</definedName>
    <definedName name="PLE.margemrow" hidden="1">#REF!</definedName>
    <definedName name="PLE.Medicao" localSheetId="3" hidden="1">[1]PLE!$J$9</definedName>
    <definedName name="PLE.Medicao" localSheetId="2" hidden="1">[1]PLE!$J$9</definedName>
    <definedName name="PLE.Medicao" hidden="1">#REF!</definedName>
    <definedName name="PLE.MEDIÇÕES.firstrow" hidden="1">#REF!</definedName>
    <definedName name="PLE.MEDIÇÕES.lastrow" hidden="1">#REF!</definedName>
    <definedName name="PLE.MEDIÇÕES.LinhaPadrão" hidden="1">#REF!</definedName>
    <definedName name="PLE.ValorDoEvento" localSheetId="3" hidden="1">SUMIF([1]CÁLCULO!$M$15:$M$39,[1]PLE!$B1,OFFSET([1]CÁLCULO!$AA$15:$AA$39,0,[1]PLE!A$12))</definedName>
    <definedName name="PLE.ValorDoEvento" localSheetId="2" hidden="1">SUMIF([1]CÁLCULO!$M$15:$M$39,[1]PLE!$B1,OFFSET([1]CÁLCULO!$AA$15:$AA$39,0,[1]PLE!A$12))</definedName>
    <definedName name="PLE.ValorDoEvento" hidden="1">SUMIF(#REF!,#REF!,OFFSET(#REF!,0,#REF!))</definedName>
    <definedName name="PO.ValoresBDI" localSheetId="3" hidden="1">OFFSET([1]ORÇAMENTO!$AH$15,1,0):OFFSET([1]ORÇAMENTO!$AH$39,-1,0)</definedName>
    <definedName name="PO.ValoresBDI" localSheetId="2" hidden="1">OFFSET([1]ORÇAMENTO!$AH$15,1,0):OFFSET([1]ORÇAMENTO!$AH$39,-1,0)</definedName>
    <definedName name="PO.ValoresBDI" hidden="1">OFFSET(#REF!,1,0):OFFSET(#REF!,-1,0)</definedName>
    <definedName name="Popular" localSheetId="3" hidden="1">{#N/A,#N/A,FALSE,"Cronograma";#N/A,#N/A,FALSE,"Cronogr. 2"}</definedName>
    <definedName name="Popular" localSheetId="2" hidden="1">{#N/A,#N/A,FALSE,"Cronograma";#N/A,#N/A,FALSE,"Cronogr. 2"}</definedName>
    <definedName name="Popular" hidden="1">{#N/A,#N/A,FALSE,"Cronograma";#N/A,#N/A,FALSE,"Cronogr. 2"}</definedName>
    <definedName name="QCI.CPManual" localSheetId="3" hidden="1">ROUND([1]QCI!$W1,2)</definedName>
    <definedName name="QCI.CPManual" localSheetId="2" hidden="1">ROUND([1]QCI!$W1,2)</definedName>
    <definedName name="QCI.CPManual" hidden="1">ROUND(#REF!,2)</definedName>
    <definedName name="QCI.DescManual" localSheetId="3" hidden="1">[1]QCI!$R1</definedName>
    <definedName name="QCI.DescManual" localSheetId="2" hidden="1">[1]QCI!$R1</definedName>
    <definedName name="QCI.DescManual" hidden="1">#REF!</definedName>
    <definedName name="QCI.Divisao" localSheetId="3" hidden="1">[1]QCI!$V1</definedName>
    <definedName name="QCI.Divisao" localSheetId="2" hidden="1">[1]QCI!$V1</definedName>
    <definedName name="QCI.Divisao" hidden="1">#REF!</definedName>
    <definedName name="QCI.ExisteManual" localSheetId="3" hidden="1">(COUNTIF([1]QCI!$B$13:$B$24,"Manual")+COUNTIF([1]QCI!$B$13:$B$24,"SemiAuto"))&gt;0</definedName>
    <definedName name="QCI.ExisteManual" localSheetId="2" hidden="1">(COUNTIF([1]QCI!$B$13:$B$24,"Manual")+COUNTIF([1]QCI!$B$13:$B$24,"SemiAuto"))&gt;0</definedName>
    <definedName name="QCI.ExisteManual" hidden="1">(COUNTIF(#REF!,"Manual")+COUNTIF(#REF!,"SemiAuto"))&gt;0</definedName>
    <definedName name="QCI.Filtro" hidden="1">#REF!</definedName>
    <definedName name="QCI.firstrow" hidden="1">#REF!</definedName>
    <definedName name="QCI.InvManual" localSheetId="3" hidden="1">ROUND([1]QCI!$U1,2)</definedName>
    <definedName name="QCI.InvManual" localSheetId="2" hidden="1">ROUND([1]QCI!$U1,2)</definedName>
    <definedName name="QCI.InvManual" hidden="1">ROUND(#REF!,2)</definedName>
    <definedName name="QCI.ItemInvestimento" localSheetId="3" hidden="1">OFFSET([1]DADOS!$J$2,1,0,COUNTA([1]DADOS!$J:$J)-1,1)</definedName>
    <definedName name="QCI.ItemInvestimento" localSheetId="2" hidden="1">OFFSET([1]DADOS!$J$2,1,0,COUNTA([1]DADOS!$J:$J)-1,1)</definedName>
    <definedName name="QCI.ItemInvestimento" hidden="1">OFFSET(DADOS!$J$2,1,0,COUNTA(DADOS!$J:$J)-1,1)</definedName>
    <definedName name="QCI.lastrow" hidden="1">#REF!</definedName>
    <definedName name="QCI.LinhaPadrão" hidden="1">#REF!</definedName>
    <definedName name="QCI.LoteManual" localSheetId="3" hidden="1">[1]QCI!$T1</definedName>
    <definedName name="QCI.LoteManual" localSheetId="2" hidden="1">[1]QCI!$T1</definedName>
    <definedName name="QCI.LoteManual" hidden="1">#REF!</definedName>
    <definedName name="QCI.MaxCPManual" localSheetId="3" hidden="1">[1]QCI!$O1-[1]QCI!$X1</definedName>
    <definedName name="QCI.MaxCPManual" localSheetId="2" hidden="1">[1]QCI!$O1-[1]QCI!$X1</definedName>
    <definedName name="QCI.MaxCPManual" hidden="1">#REF!-#REF!</definedName>
    <definedName name="QCI.MaxOUManual" localSheetId="3" hidden="1">[1]QCI!$O1-[1]QCI!$W1</definedName>
    <definedName name="QCI.MaxOUManual" localSheetId="2" hidden="1">[1]QCI!$O1-[1]QCI!$W1</definedName>
    <definedName name="QCI.MaxOUManual" hidden="1">#REF!-#REF!</definedName>
    <definedName name="QCI.OutrosManual" localSheetId="3" hidden="1">ROUND([1]QCI!$X1,2)</definedName>
    <definedName name="QCI.OutrosManual" localSheetId="2" hidden="1">ROUND([1]QCI!$X1,2)</definedName>
    <definedName name="QCI.OutrosManual" hidden="1">ROUND(#REF!,2)</definedName>
    <definedName name="QCI.RepasseManual" hidden="1">#REF!</definedName>
    <definedName name="QCI.SubItemInvestimento" localSheetId="3" hidden="1">OFFSET([1]DADOS!$A$2,1,MATCH([1]QCI!$E1,[1]DADOS!$2:$2,0)-1,INDEX([1]DADOS!$2:$2,MATCH([1]QCI!$E1,[1]DADOS!$2:$2,0)+1))</definedName>
    <definedName name="QCI.SubItemInvestimento" localSheetId="2" hidden="1">OFFSET([1]DADOS!$A$2,1,MATCH([1]QCI!$E1,[1]DADOS!$2:$2,0)-1,INDEX([1]DADOS!$2:$2,MATCH([1]QCI!$E1,[1]DADOS!$2:$2,0)+1))</definedName>
    <definedName name="QCI.SubItemInvestimento" hidden="1">OFFSET(DADOS!$A$2,1,MATCH(#REF!,DADOS!$2:$2,0)-1,INDEX(DADOS!$2:$2,MATCH(#REF!,DADOS!$2:$2,0)+1))</definedName>
    <definedName name="QCI.SumCPMANUAL" localSheetId="3" hidden="1">SUMIF([1]QCI!$B$13:$B$24,"Manual",[1]QCI!$AA$13:$AA$24)</definedName>
    <definedName name="QCI.SumCPMANUAL" localSheetId="2" hidden="1">SUMIF([1]QCI!$B$13:$B$24,"Manual",[1]QCI!$AA$13:$AA$24)</definedName>
    <definedName name="QCI.SumCPMANUAL" hidden="1">SUMIF(#REF!,"Manual",#REF!)</definedName>
    <definedName name="QCI.SumINVMANUAL" localSheetId="3" hidden="1">SUMIF([1]QCI!$B$13:$B$24,"Manual",[1]QCI!$O$13:$O$24)</definedName>
    <definedName name="QCI.SumINVMANUAL" localSheetId="2" hidden="1">SUMIF([1]QCI!$B$13:$B$24,"Manual",[1]QCI!$O$13:$O$24)</definedName>
    <definedName name="QCI.SumINVMANUAL" hidden="1">SUMIF(#REF!,"Manual",#REF!)</definedName>
    <definedName name="QCI.SumOUTROSMANUAL" localSheetId="3" hidden="1">SUMIF([1]QCI!$B$13:$B$24,"Manual",[1]QCI!$AB$13:$AB$24)</definedName>
    <definedName name="QCI.SumOUTROSMANUAL" localSheetId="2" hidden="1">SUMIF([1]QCI!$B$13:$B$24,"Manual",[1]QCI!$AB$13:$AB$24)</definedName>
    <definedName name="QCI.SumOUTROSMANUAL" hidden="1">SUMIF(#REF!,"Manual",#REF!)</definedName>
    <definedName name="QCI.SumREPASSEMANUAL" localSheetId="3" hidden="1">'BDI INSUMO'!QCI.SumINVMANUAL-'BDI INSUMO'!QCI.CPManual-'BDI INSUMO'!QCI.OutrosManual</definedName>
    <definedName name="QCI.SumREPASSEMANUAL" localSheetId="2" hidden="1">'BDI SERVIÇO'!QCI.SumINVMANUAL-'BDI SERVIÇO'!QCI.CPManual-'BDI SERVIÇO'!QCI.OutrosManual</definedName>
    <definedName name="QCI.SumREPASSEMANUAL" hidden="1">QCI.SumINVMANUAL-QCI.CPManual-QCI.OutrosManual</definedName>
    <definedName name="QCI.TotalCP" hidden="1">#REF!</definedName>
    <definedName name="REFERENCIA.Descricao" localSheetId="3" hidden="1">IF(ISNUMBER(#REF!),OFFSET(INDIRECT(ORÇAMENTO.BancoRef),#REF!-1,3,1),#REF!)</definedName>
    <definedName name="REFERENCIA.Descricao" localSheetId="2" hidden="1">IF(ISNUMBER(#REF!),OFFSET(INDIRECT(ORÇAMENTO.BancoRef),#REF!-1,3,1),#REF!)</definedName>
    <definedName name="REFERENCIA.Descricao" localSheetId="4" hidden="1">IF(ISNUMBER(#REF!),OFFSET(INDIRECT(PLQ!ORÇAMENTO.BancoRef),#REF!-1,3,1),#REF!)</definedName>
    <definedName name="REFERENCIA.Descricao" hidden="1">IF(ISNUMBER(#REF!),OFFSET(INDIRECT(ORÇAMENTO.BancoRef),#REF!-1,3,1),#REF!)</definedName>
    <definedName name="REFERENCIA.Desonerado" localSheetId="3" hidden="1">#N/A</definedName>
    <definedName name="REFERENCIA.Desonerado" localSheetId="2" hidden="1">#N/A</definedName>
    <definedName name="REFERENCIA.Desonerado" hidden="1">IF(ISNUMBER(#REF!),VALUE(OFFSET(INDIRECT(ORÇAMENTO.BancoRef),#REF!-1,5,1)),0)</definedName>
    <definedName name="REFERENCIA.NaoDesonerado" localSheetId="3" hidden="1">#N/A</definedName>
    <definedName name="REFERENCIA.NaoDesonerado" localSheetId="2" hidden="1">#N/A</definedName>
    <definedName name="REFERENCIA.NaoDesonerado" hidden="1">IF(ISNUMBER(#REF!),VALUE(OFFSET(INDIRECT(ORÇAMENTO.BancoRef),#REF!-1,6,1)),0)</definedName>
    <definedName name="REFERENCIA.Unidade" localSheetId="3" hidden="1">#N/A</definedName>
    <definedName name="REFERENCIA.Unidade" localSheetId="2" hidden="1">#N/A</definedName>
    <definedName name="REFERENCIA.Unidade" hidden="1">IF(ISNUMBER(#REF!),OFFSET(INDIRECT(ORÇAMENTO.BancoRef),#REF!-1,4,1),"-")</definedName>
    <definedName name="RegimeExecucao" localSheetId="3" hidden="1">IF(OR('BDI INSUMO'!Import.RegimeExecução="",'BDI INSUMO'!Import.RegimeExecução="Empreitada por Preço Global",'BDI INSUMO'!Import.RegimeExecução="Empreitada Integral"),"Global","Unitário")</definedName>
    <definedName name="RegimeExecucao" localSheetId="2" hidden="1">IF(OR('BDI SERVIÇO'!Import.RegimeExecução="",'BDI SERVIÇO'!Import.RegimeExecução="Empreitada por Preço Global",'BDI SERVIÇO'!Import.RegimeExecução="Empreitada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elatoriosFontes" localSheetId="3">OFFSET([3]Relatórios!$A$5,1,0,NRELATORIOS)</definedName>
    <definedName name="RelatoriosFontes" localSheetId="2">OFFSET([3]Relatórios!$A$5,1,0,NRELATORIOS)</definedName>
    <definedName name="RelatoriosFontes">OFFSET([3]Relatórios!$A$5,1,0,NRELATORIOS)</definedName>
    <definedName name="rio" localSheetId="3" hidden="1">{#N/A,#N/A,FALSE,"Cronograma";#N/A,#N/A,FALSE,"Cronogr. 2"}</definedName>
    <definedName name="rio" localSheetId="2" hidden="1">{#N/A,#N/A,FALSE,"Cronograma";#N/A,#N/A,FALSE,"Cronogr. 2"}</definedName>
    <definedName name="rio" hidden="1">{#N/A,#N/A,FALSE,"Cronograma";#N/A,#N/A,FALSE,"Cronogr. 2"}</definedName>
    <definedName name="RRE.CPDiferente" hidden="1">#REF!</definedName>
    <definedName name="RRE.Filtro" hidden="1">#REF!</definedName>
    <definedName name="RRE.firstrow" hidden="1">#REF!</definedName>
    <definedName name="RRE.lastrow" hidden="1">#REF!</definedName>
    <definedName name="RRE.LinhaPadrão" hidden="1">#REF!</definedName>
    <definedName name="RRE.MaxCPAcum" localSheetId="3" hidden="1">[1]RRE!$AD$26</definedName>
    <definedName name="RRE.MaxCPAcum" localSheetId="2" hidden="1">[1]RRE!$AD$26</definedName>
    <definedName name="RRE.MaxCPAcum" hidden="1">#REF!</definedName>
    <definedName name="RRE.MaxCPAnt" localSheetId="3" hidden="1">[1]RRE!$AC$26</definedName>
    <definedName name="RRE.MaxCPAnt" localSheetId="2" hidden="1">[1]RRE!$AC$26</definedName>
    <definedName name="RRE.MaxCPAnt" hidden="1">#REF!</definedName>
    <definedName name="RRE.MaxOUAcum" localSheetId="3" hidden="1">[1]RRE!$AD$27</definedName>
    <definedName name="RRE.MaxOUAcum" localSheetId="2" hidden="1">[1]RRE!$AD$27</definedName>
    <definedName name="RRE.MaxOUAcum" hidden="1">#REF!</definedName>
    <definedName name="RRE.MaxOUAnt" localSheetId="3" hidden="1">[1]RRE!$AC$27</definedName>
    <definedName name="RRE.MaxOUAnt" localSheetId="2" hidden="1">[1]RRE!$AC$27</definedName>
    <definedName name="RRE.MaxOUAnt" hidden="1">#REF!</definedName>
    <definedName name="RRE.Numero" localSheetId="3" hidden="1">OFFSET([1]RRE!$O$7,0,1)</definedName>
    <definedName name="RRE.Numero" localSheetId="2" hidden="1">OFFSET([1]RRE!$O$7,0,1)</definedName>
    <definedName name="RRE.Numero" hidden="1">OFFSET(#REF!,0,1)</definedName>
    <definedName name="RRE.VIMeta" localSheetId="3" hidden="1">[1]RRE!$L1</definedName>
    <definedName name="RRE.VIMeta" localSheetId="2" hidden="1">[1]RRE!$L1</definedName>
    <definedName name="RRE.VIMeta" hidden="1">#REF!</definedName>
    <definedName name="SENHAGT" localSheetId="3" hidden="1">"PM2CAIXA"</definedName>
    <definedName name="SENHAGT" localSheetId="2" hidden="1">"PM2CAIXA"</definedName>
    <definedName name="SENHAGT" localSheetId="4" hidden="1">"PM2CAIXA"</definedName>
    <definedName name="SENHAGT" hidden="1">"PM3CAIXA"</definedName>
    <definedName name="SINAPI_AC" hidden="1">#REF!</definedName>
    <definedName name="SomaAgrup" localSheetId="3" hidden="1">SUMIF(OFFSET([1]ORÇAMENTO!$C1,1,0,[1]ORÇAMENTO!$D1),"S",OFFSET([1]ORÇAMENTO!A1,1,0,[1]ORÇAMENTO!$D1))</definedName>
    <definedName name="SomaAgrup" localSheetId="2" hidden="1">SUMIF(OFFSET([1]ORÇAMENTO!$C1,1,0,[1]ORÇAMENTO!$D1),"S",OFFSET([1]ORÇAMENTO!A1,1,0,[1]ORÇAMENTO!$D1))</definedName>
    <definedName name="SomaAgrup" hidden="1">SUMIF(OFFSET(#REF!,1,0,#REF!),"S",OFFSET(#REF!,1,0,#REF!))</definedName>
    <definedName name="SomaAgrupBM" localSheetId="3" hidden="1">SUMIF(OFFSET([1]BM!$A1,1,0,[1]BM!$B1),"S",OFFSET([1]BM!A1,1,0,[1]BM!$B1))</definedName>
    <definedName name="SomaAgrupBM" localSheetId="2" hidden="1">SUMIF(OFFSET([1]BM!$A1,1,0,[1]BM!$B1),"S",OFFSET([1]BM!A1,1,0,[1]BM!$B1))</definedName>
    <definedName name="SomaAgrupBM" hidden="1">SUMIF(OFFSET(#REF!,1,0,#REF!),"S",OFFSET(#REF!,1,0,#REF!))</definedName>
    <definedName name="ss" localSheetId="3" hidden="1">{#N/A,#N/A,FALSE,"Cronograma";#N/A,#N/A,FALSE,"Cronogr. 2"}</definedName>
    <definedName name="ss" localSheetId="2" hidden="1">{#N/A,#N/A,FALSE,"Cronograma";#N/A,#N/A,FALSE,"Cronogr. 2"}</definedName>
    <definedName name="ss" hidden="1">{#N/A,#N/A,FALSE,"Cronograma";#N/A,#N/A,FALSE,"Cronogr. 2"}</definedName>
    <definedName name="TIPOORCAMENTO" localSheetId="3" hidden="1">IF(VALUE([1]MENU!$O$3)=2,"Licitado","Proposto")</definedName>
    <definedName name="TIPOORCAMENTO" localSheetId="2" hidden="1">IF(VALUE([1]MENU!$O$3)=2,"Licitado","Proposto")</definedName>
    <definedName name="TIPOORCAMENTO" hidden="1">IF(VALUE(MENU!$O$3)=2,"Licitado","Proposto")</definedName>
    <definedName name="_xlnm.Print_Titles" localSheetId="4">PLQ!$1:$14</definedName>
    <definedName name="Versao" localSheetId="3" hidden="1">[1]MENU!$J$2</definedName>
    <definedName name="Versao" localSheetId="2" hidden="1">[1]MENU!$J$2</definedName>
    <definedName name="Versao" hidden="1">MENU!$J$2</definedName>
    <definedName name="VTOTAL1" localSheetId="3" hidden="1">ROUND([1]ORÇAMENTO!$T1*[1]ORÇAMENTO!$W1,15-13*[1]ORÇAMENTO!$AF$11)</definedName>
    <definedName name="VTOTAL1" localSheetId="2" hidden="1">ROUND([1]ORÇAMENTO!$T1*[1]ORÇAMENTO!$W1,15-13*[1]ORÇAMENTO!$AF$11)</definedName>
    <definedName name="VTOTAL1" hidden="1">ROUND(#REF!*#REF!,15-13*#REF!)</definedName>
    <definedName name="VTOTALBM" localSheetId="3" hidden="1">IF([1]BM!$I1=0,0,CHOOSE(MATCH('BDI INSUMO'!RegimeExecucao,{"Global","Unitário"},0),ROUND(ROUND([1]BM!XFB1,15-13*[1]BM!$A$9)/100*[1]BM!$I1,15-13*[1]ORÇAMENTO!$AF$11),ROUND(ROUND([1]BM!XFB1,15-13*[1]BM!$A$9)*ROUND([1]BM!$H1,15-13*[1]ORÇAMENTO!$AF$10),15-13*[1]ORÇAMENTO!$AF$11)))</definedName>
    <definedName name="VTOTALBM" localSheetId="2" hidden="1">IF([1]BM!$I1=0,0,CHOOSE(MATCH('BDI SERVIÇO'!RegimeExecucao,{"Global","Unitário"},0),ROUND(ROUND([1]BM!XFB1,15-13*[1]BM!$A$9)/100*[1]BM!$I1,15-13*[1]ORÇAMENTO!$AF$11),ROUND(ROUND([1]BM!XFB1,15-13*[1]BM!$A$9)*ROUND([1]BM!$H1,15-13*[1]ORÇAMENTO!$AF$10),15-13*[1]ORÇAMENTO!$AF$11)))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VTOTALMED" hidden="1">#REF!</definedName>
    <definedName name="wrn.Cronograma." localSheetId="3" hidden="1">{#N/A,#N/A,FALSE,"Cronograma";#N/A,#N/A,FALSE,"Cronogr. 2"}</definedName>
    <definedName name="wrn.Cronograma." localSheetId="2" hidden="1">{#N/A,#N/A,FALSE,"Cronograma";#N/A,#N/A,FALSE,"Cronogr. 2"}</definedName>
    <definedName name="wrn.Cronograma." hidden="1">{#N/A,#N/A,FALSE,"Cronograma";#N/A,#N/A,FALSE,"Cronogr. 2"}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</workbook>
</file>

<file path=xl/calcChain.xml><?xml version="1.0" encoding="utf-8"?>
<calcChain xmlns="http://schemas.openxmlformats.org/spreadsheetml/2006/main">
  <c r="N16" i="17" l="1"/>
  <c r="N16" i="18"/>
  <c r="J61" i="18"/>
  <c r="J60" i="18"/>
  <c r="J59" i="18"/>
  <c r="A57" i="18"/>
  <c r="A58" i="18" s="1"/>
  <c r="C56" i="18"/>
  <c r="I54" i="18"/>
  <c r="A52" i="18"/>
  <c r="A53" i="18" s="1"/>
  <c r="C51" i="18"/>
  <c r="A51" i="18"/>
  <c r="C50" i="18"/>
  <c r="I49" i="18"/>
  <c r="I47" i="18"/>
  <c r="M45" i="18"/>
  <c r="M44" i="18"/>
  <c r="L44" i="18"/>
  <c r="I41" i="18"/>
  <c r="A41" i="18"/>
  <c r="A44" i="18" s="1"/>
  <c r="C40" i="18"/>
  <c r="A40" i="18"/>
  <c r="O39" i="18"/>
  <c r="C39" i="18"/>
  <c r="N38" i="18"/>
  <c r="N37" i="18"/>
  <c r="O37" i="18" s="1"/>
  <c r="N36" i="18"/>
  <c r="N39" i="18" s="1"/>
  <c r="A35" i="18"/>
  <c r="A36" i="18" s="1"/>
  <c r="M34" i="18"/>
  <c r="I34" i="18"/>
  <c r="C34" i="18"/>
  <c r="A34" i="18"/>
  <c r="M33" i="18"/>
  <c r="I33" i="18"/>
  <c r="C33" i="18"/>
  <c r="M32" i="18"/>
  <c r="I32" i="18"/>
  <c r="M31" i="18"/>
  <c r="I31" i="18"/>
  <c r="M30" i="18"/>
  <c r="I30" i="18"/>
  <c r="A30" i="18"/>
  <c r="A31" i="18" s="1"/>
  <c r="C29" i="18"/>
  <c r="A29" i="18"/>
  <c r="C27" i="18"/>
  <c r="A27" i="18"/>
  <c r="C26" i="18"/>
  <c r="C25" i="18"/>
  <c r="C24" i="18"/>
  <c r="C23" i="18"/>
  <c r="C22" i="18"/>
  <c r="I18" i="18"/>
  <c r="I16" i="18"/>
  <c r="C10" i="18"/>
  <c r="C9" i="18"/>
  <c r="A4" i="18"/>
  <c r="C4" i="18" s="1"/>
  <c r="C3" i="18"/>
  <c r="A3" i="18"/>
  <c r="C2" i="18"/>
  <c r="N1" i="18"/>
  <c r="J61" i="17"/>
  <c r="J60" i="17"/>
  <c r="J59" i="17"/>
  <c r="A59" i="17"/>
  <c r="A60" i="17" s="1"/>
  <c r="A58" i="17"/>
  <c r="C58" i="17" s="1"/>
  <c r="A57" i="17"/>
  <c r="C57" i="17" s="1"/>
  <c r="C56" i="17"/>
  <c r="I54" i="17"/>
  <c r="A53" i="17"/>
  <c r="A54" i="17" s="1"/>
  <c r="C52" i="17"/>
  <c r="A52" i="17"/>
  <c r="C51" i="17"/>
  <c r="A51" i="17"/>
  <c r="C50" i="17"/>
  <c r="I49" i="17"/>
  <c r="I47" i="17"/>
  <c r="M45" i="17"/>
  <c r="M44" i="17"/>
  <c r="L44" i="17"/>
  <c r="I41" i="17"/>
  <c r="A40" i="17"/>
  <c r="A41" i="17" s="1"/>
  <c r="O39" i="17"/>
  <c r="C39" i="17"/>
  <c r="O37" i="17"/>
  <c r="N37" i="17"/>
  <c r="N36" i="17"/>
  <c r="N38" i="17" s="1"/>
  <c r="A35" i="17"/>
  <c r="A36" i="17" s="1"/>
  <c r="M34" i="17"/>
  <c r="I34" i="17"/>
  <c r="A34" i="17"/>
  <c r="C34" i="17" s="1"/>
  <c r="M33" i="17"/>
  <c r="I33" i="17"/>
  <c r="C33" i="17"/>
  <c r="M32" i="17"/>
  <c r="I32" i="17"/>
  <c r="M31" i="17"/>
  <c r="I31" i="17"/>
  <c r="M30" i="17"/>
  <c r="I30" i="17"/>
  <c r="A29" i="17"/>
  <c r="A30" i="17" s="1"/>
  <c r="A27" i="17"/>
  <c r="C27" i="17" s="1"/>
  <c r="C26" i="17"/>
  <c r="C25" i="17"/>
  <c r="C24" i="17"/>
  <c r="C23" i="17"/>
  <c r="C22" i="17"/>
  <c r="I18" i="17"/>
  <c r="I16" i="17"/>
  <c r="C10" i="17"/>
  <c r="C9" i="17"/>
  <c r="A3" i="17"/>
  <c r="C3" i="17" s="1"/>
  <c r="C2" i="17"/>
  <c r="N1" i="17"/>
  <c r="E8" i="16"/>
  <c r="A8" i="16"/>
  <c r="A6" i="16"/>
  <c r="E6" i="16"/>
  <c r="A37" i="18" l="1"/>
  <c r="C36" i="18"/>
  <c r="A32" i="18"/>
  <c r="C32" i="18" s="1"/>
  <c r="C31" i="18"/>
  <c r="C58" i="18"/>
  <c r="A59" i="18"/>
  <c r="A45" i="18"/>
  <c r="C44" i="18"/>
  <c r="A54" i="18"/>
  <c r="C53" i="18"/>
  <c r="C41" i="18"/>
  <c r="A5" i="18"/>
  <c r="C52" i="18"/>
  <c r="C35" i="18"/>
  <c r="C30" i="18"/>
  <c r="C57" i="18"/>
  <c r="C54" i="17"/>
  <c r="A55" i="17"/>
  <c r="C55" i="17" s="1"/>
  <c r="A31" i="17"/>
  <c r="C30" i="17"/>
  <c r="A44" i="17"/>
  <c r="C41" i="17"/>
  <c r="A61" i="17"/>
  <c r="C61" i="17" s="1"/>
  <c r="C60" i="17"/>
  <c r="A37" i="17"/>
  <c r="C36" i="17"/>
  <c r="A4" i="17"/>
  <c r="C59" i="17"/>
  <c r="C35" i="17"/>
  <c r="N39" i="17"/>
  <c r="C53" i="17"/>
  <c r="C29" i="17"/>
  <c r="C40" i="17"/>
  <c r="H33" i="16"/>
  <c r="K33" i="16" s="1"/>
  <c r="J34" i="16" s="1"/>
  <c r="K34" i="16"/>
  <c r="A60" i="18" l="1"/>
  <c r="C59" i="18"/>
  <c r="A7" i="18"/>
  <c r="C5" i="18"/>
  <c r="C54" i="18"/>
  <c r="A55" i="18"/>
  <c r="C55" i="18" s="1"/>
  <c r="C45" i="18"/>
  <c r="A46" i="18"/>
  <c r="C46" i="18" s="1"/>
  <c r="C37" i="18"/>
  <c r="A38" i="18"/>
  <c r="C38" i="18" s="1"/>
  <c r="A45" i="17"/>
  <c r="C44" i="17"/>
  <c r="C37" i="17"/>
  <c r="A38" i="17"/>
  <c r="C38" i="17" s="1"/>
  <c r="A5" i="17"/>
  <c r="C4" i="17"/>
  <c r="C31" i="17"/>
  <c r="A32" i="17"/>
  <c r="C32" i="17" s="1"/>
  <c r="N37" i="16"/>
  <c r="A61" i="18" l="1"/>
  <c r="C61" i="18" s="1"/>
  <c r="C60" i="18"/>
  <c r="A8" i="18"/>
  <c r="C8" i="18" s="1"/>
  <c r="R34" i="18" s="1"/>
  <c r="C7" i="18"/>
  <c r="Q30" i="18" s="1"/>
  <c r="P33" i="18"/>
  <c r="P31" i="18"/>
  <c r="R30" i="18"/>
  <c r="R31" i="18"/>
  <c r="Q32" i="18"/>
  <c r="P34" i="18"/>
  <c r="P30" i="18"/>
  <c r="P38" i="18"/>
  <c r="P32" i="18"/>
  <c r="R33" i="18"/>
  <c r="Q31" i="18"/>
  <c r="Q33" i="18"/>
  <c r="Q38" i="18"/>
  <c r="Q34" i="18"/>
  <c r="R32" i="18"/>
  <c r="C45" i="17"/>
  <c r="A46" i="17"/>
  <c r="C46" i="17" s="1"/>
  <c r="A7" i="17"/>
  <c r="C5" i="17"/>
  <c r="J101" i="16"/>
  <c r="H119" i="16" s="1"/>
  <c r="K117" i="16"/>
  <c r="I102" i="16"/>
  <c r="R38" i="18" l="1"/>
  <c r="O38" i="18" s="1"/>
  <c r="V39" i="18" s="1"/>
  <c r="T28" i="18" s="1"/>
  <c r="C7" i="17"/>
  <c r="Q34" i="17" s="1"/>
  <c r="A8" i="17"/>
  <c r="C8" i="17" s="1"/>
  <c r="R38" i="17" s="1"/>
  <c r="J110" i="16"/>
  <c r="J111" i="16" s="1"/>
  <c r="J112" i="16" s="1"/>
  <c r="J113" i="16" s="1"/>
  <c r="J114" i="16" s="1"/>
  <c r="J115" i="16" s="1"/>
  <c r="J116" i="16" s="1"/>
  <c r="I103" i="16"/>
  <c r="C241" i="16"/>
  <c r="C239" i="16"/>
  <c r="A229" i="16"/>
  <c r="P31" i="17" l="1"/>
  <c r="R31" i="17"/>
  <c r="P32" i="17"/>
  <c r="R30" i="17"/>
  <c r="R32" i="17"/>
  <c r="Q38" i="17"/>
  <c r="R34" i="17"/>
  <c r="Q32" i="17"/>
  <c r="P30" i="17"/>
  <c r="P34" i="17"/>
  <c r="Q31" i="17"/>
  <c r="Q30" i="17"/>
  <c r="P38" i="17"/>
  <c r="O38" i="17" s="1"/>
  <c r="V39" i="17" s="1"/>
  <c r="T28" i="17" s="1"/>
  <c r="Q33" i="17"/>
  <c r="R33" i="17"/>
  <c r="P33" i="17"/>
  <c r="I104" i="16"/>
  <c r="F92" i="16"/>
  <c r="K92" i="16" s="1"/>
  <c r="G101" i="16" s="1"/>
  <c r="I93" i="16"/>
  <c r="I94" i="16" s="1"/>
  <c r="K99" i="16"/>
  <c r="J102" i="16"/>
  <c r="J103" i="16" s="1"/>
  <c r="J104" i="16" s="1"/>
  <c r="J105" i="16" s="1"/>
  <c r="J106" i="16" s="1"/>
  <c r="J107" i="16" s="1"/>
  <c r="I105" i="16" l="1"/>
  <c r="K93" i="16"/>
  <c r="K94" i="16"/>
  <c r="I95" i="16"/>
  <c r="G110" i="16" l="1"/>
  <c r="G119" i="16"/>
  <c r="K101" i="16"/>
  <c r="I106" i="16"/>
  <c r="K95" i="16"/>
  <c r="I96" i="16"/>
  <c r="K110" i="16" l="1"/>
  <c r="I107" i="16"/>
  <c r="I97" i="16"/>
  <c r="K96" i="16"/>
  <c r="K97" i="16" l="1"/>
  <c r="I98" i="16"/>
  <c r="K207" i="16" l="1"/>
  <c r="K206" i="16"/>
  <c r="K205" i="16"/>
  <c r="K204" i="16"/>
  <c r="K203" i="16"/>
  <c r="K202" i="16"/>
  <c r="K201" i="16"/>
  <c r="K208" i="16"/>
  <c r="I207" i="16"/>
  <c r="H207" i="16"/>
  <c r="I206" i="16"/>
  <c r="H206" i="16"/>
  <c r="I205" i="16"/>
  <c r="H205" i="16"/>
  <c r="I204" i="16"/>
  <c r="H204" i="16"/>
  <c r="I203" i="16"/>
  <c r="H203" i="16"/>
  <c r="I202" i="16"/>
  <c r="H202" i="16"/>
  <c r="I201" i="16"/>
  <c r="H201" i="16"/>
  <c r="K224" i="16"/>
  <c r="N43" i="16"/>
  <c r="K98" i="16" s="1"/>
  <c r="J99" i="16" s="1"/>
  <c r="K222" i="16"/>
  <c r="H166" i="16"/>
  <c r="K166" i="16" s="1"/>
  <c r="K220" i="16"/>
  <c r="I193" i="16" s="1"/>
  <c r="K223" i="16"/>
  <c r="K225" i="16"/>
  <c r="K219" i="16"/>
  <c r="I192" i="16" s="1"/>
  <c r="K221" i="16"/>
  <c r="H165" i="16"/>
  <c r="H156" i="16" s="1"/>
  <c r="K65" i="16"/>
  <c r="K48" i="16"/>
  <c r="K181" i="16"/>
  <c r="K180" i="16"/>
  <c r="K179" i="16"/>
  <c r="K178" i="16"/>
  <c r="K177" i="16"/>
  <c r="K176" i="16"/>
  <c r="K175" i="16"/>
  <c r="K174" i="16"/>
  <c r="C47" i="16"/>
  <c r="C65" i="16" s="1"/>
  <c r="C48" i="16"/>
  <c r="C49" i="16"/>
  <c r="C50" i="16"/>
  <c r="C51" i="16"/>
  <c r="C52" i="16"/>
  <c r="C46" i="16"/>
  <c r="C55" i="16" s="1"/>
  <c r="C73" i="16" s="1"/>
  <c r="C82" i="16" s="1"/>
  <c r="C92" i="16" s="1"/>
  <c r="K67" i="16"/>
  <c r="K68" i="16"/>
  <c r="K69" i="16"/>
  <c r="K70" i="16"/>
  <c r="K64" i="16"/>
  <c r="K49" i="16"/>
  <c r="K50" i="16"/>
  <c r="K51" i="16"/>
  <c r="K52" i="16"/>
  <c r="K71" i="16"/>
  <c r="K183" i="16"/>
  <c r="H210" i="16"/>
  <c r="H211" i="16"/>
  <c r="K43" i="16"/>
  <c r="K42" i="16"/>
  <c r="K41" i="16"/>
  <c r="K40" i="16"/>
  <c r="K39" i="16"/>
  <c r="K38" i="16"/>
  <c r="H56" i="16" s="1"/>
  <c r="K37" i="16"/>
  <c r="H55" i="16" s="1"/>
  <c r="F24" i="16"/>
  <c r="K24" i="16" s="1"/>
  <c r="J25" i="16" s="1"/>
  <c r="K17" i="16"/>
  <c r="K226" i="16"/>
  <c r="K217" i="16"/>
  <c r="I211" i="16"/>
  <c r="I212" i="16" s="1"/>
  <c r="I213" i="16" s="1"/>
  <c r="I214" i="16" s="1"/>
  <c r="I215" i="16" s="1"/>
  <c r="I216" i="16" s="1"/>
  <c r="G210" i="16"/>
  <c r="K199" i="16"/>
  <c r="E193" i="16"/>
  <c r="K190" i="16"/>
  <c r="K188" i="16"/>
  <c r="K186" i="16"/>
  <c r="K185" i="16"/>
  <c r="K184" i="16"/>
  <c r="K172" i="16"/>
  <c r="K163" i="16"/>
  <c r="K154" i="16"/>
  <c r="K144" i="16"/>
  <c r="K135" i="16"/>
  <c r="K126" i="16"/>
  <c r="H120" i="16"/>
  <c r="H121" i="16" s="1"/>
  <c r="H122" i="16" s="1"/>
  <c r="H123" i="16" s="1"/>
  <c r="H124" i="16" s="1"/>
  <c r="H125" i="16" s="1"/>
  <c r="K108" i="16"/>
  <c r="K89" i="16"/>
  <c r="I83" i="16"/>
  <c r="I84" i="16" s="1"/>
  <c r="I85" i="16" s="1"/>
  <c r="I86" i="16" s="1"/>
  <c r="I87" i="16" s="1"/>
  <c r="I88" i="16" s="1"/>
  <c r="K80" i="16"/>
  <c r="I74" i="16"/>
  <c r="I75" i="16" s="1"/>
  <c r="I76" i="16" s="1"/>
  <c r="I77" i="16" s="1"/>
  <c r="I78" i="16" s="1"/>
  <c r="I79" i="16" s="1"/>
  <c r="K62" i="16"/>
  <c r="J56" i="16"/>
  <c r="J57" i="16" s="1"/>
  <c r="J58" i="16" s="1"/>
  <c r="J59" i="16" s="1"/>
  <c r="J60" i="16" s="1"/>
  <c r="J61" i="16" s="1"/>
  <c r="K44" i="16"/>
  <c r="K30" i="16"/>
  <c r="J31" i="16" s="1"/>
  <c r="F20" i="16"/>
  <c r="K18" i="16"/>
  <c r="M99" i="16" l="1"/>
  <c r="J18" i="16"/>
  <c r="F73" i="16"/>
  <c r="G79" i="16"/>
  <c r="G78" i="16"/>
  <c r="G77" i="16"/>
  <c r="G75" i="16"/>
  <c r="H57" i="16"/>
  <c r="H60" i="16"/>
  <c r="H61" i="16"/>
  <c r="N61" i="16" s="1"/>
  <c r="C68" i="16"/>
  <c r="C58" i="16"/>
  <c r="C76" i="16" s="1"/>
  <c r="C85" i="16" s="1"/>
  <c r="C95" i="16" s="1"/>
  <c r="C104" i="16" s="1"/>
  <c r="G76" i="16"/>
  <c r="H58" i="16"/>
  <c r="F27" i="16"/>
  <c r="K27" i="16" s="1"/>
  <c r="J28" i="16" s="1"/>
  <c r="H59" i="16"/>
  <c r="H196" i="16" s="1"/>
  <c r="C70" i="16"/>
  <c r="C69" i="16"/>
  <c r="C57" i="16"/>
  <c r="C75" i="16" s="1"/>
  <c r="C84" i="16" s="1"/>
  <c r="C94" i="16" s="1"/>
  <c r="C103" i="16" s="1"/>
  <c r="C101" i="16"/>
  <c r="H157" i="16"/>
  <c r="K66" i="16"/>
  <c r="J226" i="16"/>
  <c r="J181" i="16"/>
  <c r="J44" i="16"/>
  <c r="C59" i="16"/>
  <c r="C77" i="16" s="1"/>
  <c r="C86" i="16" s="1"/>
  <c r="C96" i="16" s="1"/>
  <c r="C60" i="16"/>
  <c r="C78" i="16" s="1"/>
  <c r="C87" i="16" s="1"/>
  <c r="C97" i="16" s="1"/>
  <c r="C67" i="16"/>
  <c r="C66" i="16"/>
  <c r="C61" i="16"/>
  <c r="C79" i="16" s="1"/>
  <c r="C88" i="16" s="1"/>
  <c r="C98" i="16" s="1"/>
  <c r="C56" i="16"/>
  <c r="C74" i="16" s="1"/>
  <c r="C83" i="16" s="1"/>
  <c r="C93" i="16" s="1"/>
  <c r="K47" i="16"/>
  <c r="G74" i="16" s="1"/>
  <c r="H193" i="16"/>
  <c r="K193" i="16" s="1"/>
  <c r="O42" i="16"/>
  <c r="K20" i="16"/>
  <c r="J21" i="16" s="1"/>
  <c r="C64" i="16"/>
  <c r="K187" i="16"/>
  <c r="O39" i="16"/>
  <c r="E194" i="16"/>
  <c r="O43" i="16"/>
  <c r="O41" i="16"/>
  <c r="O37" i="16"/>
  <c r="O40" i="16"/>
  <c r="K147" i="16"/>
  <c r="K210" i="16"/>
  <c r="K165" i="16"/>
  <c r="K148" i="16"/>
  <c r="G211" i="16"/>
  <c r="K211" i="16" s="1"/>
  <c r="H46" i="16" l="1"/>
  <c r="K46" i="16" s="1"/>
  <c r="G73" i="16" s="1"/>
  <c r="N59" i="16"/>
  <c r="P59" i="16" s="1"/>
  <c r="O59" i="16" s="1"/>
  <c r="Q59" i="16" s="1"/>
  <c r="H198" i="16"/>
  <c r="C121" i="16"/>
  <c r="C130" i="16" s="1"/>
  <c r="C139" i="16" s="1"/>
  <c r="C149" i="16" s="1"/>
  <c r="C158" i="16" s="1"/>
  <c r="C176" i="16" s="1"/>
  <c r="C112" i="16"/>
  <c r="C119" i="16"/>
  <c r="C128" i="16" s="1"/>
  <c r="C137" i="16" s="1"/>
  <c r="C147" i="16" s="1"/>
  <c r="C156" i="16" s="1"/>
  <c r="C165" i="16" s="1"/>
  <c r="C183" i="16" s="1"/>
  <c r="C192" i="16" s="1"/>
  <c r="C110" i="16"/>
  <c r="C122" i="16"/>
  <c r="C131" i="16" s="1"/>
  <c r="C140" i="16" s="1"/>
  <c r="C150" i="16" s="1"/>
  <c r="C159" i="16" s="1"/>
  <c r="C177" i="16" s="1"/>
  <c r="C113" i="16"/>
  <c r="C107" i="16"/>
  <c r="C105" i="16"/>
  <c r="C102" i="16"/>
  <c r="C106" i="16"/>
  <c r="N57" i="16"/>
  <c r="N60" i="16"/>
  <c r="N55" i="16"/>
  <c r="N58" i="16"/>
  <c r="J71" i="16"/>
  <c r="P61" i="16"/>
  <c r="H192" i="16"/>
  <c r="K192" i="16" s="1"/>
  <c r="K189" i="16"/>
  <c r="J190" i="16" s="1"/>
  <c r="H197" i="16"/>
  <c r="O38" i="16"/>
  <c r="G212" i="16"/>
  <c r="G157" i="16"/>
  <c r="K157" i="16" s="1"/>
  <c r="E195" i="16"/>
  <c r="H195" i="16"/>
  <c r="G156" i="16"/>
  <c r="K156" i="16" s="1"/>
  <c r="H194" i="16"/>
  <c r="J53" i="16" l="1"/>
  <c r="C174" i="16"/>
  <c r="C167" i="16"/>
  <c r="C185" i="16" s="1"/>
  <c r="C194" i="16" s="1"/>
  <c r="C212" i="16" s="1"/>
  <c r="C221" i="16" s="1"/>
  <c r="C125" i="16"/>
  <c r="C134" i="16" s="1"/>
  <c r="C143" i="16" s="1"/>
  <c r="C153" i="16" s="1"/>
  <c r="C162" i="16" s="1"/>
  <c r="C171" i="16" s="1"/>
  <c r="C189" i="16" s="1"/>
  <c r="C198" i="16" s="1"/>
  <c r="C207" i="16" s="1"/>
  <c r="C116" i="16"/>
  <c r="C168" i="16"/>
  <c r="C186" i="16" s="1"/>
  <c r="C195" i="16" s="1"/>
  <c r="C213" i="16" s="1"/>
  <c r="C222" i="16" s="1"/>
  <c r="C120" i="16"/>
  <c r="C129" i="16" s="1"/>
  <c r="C138" i="16" s="1"/>
  <c r="C148" i="16" s="1"/>
  <c r="C157" i="16" s="1"/>
  <c r="C166" i="16" s="1"/>
  <c r="C184" i="16" s="1"/>
  <c r="C193" i="16" s="1"/>
  <c r="C211" i="16" s="1"/>
  <c r="C220" i="16" s="1"/>
  <c r="C111" i="16"/>
  <c r="C123" i="16"/>
  <c r="C132" i="16" s="1"/>
  <c r="C141" i="16" s="1"/>
  <c r="C151" i="16" s="1"/>
  <c r="C160" i="16" s="1"/>
  <c r="C169" i="16" s="1"/>
  <c r="C187" i="16" s="1"/>
  <c r="C196" i="16" s="1"/>
  <c r="C214" i="16" s="1"/>
  <c r="C223" i="16" s="1"/>
  <c r="C114" i="16"/>
  <c r="C124" i="16"/>
  <c r="C133" i="16" s="1"/>
  <c r="C142" i="16" s="1"/>
  <c r="C152" i="16" s="1"/>
  <c r="C161" i="16" s="1"/>
  <c r="C170" i="16" s="1"/>
  <c r="C188" i="16" s="1"/>
  <c r="C197" i="16" s="1"/>
  <c r="C115" i="16"/>
  <c r="O61" i="16"/>
  <c r="Q61" i="16" s="1"/>
  <c r="C210" i="16"/>
  <c r="C219" i="16" s="1"/>
  <c r="C201" i="16"/>
  <c r="N56" i="16"/>
  <c r="P56" i="16" s="1"/>
  <c r="K194" i="16"/>
  <c r="I61" i="16"/>
  <c r="K61" i="16" s="1"/>
  <c r="I59" i="16"/>
  <c r="K59" i="16" s="1"/>
  <c r="P55" i="16"/>
  <c r="P57" i="16"/>
  <c r="P58" i="16"/>
  <c r="P60" i="16"/>
  <c r="E196" i="16"/>
  <c r="K195" i="16"/>
  <c r="G213" i="16"/>
  <c r="C175" i="16" l="1"/>
  <c r="C204" i="16"/>
  <c r="C203" i="16"/>
  <c r="C180" i="16"/>
  <c r="C178" i="16"/>
  <c r="K107" i="16"/>
  <c r="K105" i="16"/>
  <c r="C215" i="16"/>
  <c r="C224" i="16" s="1"/>
  <c r="C206" i="16"/>
  <c r="C179" i="16"/>
  <c r="C205" i="16"/>
  <c r="K79" i="16"/>
  <c r="H88" i="16" s="1"/>
  <c r="K88" i="16" s="1"/>
  <c r="I58" i="16"/>
  <c r="K58" i="16" s="1"/>
  <c r="K76" i="16" s="1"/>
  <c r="O57" i="16"/>
  <c r="Q57" i="16" s="1"/>
  <c r="O55" i="16"/>
  <c r="Q55" i="16" s="1"/>
  <c r="C216" i="16"/>
  <c r="C225" i="16" s="1"/>
  <c r="I56" i="16"/>
  <c r="K56" i="16" s="1"/>
  <c r="K74" i="16" s="1"/>
  <c r="H83" i="16" s="1"/>
  <c r="K83" i="16" s="1"/>
  <c r="C202" i="16"/>
  <c r="G134" i="16"/>
  <c r="J208" i="16"/>
  <c r="O60" i="16"/>
  <c r="Q60" i="16" s="1"/>
  <c r="I60" i="16"/>
  <c r="K60" i="16" s="1"/>
  <c r="O56" i="16"/>
  <c r="Q56" i="16" s="1"/>
  <c r="K123" i="16"/>
  <c r="K77" i="16"/>
  <c r="O58" i="16"/>
  <c r="Q58" i="16" s="1"/>
  <c r="I57" i="16"/>
  <c r="K57" i="16" s="1"/>
  <c r="K55" i="16"/>
  <c r="K196" i="16"/>
  <c r="E197" i="16"/>
  <c r="G214" i="16"/>
  <c r="K114" i="16" l="1"/>
  <c r="K106" i="16"/>
  <c r="K125" i="16"/>
  <c r="K103" i="16"/>
  <c r="K102" i="16"/>
  <c r="K116" i="16"/>
  <c r="N148" i="16"/>
  <c r="K124" i="16"/>
  <c r="K121" i="16"/>
  <c r="K78" i="16"/>
  <c r="J62" i="16"/>
  <c r="H86" i="16"/>
  <c r="K86" i="16" s="1"/>
  <c r="G132" i="16"/>
  <c r="G141" i="16" s="1"/>
  <c r="K141" i="16" s="1"/>
  <c r="N147" i="16"/>
  <c r="H73" i="16"/>
  <c r="K73" i="16" s="1"/>
  <c r="E198" i="16"/>
  <c r="K197" i="16"/>
  <c r="K134" i="16"/>
  <c r="G143" i="16"/>
  <c r="K143" i="16" s="1"/>
  <c r="G215" i="16"/>
  <c r="K112" i="16" l="1"/>
  <c r="K104" i="16"/>
  <c r="K111" i="16"/>
  <c r="G133" i="16"/>
  <c r="K133" i="16" s="1"/>
  <c r="K115" i="16"/>
  <c r="H82" i="16"/>
  <c r="K82" i="16" s="1"/>
  <c r="G130" i="16"/>
  <c r="G139" i="16" s="1"/>
  <c r="K139" i="16" s="1"/>
  <c r="H87" i="16"/>
  <c r="K87" i="16" s="1"/>
  <c r="G131" i="16"/>
  <c r="K131" i="16" s="1"/>
  <c r="K75" i="16"/>
  <c r="H84" i="16" s="1"/>
  <c r="K84" i="16" s="1"/>
  <c r="G129" i="16"/>
  <c r="K120" i="16"/>
  <c r="K132" i="16"/>
  <c r="H85" i="16"/>
  <c r="K85" i="16" s="1"/>
  <c r="K198" i="16"/>
  <c r="G216" i="16"/>
  <c r="K130" i="16" l="1"/>
  <c r="K122" i="16"/>
  <c r="G142" i="16"/>
  <c r="K142" i="16" s="1"/>
  <c r="J89" i="16"/>
  <c r="G140" i="16"/>
  <c r="K140" i="16" s="1"/>
  <c r="K113" i="16"/>
  <c r="J117" i="16" s="1"/>
  <c r="J80" i="16"/>
  <c r="G128" i="16"/>
  <c r="G137" i="16" s="1"/>
  <c r="K129" i="16"/>
  <c r="G138" i="16"/>
  <c r="K138" i="16" s="1"/>
  <c r="K119" i="16" l="1"/>
  <c r="J108" i="16"/>
  <c r="K137" i="16"/>
  <c r="J144" i="16" s="1"/>
  <c r="K128" i="16"/>
  <c r="J135" i="16" s="1"/>
  <c r="M144" i="16" l="1"/>
  <c r="J126" i="16"/>
  <c r="J199" i="16" l="1"/>
  <c r="C14" i="15" l="1"/>
  <c r="G229" i="16"/>
  <c r="E2" i="15"/>
  <c r="I8" i="16"/>
  <c r="F48" i="2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K21" i="16" l="1"/>
  <c r="K31" i="16" l="1"/>
  <c r="K25" i="16"/>
  <c r="H213" i="16" l="1"/>
  <c r="K213" i="16"/>
  <c r="H168" i="16"/>
  <c r="K168" i="16" s="1"/>
  <c r="K150" i="16"/>
  <c r="G159" i="16" s="1"/>
  <c r="H214" i="16"/>
  <c r="K214" i="16" s="1"/>
  <c r="H169" i="16"/>
  <c r="K169" i="16" s="1"/>
  <c r="K151" i="16"/>
  <c r="N151" i="16" s="1"/>
  <c r="H215" i="16"/>
  <c r="K215" i="16" s="1"/>
  <c r="H170" i="16"/>
  <c r="H161" i="16" s="1"/>
  <c r="K152" i="16"/>
  <c r="G161" i="16" s="1"/>
  <c r="H216" i="16"/>
  <c r="K216" i="16" s="1"/>
  <c r="H171" i="16"/>
  <c r="H162" i="16" s="1"/>
  <c r="K153" i="16"/>
  <c r="N153" i="16" s="1"/>
  <c r="K170" i="16" l="1"/>
  <c r="G162" i="16"/>
  <c r="K162" i="16" s="1"/>
  <c r="K161" i="16"/>
  <c r="G160" i="16"/>
  <c r="H160" i="16"/>
  <c r="N150" i="16"/>
  <c r="N152" i="16"/>
  <c r="H159" i="16"/>
  <c r="K159" i="16" s="1"/>
  <c r="K171" i="16"/>
  <c r="H212" i="16"/>
  <c r="K212" i="16" s="1"/>
  <c r="J217" i="16" s="1"/>
  <c r="H167" i="16"/>
  <c r="H158" i="16" s="1"/>
  <c r="K149" i="16"/>
  <c r="N149" i="16" s="1"/>
  <c r="K160" i="16" l="1"/>
  <c r="K167" i="16"/>
  <c r="J172" i="16" s="1"/>
  <c r="J154" i="16"/>
  <c r="G158" i="16"/>
  <c r="K158" i="16" s="1"/>
  <c r="J163" i="16" s="1"/>
  <c r="K53" i="16" l="1"/>
  <c r="K28" i="16" l="1"/>
  <c r="N18" i="18" l="1"/>
  <c r="O54" i="18"/>
  <c r="O54" i="17"/>
  <c r="N18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sharedStrings.xml><?xml version="1.0" encoding="utf-8"?>
<sst xmlns="http://schemas.openxmlformats.org/spreadsheetml/2006/main" count="863" uniqueCount="353">
  <si>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</si>
  <si>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</si>
  <si>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</si>
  <si>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</si>
  <si>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</si>
  <si>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</si>
  <si>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</si>
  <si>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</si>
  <si>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</si>
  <si>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</si>
  <si>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</si>
  <si>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</si>
  <si>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</si>
  <si>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</si>
  <si>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</si>
  <si>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</si>
  <si>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</si>
  <si>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</si>
  <si>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</si>
  <si>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</si>
  <si>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</si>
  <si>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</si>
  <si>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</si>
  <si>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</si>
  <si>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</si>
  <si>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</si>
  <si>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</si>
  <si>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</si>
  <si>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</si>
  <si>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</si>
  <si>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</si>
  <si>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</si>
  <si>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</si>
  <si>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</si>
  <si>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</si>
  <si>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</si>
  <si>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</si>
  <si>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</si>
  <si>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</si>
  <si>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</si>
  <si>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</si>
  <si>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</si>
  <si>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</si>
  <si>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</si>
  <si>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</si>
  <si>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</si>
  <si>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</si>
  <si>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</si>
  <si>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</si>
  <si>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</si>
  <si>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</si>
  <si>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</si>
  <si>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</si>
  <si>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</si>
  <si>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</si>
  <si>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</si>
  <si>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</si>
  <si>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</si>
  <si>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</si>
  <si>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</si>
  <si>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</si>
  <si>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</si>
  <si>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</si>
  <si>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</si>
  <si>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</si>
  <si>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</si>
  <si>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</si>
  <si>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</si>
  <si>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</si>
  <si>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</si>
  <si>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</si>
  <si>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</si>
  <si>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</si>
  <si>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</si>
  <si>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</si>
  <si>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</si>
  <si>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</si>
  <si>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</si>
  <si>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</si>
  <si>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</si>
  <si>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</si>
  <si>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</si>
  <si>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</si>
  <si>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</si>
  <si>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</si>
  <si>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</si>
  <si>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</si>
  <si>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</si>
  <si>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</si>
  <si>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</si>
  <si>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</si>
  <si>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</si>
  <si>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</si>
  <si>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</si>
  <si>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</si>
  <si>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</si>
  <si>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</si>
  <si>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</si>
  <si>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</si>
  <si>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</si>
  <si>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</si>
  <si>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</si>
  <si>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</si>
  <si>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</si>
  <si>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</si>
  <si>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</si>
  <si>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</si>
  <si>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</si>
  <si>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</si>
  <si>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</si>
  <si>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</si>
  <si>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</si>
  <si>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</si>
  <si>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</si>
  <si>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</si>
  <si>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</si>
  <si>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</si>
  <si>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</si>
  <si>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</si>
  <si>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</si>
  <si>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</si>
  <si>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</si>
  <si>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</si>
  <si>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</si>
  <si>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</si>
  <si>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</si>
  <si>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</si>
  <si>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</si>
  <si>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</si>
  <si>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</si>
  <si>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</si>
  <si>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</si>
  <si>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</si>
  <si>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MIN</t>
  </si>
  <si>
    <t>MED</t>
  </si>
  <si>
    <t>MAX</t>
  </si>
  <si>
    <t>Construção e Reforma de Edifícios</t>
  </si>
  <si>
    <t>AC</t>
  </si>
  <si>
    <t>SG</t>
  </si>
  <si>
    <t>R</t>
  </si>
  <si>
    <t>PROPONENTE / TOMADOR</t>
  </si>
  <si>
    <t>DF</t>
  </si>
  <si>
    <t>L</t>
  </si>
  <si>
    <t>BDI PAD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</si>
  <si>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</si>
  <si>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</si>
  <si>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</si>
  <si>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</si>
  <si>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</si>
  <si>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</si>
  <si>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</si>
  <si>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</si>
  <si>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</si>
  <si>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</si>
  <si>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</si>
  <si>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</si>
  <si>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</si>
  <si>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</si>
  <si>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</si>
  <si>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</si>
  <si>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</si>
  <si>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</si>
  <si>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</si>
  <si>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</si>
  <si>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</si>
  <si>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</si>
  <si>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</si>
  <si>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</si>
  <si>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 xml:space="preserve"> - 1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</si>
  <si>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</si>
  <si>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</si>
  <si>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</si>
  <si>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</si>
  <si>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</si>
  <si>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</si>
  <si>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</si>
  <si>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</si>
  <si>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</si>
  <si>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Quantidade</t>
  </si>
  <si>
    <t>Altura</t>
  </si>
  <si>
    <t>SINAPI</t>
  </si>
  <si>
    <t>.</t>
  </si>
  <si>
    <t>PLE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</si>
  <si>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</si>
  <si>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</si>
  <si>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</si>
  <si>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</si>
  <si>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</si>
  <si>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</si>
  <si>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</si>
  <si>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</si>
  <si>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v3.0.6</t>
  </si>
  <si>
    <t>Arredondamento das frentes:</t>
  </si>
  <si>
    <t>Tradicional</t>
  </si>
  <si>
    <t>Nº do TransfereGOV (000000):</t>
  </si>
  <si>
    <t>NÃO DESONERADO</t>
  </si>
  <si>
    <t>OGU</t>
  </si>
  <si>
    <t>Prefeito</t>
  </si>
  <si>
    <t>90777</t>
  </si>
  <si>
    <t>90776</t>
  </si>
  <si>
    <t>SERVIÇOS PRELIMINARES</t>
  </si>
  <si>
    <t>SINAPI-I</t>
  </si>
  <si>
    <t>10775</t>
  </si>
  <si>
    <t>103689</t>
  </si>
  <si>
    <t>101121</t>
  </si>
  <si>
    <t>100574</t>
  </si>
  <si>
    <t>SICRO</t>
  </si>
  <si>
    <t>5502978</t>
  </si>
  <si>
    <t>DRENAGEM</t>
  </si>
  <si>
    <t>90082</t>
  </si>
  <si>
    <t>93369</t>
  </si>
  <si>
    <t>101616</t>
  </si>
  <si>
    <t>01 – NOME DA PREFEITURA PROPONENTE:</t>
  </si>
  <si>
    <t>02 – DESCRIÇÃO:</t>
  </si>
  <si>
    <t>03 –LOCALIDADE:</t>
  </si>
  <si>
    <t>04 –DATA:</t>
  </si>
  <si>
    <t>MEMORIAL DE CÁLCULO</t>
  </si>
  <si>
    <t>CÓDIGO</t>
  </si>
  <si>
    <t>BANCO</t>
  </si>
  <si>
    <t>DESCRIÇÃO</t>
  </si>
  <si>
    <t>UNIDADE</t>
  </si>
  <si>
    <t>DADOS NUMÉRICOS</t>
  </si>
  <si>
    <t>MEMÓRIA DE CÁLCULO</t>
  </si>
  <si>
    <t>ADMINISTRAÇÃO CENTRAL</t>
  </si>
  <si>
    <t>ENGENHEIRO CIVIL DE OBRA JUNIOR COM ENCARGOS COMPLEMENTARES</t>
  </si>
  <si>
    <t>Meses</t>
  </si>
  <si>
    <t>Dias</t>
  </si>
  <si>
    <t>Horas</t>
  </si>
  <si>
    <t>Porcentagem</t>
  </si>
  <si>
    <t>Total</t>
  </si>
  <si>
    <t>QUANTIDADE DE MESES DE ACORDO COM O CRONOGRAMA DA OBRA</t>
  </si>
  <si>
    <t>Largura Média</t>
  </si>
  <si>
    <t>Comprimento</t>
  </si>
  <si>
    <t>Perímetro</t>
  </si>
  <si>
    <t>H</t>
  </si>
  <si>
    <t>Área</t>
  </si>
  <si>
    <t>Qtd. Trechos</t>
  </si>
  <si>
    <t>LARGURA X COMPRIMENTO X QTD DE TRECHOS</t>
  </si>
  <si>
    <t>COMPRIMENTOS</t>
  </si>
  <si>
    <t>M</t>
  </si>
  <si>
    <t>Estaca Inicial - EX</t>
  </si>
  <si>
    <t>Estaca Final - EX</t>
  </si>
  <si>
    <t>Complemento estaca</t>
  </si>
  <si>
    <t>Área de projeto</t>
  </si>
  <si>
    <t>Entrada de rua</t>
  </si>
  <si>
    <t>((LARGURA  MÉDIA X COMPRIMENTO) + ÁREA DE ENTRADA DE RUAS) X ALTURA</t>
  </si>
  <si>
    <t>Área 1</t>
  </si>
  <si>
    <t>Área Final</t>
  </si>
  <si>
    <t>Entrada rua</t>
  </si>
  <si>
    <t>Conf.</t>
  </si>
  <si>
    <t>V. Escavado</t>
  </si>
  <si>
    <t>Coeficiente</t>
  </si>
  <si>
    <t>V. Carga</t>
  </si>
  <si>
    <t>KM</t>
  </si>
  <si>
    <t>ÁREA DE ACORDO COM O ITEM ANTERIOR X ALTURA</t>
  </si>
  <si>
    <t>V. Cascalho</t>
  </si>
  <si>
    <t>V. DE CASCALHO X COEF. DE EMPOLAMENTO</t>
  </si>
  <si>
    <t>ESPALHAMENTO DE MATERIAL COM TRATOR DE ESTEIRAS. AF_11/2019</t>
  </si>
  <si>
    <t>IDEM V. DE CASCALHO</t>
  </si>
  <si>
    <t>Compactação de aterros a 100% do Proctor normal</t>
  </si>
  <si>
    <t>C. do Tubo</t>
  </si>
  <si>
    <t>LARGURA MÉDIA X COMPRIMENTO DO TUBO X ALTURA</t>
  </si>
  <si>
    <t>V. Tubo</t>
  </si>
  <si>
    <t>V. ESCAVADO - V. DO TUBO</t>
  </si>
  <si>
    <t>Comprimento Médio</t>
  </si>
  <si>
    <t>COMPRIMENTO DO TUBO</t>
  </si>
  <si>
    <t>UN</t>
  </si>
  <si>
    <t>Repetições</t>
  </si>
  <si>
    <t>CONTAGEM X REPETIÇÕES</t>
  </si>
  <si>
    <t>Sarjeta Concreto</t>
  </si>
  <si>
    <t>(REPETIÇÕES X COMPRIMENTO) - COMPRIMENTO DAS SARJETAS DE CONCRETO</t>
  </si>
  <si>
    <t>LARGURA MÉDIA DO TUBO X COMPRIMENTO MÉDIO DO TUBO X ALTURA</t>
  </si>
  <si>
    <t>Título:</t>
  </si>
  <si>
    <t>ENCARREGADO GERAL COM ENCARGOS COMPLEMENTARES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</si>
  <si>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</si>
  <si>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MES   </t>
  </si>
  <si>
    <t>FORNECIMENTO E INSTALAÇÃO DE PLACA DE OBRA COM CHAPA GALVANIZADA E ESTRUTURA DE MADEIRA. AF_03/2022_PS</t>
  </si>
  <si>
    <t>M2</t>
  </si>
  <si>
    <t>ESCAVAÇÃO HORIZONTAL, INCLUINDO ESCARIFICAÇÃO EM SOLO DE 2A CATEGORIA COM TRATOR DE ESTEIRAS (170HP/LÂMINA: 5,20M3). AF_07/2020</t>
  </si>
  <si>
    <t>M3</t>
  </si>
  <si>
    <t>ESCAVAÇÃO MECANIZADA DE VALA COM PROF. ATÉ 1,5 M (MÉDIA MONTANTE E JUSANTE/UMA COMPOSIÇÃO POR TRECHO), ESCAVADEIRA (0,8 M3), LARG. DE 1,5 M A 2,5 M, EM SOLO DE 1A CATEGORIA, EM LOCAIS COM ALTO NÍVEL DE INTERFERÊNCIA. AF_02/2021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</si>
  <si>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</si>
  <si>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PREPARO DE FUNDO DE VALA COM LARGURA MENOR QUE 1,5 M (ACERTO DO SOLO NATURAL). AF_08/2020</t>
  </si>
  <si>
    <t>MESES DE OBRA</t>
  </si>
  <si>
    <t>Volume</t>
  </si>
  <si>
    <t>VOLUME EM PROJETO</t>
  </si>
  <si>
    <t>V.Reaterro</t>
  </si>
  <si>
    <t>V. Escarificação</t>
  </si>
  <si>
    <t>V. ESCAVADO + V.ESCARIFICAÇÃO - V.REATERRO X COEF DE EMPOLAMENTO</t>
  </si>
  <si>
    <t>2003301</t>
  </si>
  <si>
    <t>2003261</t>
  </si>
  <si>
    <t>2003336</t>
  </si>
  <si>
    <t>Entrada para descida d'água - EDA 04 - areia e brita comerciais</t>
  </si>
  <si>
    <t>2003475</t>
  </si>
  <si>
    <t>COMPRIMENTO</t>
  </si>
  <si>
    <t>Sarjeta triangular de concreto - STC 80-15 - escavação mecânica - areia e brita comerciais</t>
  </si>
  <si>
    <t>Dissipador de energia - DED 01 - areia e brita comerciais</t>
  </si>
  <si>
    <t>Sarjeta triangular sem revestimento - STT 80-15 - escavação mecânica</t>
  </si>
  <si>
    <t>Densidade</t>
  </si>
  <si>
    <t>Empolamento</t>
  </si>
  <si>
    <t>Engenheiro Civil</t>
  </si>
  <si>
    <t>10776</t>
  </si>
  <si>
    <t xml:space="preserve">LOCACAO DE CONTAINER 2,30 X 6,00 M, ALT. 2,50 M, PARA ESCRITORIO, SEM DIVISORIAS INTERNAS E SEM SANITARIO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</si>
  <si>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M3XKM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</si>
  <si>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</si>
  <si>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</si>
  <si>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V. DE CASCALHO X DMT DA CASCALHEIRA X EMPOLAMENTO X EMPOLAMENTO</t>
  </si>
  <si>
    <t>95877</t>
  </si>
  <si>
    <t>95427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</si>
  <si>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</si>
  <si>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</si>
  <si>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 xml:space="preserve">V. DE CASCALHO X DMT DA CASCALHEIRA X EMPOLAMENTO </t>
  </si>
  <si>
    <t>V. A SER CARREGADO X DMT DE BOTA FORA x DENSIDADE DO MATERIAL</t>
  </si>
  <si>
    <t>95425</t>
  </si>
  <si>
    <t>TRANSPORTE COM CAMINHÃO BASCULANTE DE 18 M³, EM VIA URBANA EM LEITO NATURAL (UNIDADE: M3XKM). AF_07/2020</t>
  </si>
  <si>
    <t>PAVIMENTAÇÃO EM REVESTIMENTO PRIMÁRIO</t>
  </si>
  <si>
    <t>TERRAPLENAGEM</t>
  </si>
  <si>
    <t>Cotação</t>
  </si>
  <si>
    <t>01</t>
  </si>
  <si>
    <t>AQUISIÇÃO DE CASCALHO</t>
  </si>
  <si>
    <t>LIMPEZA MECANIZADA DE CAMADA VEGETAL, VEGETAÇÃO E PEQUENAS ÁRVORES (DIÂMETRO DE TRONCO MENOR QUE 0,20 M), COM TRATOR DE ESTEIRAS. AF_03/2024</t>
  </si>
  <si>
    <t>Largura</t>
  </si>
  <si>
    <t>V. Limpeza</t>
  </si>
  <si>
    <t>TUBO DE CONCRETO PARA REDES COLETORAS DE ÁGUAS PLUVIAIS, DIÂMETRO DE 800 MM, JUNTA RÍGIDA, INSTALADO EM LOCAL COM ALTO NÍVEL DE INTERFERÊNCIAS - FORNECIMENTO E ASSENTAMENTO. AF_03/2024</t>
  </si>
  <si>
    <t>BOCA PARA BUEIRO SIMPLES TUBULAR D = 80 CM EM CONCRETO, ALAS COM ESCONSIDADE DE 0°, INCLUINDO FÔRMAS E MATERIAIS. AF_07/2021</t>
  </si>
  <si>
    <t>COPIA (SINAPI - 78472 ) SERVICOS TOPOGRAFICOS PARA PAVIMENTACAO, INCLUSIVE NOTA DE SERVICOS, ACOMPANHAMENTO E GREIDE</t>
  </si>
  <si>
    <t>CP-07</t>
  </si>
  <si>
    <t>PROPRIO</t>
  </si>
  <si>
    <t>EMPREITADA POR PREÇO GLOBAL</t>
  </si>
  <si>
    <t>06 - BDI</t>
  </si>
  <si>
    <t xml:space="preserve">MEMÓRIA DE CÁLCULO </t>
  </si>
  <si>
    <t>PAVIMENTAÇÃO E TRATAMENTO PRIMARIO DE ESTRADAS RURAIS NO MUNICÍPIO DE SÃO FELIPE/BA.</t>
  </si>
  <si>
    <t>PREFEITURA MUNICIPAL DE SÃO FELIPE/BA</t>
  </si>
  <si>
    <t>SÃO FELIPE/BA</t>
  </si>
  <si>
    <t xml:space="preserve">DIVERSOS TRECHOS </t>
  </si>
  <si>
    <t>Eliabe Vitória Souza</t>
  </si>
  <si>
    <t>CREA/BA:051487735-9</t>
  </si>
  <si>
    <t xml:space="preserve">LARGURA X COMPRIMENTO </t>
  </si>
  <si>
    <t xml:space="preserve">VOLUME </t>
  </si>
  <si>
    <t>Nº TC/CR</t>
  </si>
  <si>
    <t>1039250-00</t>
  </si>
  <si>
    <t>Prefeitura Municipal</t>
  </si>
  <si>
    <t>QUADRO DE COMPOSIÇÃO DE BDI</t>
  </si>
  <si>
    <t>OBJETO</t>
  </si>
  <si>
    <t>PROJETO DE SINALIZAÇÃO E ADEQUAÇÃO DO CANTEIRO</t>
  </si>
  <si>
    <t>TIPO DE OBRA DO EMPREENDIMENTO</t>
  </si>
  <si>
    <t>DESONERAÇÃO</t>
  </si>
  <si>
    <t>Não</t>
  </si>
  <si>
    <t>BDI SEM desoneração
(Fórmula Acórdão TCU)</t>
  </si>
  <si>
    <t>pedir anexo</t>
  </si>
  <si>
    <t>Anexo: Relatório Técnico Circunstanciado justificando a adoção do percentual de cada parcela do BDI.</t>
  </si>
  <si>
    <t>anexo apresentado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</si>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</sst>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mm\-yyyy"/>
    <numFmt numFmtId="166" formatCode="_(* #,##0.00_);_(* \(#,##0.00\);_(* \-??_);_(@_)"/>
    <numFmt numFmtId="167" formatCode="[$-F800]dddd\,\ mmmm\ dd\,\ yyyy"/>
    <numFmt numFmtId="168" formatCode="_-* #,##0.0000000_-;\-* #,##0.0000000_-;_-* &quot;-&quot;??_-;_-@_-"/>
    <numFmt numFmtId="169" formatCode="_-* #,##0.000_-;\-* #,##0.000_-;_-* &quot;-&quot;??_-;_-@_-"/>
    <numFmt numFmtId="170" formatCode="#,##0.0"/>
    <numFmt numFmtId="171" formatCode="&quot;R$&quot;\ #,##0.00"/>
    <numFmt numFmtId="172" formatCode="_(&quot;R$ &quot;* #,##0.00_);_(&quot;R$ &quot;* \(#,##0.00\);_(&quot;R$ &quot;* &quot;-&quot;??_);_(@_)"/>
    <numFmt numFmtId="173" formatCode="General;General;"/>
    <numFmt numFmtId="174" formatCode="dd\ &quot;de&quot;\ mmmm\ &quot;de&quot;\ yyyy"/>
  </numFmts>
  <fonts count="6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8"/>
      <color rgb="FF000000"/>
      <name val="Arial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1"/>
    </font>
    <font>
      <b/>
      <sz val="8"/>
      <name val="Arial"/>
      <family val="1"/>
    </font>
    <font>
      <sz val="11"/>
      <name val="Arial"/>
      <family val="1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u/>
      <sz val="15"/>
      <name val="Arial"/>
      <family val="2"/>
    </font>
    <font>
      <b/>
      <sz val="20"/>
      <color indexed="10"/>
      <name val="Arial"/>
      <family val="2"/>
    </font>
    <font>
      <sz val="11"/>
      <color indexed="9"/>
      <name val="Arial"/>
      <family val="2"/>
    </font>
    <font>
      <b/>
      <sz val="11"/>
      <color indexed="12"/>
      <name val="Arial"/>
      <family val="2"/>
    </font>
    <font>
      <sz val="10.5"/>
      <name val="Arial"/>
      <family val="2"/>
    </font>
    <font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solid">
        <fgColor rgb="FFD8ECF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43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2" borderId="0" applyNumberFormat="0" applyBorder="0" applyAlignment="0" applyProtection="0"/>
    <xf numFmtId="0" fontId="8" fillId="11" borderId="1" applyNumberFormat="0" applyAlignment="0" applyProtection="0"/>
    <xf numFmtId="0" fontId="9" fillId="12" borderId="2" applyNumberFormat="0" applyAlignment="0" applyProtection="0"/>
    <xf numFmtId="0" fontId="10" fillId="0" borderId="3" applyNumberFormat="0" applyFill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0" borderId="0" applyNumberFormat="0" applyBorder="0" applyAlignment="0" applyProtection="0"/>
    <xf numFmtId="0" fontId="11" fillId="3" borderId="1" applyNumberFormat="0" applyAlignment="0" applyProtection="0"/>
    <xf numFmtId="0" fontId="38" fillId="0" borderId="0" applyNumberFormat="0" applyFill="0" applyBorder="0" applyAlignment="0" applyProtection="0"/>
    <xf numFmtId="0" fontId="34" fillId="0" borderId="0"/>
    <xf numFmtId="0" fontId="5" fillId="0" borderId="0"/>
    <xf numFmtId="0" fontId="12" fillId="0" borderId="0"/>
    <xf numFmtId="0" fontId="34" fillId="5" borderId="4" applyNumberFormat="0" applyAlignment="0" applyProtection="0"/>
    <xf numFmtId="9" fontId="34" fillId="0" borderId="0" applyFill="0" applyBorder="0" applyAlignment="0" applyProtection="0"/>
    <xf numFmtId="0" fontId="13" fillId="11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0" borderId="9" applyNumberFormat="0" applyFill="0" applyAlignment="0" applyProtection="0"/>
    <xf numFmtId="164" fontId="34" fillId="0" borderId="0" applyFill="0" applyBorder="0" applyAlignment="0" applyProtection="0"/>
    <xf numFmtId="0" fontId="4" fillId="0" borderId="0"/>
    <xf numFmtId="43" fontId="49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34" fillId="0" borderId="0" applyFill="0" applyBorder="0" applyAlignment="0" applyProtection="0"/>
    <xf numFmtId="166" fontId="34" fillId="0" borderId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9" fillId="0" borderId="0"/>
    <xf numFmtId="0" fontId="1" fillId="0" borderId="0"/>
    <xf numFmtId="172" fontId="34" fillId="0" borderId="0" applyFont="0" applyFill="0" applyBorder="0" applyAlignment="0" applyProtection="0"/>
  </cellStyleXfs>
  <cellXfs count="279">
    <xf numFmtId="0" fontId="0" fillId="0" borderId="0" xfId="0"/>
    <xf numFmtId="0" fontId="0" fillId="0" borderId="0" xfId="0" applyAlignment="1">
      <alignment vertical="center"/>
    </xf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4" fillId="0" borderId="0" xfId="0" applyFont="1" applyAlignment="1">
      <alignment vertical="center"/>
    </xf>
    <xf numFmtId="0" fontId="0" fillId="0" borderId="10" xfId="0" applyBorder="1"/>
    <xf numFmtId="0" fontId="25" fillId="0" borderId="0" xfId="0" applyFont="1"/>
    <xf numFmtId="0" fontId="25" fillId="0" borderId="11" xfId="0" applyFont="1" applyBorder="1" applyAlignment="1">
      <alignment horizontal="left"/>
    </xf>
    <xf numFmtId="0" fontId="25" fillId="0" borderId="1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2" xfId="0" applyBorder="1" applyAlignment="1">
      <alignment vertical="center"/>
    </xf>
    <xf numFmtId="0" fontId="0" fillId="16" borderId="13" xfId="0" applyFill="1" applyBorder="1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49" fontId="0" fillId="6" borderId="15" xfId="0" applyNumberFormat="1" applyFill="1" applyBorder="1" applyAlignment="1" applyProtection="1">
      <alignment vertical="center"/>
      <protection locked="0"/>
    </xf>
    <xf numFmtId="0" fontId="0" fillId="0" borderId="16" xfId="0" applyBorder="1" applyAlignment="1">
      <alignment vertical="center"/>
    </xf>
    <xf numFmtId="49" fontId="0" fillId="6" borderId="17" xfId="0" applyNumberFormat="1" applyFill="1" applyBorder="1" applyAlignment="1" applyProtection="1">
      <alignment vertical="center"/>
      <protection locked="0"/>
    </xf>
    <xf numFmtId="4" fontId="0" fillId="6" borderId="17" xfId="0" applyNumberFormat="1" applyFill="1" applyBorder="1" applyAlignment="1" applyProtection="1">
      <alignment horizontal="left" vertical="center"/>
      <protection locked="0"/>
    </xf>
    <xf numFmtId="10" fontId="0" fillId="6" borderId="17" xfId="0" applyNumberForma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vertical="center"/>
    </xf>
    <xf numFmtId="10" fontId="0" fillId="6" borderId="19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0" xfId="0" applyBorder="1" applyAlignment="1">
      <alignment vertical="center"/>
    </xf>
    <xf numFmtId="49" fontId="0" fillId="6" borderId="21" xfId="0" applyNumberFormat="1" applyFill="1" applyBorder="1" applyAlignment="1" applyProtection="1">
      <alignment vertical="center" wrapText="1"/>
      <protection locked="0"/>
    </xf>
    <xf numFmtId="49" fontId="0" fillId="6" borderId="22" xfId="0" applyNumberFormat="1" applyFill="1" applyBorder="1" applyAlignment="1" applyProtection="1">
      <alignment vertical="center" wrapText="1"/>
      <protection locked="0"/>
    </xf>
    <xf numFmtId="0" fontId="0" fillId="16" borderId="22" xfId="0" applyFill="1" applyBorder="1" applyAlignment="1" applyProtection="1">
      <alignment vertical="center"/>
      <protection locked="0"/>
    </xf>
    <xf numFmtId="0" fontId="0" fillId="0" borderId="23" xfId="0" applyBorder="1" applyAlignment="1">
      <alignment vertical="center"/>
    </xf>
    <xf numFmtId="165" fontId="0" fillId="6" borderId="19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14" fontId="0" fillId="6" borderId="19" xfId="0" applyNumberFormat="1" applyFill="1" applyBorder="1" applyAlignment="1" applyProtection="1">
      <alignment horizontal="left" vertical="center"/>
      <protection locked="0"/>
    </xf>
    <xf numFmtId="0" fontId="0" fillId="6" borderId="13" xfId="0" applyFill="1" applyBorder="1" applyAlignment="1" applyProtection="1">
      <alignment vertical="center"/>
      <protection locked="0"/>
    </xf>
    <xf numFmtId="0" fontId="0" fillId="6" borderId="19" xfId="0" applyFill="1" applyBorder="1" applyAlignment="1" applyProtection="1">
      <alignment vertical="center"/>
      <protection locked="0"/>
    </xf>
    <xf numFmtId="14" fontId="0" fillId="6" borderId="13" xfId="0" applyNumberFormat="1" applyFill="1" applyBorder="1" applyAlignment="1" applyProtection="1">
      <alignment horizontal="left" vertical="center"/>
      <protection locked="0"/>
    </xf>
    <xf numFmtId="165" fontId="0" fillId="6" borderId="24" xfId="0" applyNumberFormat="1" applyFill="1" applyBorder="1" applyAlignment="1" applyProtection="1">
      <alignment horizontal="left" vertical="center"/>
      <protection locked="0"/>
    </xf>
    <xf numFmtId="14" fontId="0" fillId="6" borderId="25" xfId="0" applyNumberFormat="1" applyFill="1" applyBorder="1" applyAlignment="1" applyProtection="1">
      <alignment horizontal="left" vertical="center"/>
      <protection locked="0"/>
    </xf>
    <xf numFmtId="49" fontId="0" fillId="6" borderId="13" xfId="0" applyNumberFormat="1" applyFill="1" applyBorder="1" applyAlignment="1" applyProtection="1">
      <alignment vertical="center"/>
      <protection locked="0"/>
    </xf>
    <xf numFmtId="49" fontId="0" fillId="6" borderId="25" xfId="0" applyNumberFormat="1" applyFill="1" applyBorder="1" applyAlignment="1" applyProtection="1">
      <alignment vertical="center"/>
      <protection locked="0"/>
    </xf>
    <xf numFmtId="49" fontId="0" fillId="6" borderId="19" xfId="0" applyNumberFormat="1" applyFill="1" applyBorder="1" applyAlignment="1" applyProtection="1">
      <alignment vertical="center"/>
      <protection locked="0"/>
    </xf>
    <xf numFmtId="0" fontId="0" fillId="17" borderId="0" xfId="0" applyFill="1"/>
    <xf numFmtId="0" fontId="0" fillId="17" borderId="0" xfId="0" applyFill="1" applyAlignment="1">
      <alignment horizontal="center" vertical="center"/>
    </xf>
    <xf numFmtId="0" fontId="22" fillId="17" borderId="0" xfId="0" applyFont="1" applyFill="1" applyAlignment="1">
      <alignment vertical="center"/>
    </xf>
    <xf numFmtId="0" fontId="23" fillId="17" borderId="0" xfId="0" applyFont="1" applyFill="1" applyAlignment="1">
      <alignment horizontal="center" vertical="top"/>
    </xf>
    <xf numFmtId="0" fontId="23" fillId="17" borderId="0" xfId="0" applyFont="1" applyFill="1" applyAlignment="1">
      <alignment vertical="top"/>
    </xf>
    <xf numFmtId="0" fontId="36" fillId="18" borderId="28" xfId="30" applyFont="1" applyFill="1" applyBorder="1" applyAlignment="1">
      <alignment horizontal="center" vertical="center"/>
    </xf>
    <xf numFmtId="0" fontId="21" fillId="19" borderId="28" xfId="30" applyFont="1" applyFill="1" applyBorder="1" applyAlignment="1">
      <alignment horizontal="center" vertical="center"/>
    </xf>
    <xf numFmtId="0" fontId="24" fillId="19" borderId="28" xfId="30" applyFont="1" applyFill="1" applyBorder="1" applyAlignment="1">
      <alignment horizontal="center" vertical="center"/>
    </xf>
    <xf numFmtId="0" fontId="35" fillId="19" borderId="28" xfId="30" applyFont="1" applyFill="1" applyBorder="1" applyAlignment="1">
      <alignment horizontal="center" vertical="center"/>
    </xf>
    <xf numFmtId="0" fontId="37" fillId="0" borderId="0" xfId="0" applyFont="1" applyAlignment="1" applyProtection="1">
      <alignment horizontal="center" vertical="center"/>
      <protection locked="0"/>
    </xf>
    <xf numFmtId="0" fontId="21" fillId="20" borderId="28" xfId="30" applyFont="1" applyFill="1" applyBorder="1" applyAlignment="1">
      <alignment horizontal="center" vertical="center"/>
    </xf>
    <xf numFmtId="0" fontId="35" fillId="20" borderId="28" xfId="30" applyFont="1" applyFill="1" applyBorder="1" applyAlignment="1">
      <alignment horizontal="center" vertical="center"/>
    </xf>
    <xf numFmtId="0" fontId="25" fillId="21" borderId="28" xfId="30" applyFont="1" applyFill="1" applyBorder="1" applyAlignment="1">
      <alignment horizontal="center" vertical="center"/>
    </xf>
    <xf numFmtId="0" fontId="24" fillId="21" borderId="28" xfId="30" applyFont="1" applyFill="1" applyBorder="1" applyAlignment="1">
      <alignment horizontal="center" vertical="center"/>
    </xf>
    <xf numFmtId="0" fontId="35" fillId="21" borderId="28" xfId="30" applyFont="1" applyFill="1" applyBorder="1" applyAlignment="1">
      <alignment horizontal="center" vertical="center"/>
    </xf>
    <xf numFmtId="0" fontId="0" fillId="22" borderId="0" xfId="0" applyFill="1"/>
    <xf numFmtId="0" fontId="0" fillId="3" borderId="0" xfId="0" applyFill="1" applyAlignment="1">
      <alignment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25" fillId="0" borderId="0" xfId="0" applyFont="1" applyAlignment="1">
      <alignment vertical="center"/>
    </xf>
    <xf numFmtId="0" fontId="0" fillId="0" borderId="33" xfId="0" applyBorder="1"/>
    <xf numFmtId="0" fontId="0" fillId="0" borderId="33" xfId="0" applyBorder="1" applyAlignment="1">
      <alignment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37" fillId="0" borderId="0" xfId="0" applyFont="1"/>
    <xf numFmtId="0" fontId="0" fillId="0" borderId="38" xfId="0" applyBorder="1" applyAlignment="1">
      <alignment vertical="center"/>
    </xf>
    <xf numFmtId="0" fontId="0" fillId="16" borderId="39" xfId="0" applyFill="1" applyBorder="1" applyAlignment="1" applyProtection="1">
      <alignment vertical="center"/>
      <protection locked="0"/>
    </xf>
    <xf numFmtId="0" fontId="4" fillId="0" borderId="0" xfId="46" applyAlignment="1">
      <alignment vertical="center"/>
    </xf>
    <xf numFmtId="0" fontId="4" fillId="0" borderId="0" xfId="46"/>
    <xf numFmtId="0" fontId="40" fillId="0" borderId="0" xfId="46" applyFont="1" applyAlignment="1">
      <alignment vertical="center"/>
    </xf>
    <xf numFmtId="0" fontId="40" fillId="0" borderId="0" xfId="46" applyFont="1" applyAlignment="1">
      <alignment vertical="center" wrapText="1"/>
    </xf>
    <xf numFmtId="0" fontId="43" fillId="0" borderId="0" xfId="46" applyFont="1" applyAlignment="1">
      <alignment horizontal="left" vertical="center"/>
    </xf>
    <xf numFmtId="14" fontId="43" fillId="0" borderId="0" xfId="46" applyNumberFormat="1" applyFont="1" applyAlignment="1">
      <alignment horizontal="left" vertical="center"/>
    </xf>
    <xf numFmtId="0" fontId="43" fillId="0" borderId="0" xfId="46" applyFont="1" applyAlignment="1">
      <alignment horizontal="left" vertical="center" wrapText="1"/>
    </xf>
    <xf numFmtId="10" fontId="43" fillId="0" borderId="0" xfId="46" applyNumberFormat="1" applyFont="1" applyAlignment="1">
      <alignment horizontal="center" vertical="center"/>
    </xf>
    <xf numFmtId="0" fontId="47" fillId="25" borderId="45" xfId="31" applyFont="1" applyFill="1" applyBorder="1" applyAlignment="1">
      <alignment horizontal="center" vertical="center" wrapText="1"/>
    </xf>
    <xf numFmtId="0" fontId="47" fillId="25" borderId="37" xfId="31" applyFont="1" applyFill="1" applyBorder="1" applyAlignment="1">
      <alignment horizontal="center" vertical="center" wrapText="1"/>
    </xf>
    <xf numFmtId="0" fontId="46" fillId="25" borderId="37" xfId="31" applyFont="1" applyFill="1" applyBorder="1" applyAlignment="1">
      <alignment vertical="center" wrapText="1"/>
    </xf>
    <xf numFmtId="0" fontId="46" fillId="25" borderId="37" xfId="31" applyFont="1" applyFill="1" applyBorder="1" applyAlignment="1">
      <alignment horizontal="center" vertical="center" wrapText="1"/>
    </xf>
    <xf numFmtId="0" fontId="48" fillId="26" borderId="37" xfId="31" applyFont="1" applyFill="1" applyBorder="1" applyAlignment="1">
      <alignment horizontal="center" vertical="center"/>
    </xf>
    <xf numFmtId="43" fontId="48" fillId="26" borderId="37" xfId="47" applyFont="1" applyFill="1" applyBorder="1" applyAlignment="1">
      <alignment horizontal="center" vertical="center"/>
    </xf>
    <xf numFmtId="43" fontId="48" fillId="26" borderId="37" xfId="47" applyFont="1" applyFill="1" applyBorder="1" applyAlignment="1">
      <alignment horizontal="left" vertical="center"/>
    </xf>
    <xf numFmtId="43" fontId="48" fillId="26" borderId="46" xfId="47" applyFont="1" applyFill="1" applyBorder="1" applyAlignment="1">
      <alignment horizontal="center" vertical="center"/>
    </xf>
    <xf numFmtId="43" fontId="21" fillId="25" borderId="0" xfId="48" applyFont="1" applyFill="1" applyAlignment="1">
      <alignment vertical="center"/>
    </xf>
    <xf numFmtId="0" fontId="21" fillId="25" borderId="0" xfId="31" applyFont="1" applyFill="1" applyAlignment="1">
      <alignment vertical="center"/>
    </xf>
    <xf numFmtId="0" fontId="47" fillId="25" borderId="48" xfId="31" applyFont="1" applyFill="1" applyBorder="1" applyAlignment="1">
      <alignment horizontal="center" vertical="center" wrapText="1"/>
    </xf>
    <xf numFmtId="0" fontId="47" fillId="25" borderId="41" xfId="31" applyFont="1" applyFill="1" applyBorder="1" applyAlignment="1">
      <alignment horizontal="center" vertical="center" wrapText="1"/>
    </xf>
    <xf numFmtId="0" fontId="47" fillId="25" borderId="41" xfId="31" applyFont="1" applyFill="1" applyBorder="1" applyAlignment="1">
      <alignment horizontal="right" vertical="center" wrapText="1"/>
    </xf>
    <xf numFmtId="43" fontId="47" fillId="25" borderId="41" xfId="47" applyFont="1" applyFill="1" applyBorder="1" applyAlignment="1">
      <alignment horizontal="right" vertical="center" wrapText="1"/>
    </xf>
    <xf numFmtId="43" fontId="46" fillId="25" borderId="49" xfId="47" applyFont="1" applyFill="1" applyBorder="1" applyAlignment="1">
      <alignment horizontal="right" vertical="center" wrapText="1"/>
    </xf>
    <xf numFmtId="0" fontId="34" fillId="25" borderId="0" xfId="31" applyFill="1" applyAlignment="1">
      <alignment vertical="center"/>
    </xf>
    <xf numFmtId="0" fontId="34" fillId="25" borderId="52" xfId="31" applyFill="1" applyBorder="1" applyAlignment="1">
      <alignment vertical="center"/>
    </xf>
    <xf numFmtId="43" fontId="49" fillId="25" borderId="52" xfId="47" applyFill="1" applyBorder="1" applyAlignment="1">
      <alignment vertical="center"/>
    </xf>
    <xf numFmtId="43" fontId="47" fillId="25" borderId="52" xfId="47" applyFont="1" applyFill="1" applyBorder="1" applyAlignment="1">
      <alignment horizontal="right" vertical="center" wrapText="1"/>
    </xf>
    <xf numFmtId="43" fontId="46" fillId="25" borderId="52" xfId="47" applyFont="1" applyFill="1" applyBorder="1" applyAlignment="1">
      <alignment horizontal="right" vertical="center" wrapText="1"/>
    </xf>
    <xf numFmtId="43" fontId="46" fillId="25" borderId="53" xfId="47" applyFont="1" applyFill="1" applyBorder="1" applyAlignment="1">
      <alignment horizontal="center" vertical="center" wrapText="1"/>
    </xf>
    <xf numFmtId="0" fontId="47" fillId="25" borderId="55" xfId="31" applyFont="1" applyFill="1" applyBorder="1" applyAlignment="1">
      <alignment horizontal="center" vertical="center" wrapText="1"/>
    </xf>
    <xf numFmtId="0" fontId="47" fillId="25" borderId="56" xfId="31" applyFont="1" applyFill="1" applyBorder="1" applyAlignment="1">
      <alignment horizontal="center" vertical="center" wrapText="1"/>
    </xf>
    <xf numFmtId="0" fontId="46" fillId="25" borderId="56" xfId="31" applyFont="1" applyFill="1" applyBorder="1" applyAlignment="1">
      <alignment vertical="center" wrapText="1"/>
    </xf>
    <xf numFmtId="0" fontId="46" fillId="25" borderId="56" xfId="31" applyFont="1" applyFill="1" applyBorder="1" applyAlignment="1">
      <alignment horizontal="center" vertical="center" wrapText="1"/>
    </xf>
    <xf numFmtId="0" fontId="48" fillId="26" borderId="56" xfId="31" applyFont="1" applyFill="1" applyBorder="1" applyAlignment="1">
      <alignment horizontal="center" vertical="center"/>
    </xf>
    <xf numFmtId="43" fontId="48" fillId="26" borderId="56" xfId="47" applyFont="1" applyFill="1" applyBorder="1" applyAlignment="1">
      <alignment horizontal="center" vertical="center"/>
    </xf>
    <xf numFmtId="43" fontId="48" fillId="26" borderId="56" xfId="47" applyFont="1" applyFill="1" applyBorder="1" applyAlignment="1">
      <alignment horizontal="left" vertical="center"/>
    </xf>
    <xf numFmtId="43" fontId="48" fillId="26" borderId="57" xfId="47" applyFont="1" applyFill="1" applyBorder="1" applyAlignment="1">
      <alignment horizontal="center" vertical="center"/>
    </xf>
    <xf numFmtId="43" fontId="34" fillId="25" borderId="0" xfId="31" applyNumberFormat="1" applyFill="1" applyAlignment="1">
      <alignment vertical="center"/>
    </xf>
    <xf numFmtId="164" fontId="48" fillId="26" borderId="56" xfId="49" applyFont="1" applyFill="1" applyBorder="1" applyAlignment="1">
      <alignment horizontal="center" vertical="center" wrapText="1"/>
    </xf>
    <xf numFmtId="164" fontId="48" fillId="26" borderId="56" xfId="49" applyFont="1" applyFill="1" applyBorder="1" applyAlignment="1">
      <alignment horizontal="left" vertical="center" wrapText="1"/>
    </xf>
    <xf numFmtId="164" fontId="48" fillId="26" borderId="56" xfId="49" applyFont="1" applyFill="1" applyBorder="1" applyAlignment="1">
      <alignment horizontal="center" vertical="center"/>
    </xf>
    <xf numFmtId="164" fontId="48" fillId="26" borderId="57" xfId="49" applyFont="1" applyFill="1" applyBorder="1" applyAlignment="1">
      <alignment horizontal="center" vertical="center"/>
    </xf>
    <xf numFmtId="43" fontId="48" fillId="26" borderId="41" xfId="47" applyFont="1" applyFill="1" applyBorder="1" applyAlignment="1">
      <alignment horizontal="center" vertical="center"/>
    </xf>
    <xf numFmtId="0" fontId="34" fillId="0" borderId="0" xfId="31"/>
    <xf numFmtId="164" fontId="47" fillId="25" borderId="41" xfId="49" applyFont="1" applyFill="1" applyBorder="1" applyAlignment="1">
      <alignment horizontal="right" vertical="center" wrapText="1"/>
    </xf>
    <xf numFmtId="166" fontId="47" fillId="25" borderId="41" xfId="50" applyFont="1" applyFill="1" applyBorder="1" applyAlignment="1">
      <alignment horizontal="right" vertical="center" wrapText="1"/>
    </xf>
    <xf numFmtId="164" fontId="46" fillId="25" borderId="49" xfId="49" applyFont="1" applyFill="1" applyBorder="1" applyAlignment="1">
      <alignment horizontal="right" vertical="center" wrapText="1"/>
    </xf>
    <xf numFmtId="164" fontId="34" fillId="25" borderId="52" xfId="49" applyFill="1" applyBorder="1" applyAlignment="1">
      <alignment vertical="center"/>
    </xf>
    <xf numFmtId="164" fontId="47" fillId="25" borderId="52" xfId="49" applyFont="1" applyFill="1" applyBorder="1" applyAlignment="1">
      <alignment horizontal="right" vertical="center" wrapText="1"/>
    </xf>
    <xf numFmtId="164" fontId="46" fillId="25" borderId="52" xfId="49" applyFont="1" applyFill="1" applyBorder="1" applyAlignment="1">
      <alignment horizontal="right" vertical="center" wrapText="1"/>
    </xf>
    <xf numFmtId="164" fontId="46" fillId="25" borderId="53" xfId="49" applyFont="1" applyFill="1" applyBorder="1" applyAlignment="1">
      <alignment horizontal="center" vertical="center" wrapText="1"/>
    </xf>
    <xf numFmtId="43" fontId="48" fillId="26" borderId="37" xfId="47" applyFont="1" applyFill="1" applyBorder="1" applyAlignment="1">
      <alignment horizontal="center" vertical="center" wrapText="1"/>
    </xf>
    <xf numFmtId="168" fontId="48" fillId="26" borderId="41" xfId="47" applyNumberFormat="1" applyFont="1" applyFill="1" applyBorder="1" applyAlignment="1">
      <alignment horizontal="center" vertical="center"/>
    </xf>
    <xf numFmtId="43" fontId="34" fillId="0" borderId="0" xfId="31" applyNumberFormat="1"/>
    <xf numFmtId="0" fontId="48" fillId="26" borderId="37" xfId="47" applyNumberFormat="1" applyFont="1" applyFill="1" applyBorder="1" applyAlignment="1">
      <alignment horizontal="center" vertical="center"/>
    </xf>
    <xf numFmtId="169" fontId="47" fillId="25" borderId="52" xfId="47" applyNumberFormat="1" applyFont="1" applyFill="1" applyBorder="1" applyAlignment="1">
      <alignment horizontal="right" vertical="center" wrapText="1"/>
    </xf>
    <xf numFmtId="0" fontId="48" fillId="26" borderId="37" xfId="47" applyNumberFormat="1" applyFont="1" applyFill="1" applyBorder="1" applyAlignment="1">
      <alignment horizontal="center" vertical="center" wrapText="1"/>
    </xf>
    <xf numFmtId="4" fontId="34" fillId="25" borderId="41" xfId="31" applyNumberFormat="1" applyFill="1" applyBorder="1" applyAlignment="1">
      <alignment vertical="center"/>
    </xf>
    <xf numFmtId="170" fontId="34" fillId="25" borderId="41" xfId="31" applyNumberFormat="1" applyFill="1" applyBorder="1" applyAlignment="1">
      <alignment horizontal="center" vertical="center"/>
    </xf>
    <xf numFmtId="2" fontId="47" fillId="25" borderId="41" xfId="47" applyNumberFormat="1" applyFont="1" applyFill="1" applyBorder="1" applyAlignment="1">
      <alignment horizontal="right" vertical="center" wrapText="1"/>
    </xf>
    <xf numFmtId="0" fontId="46" fillId="0" borderId="37" xfId="31" applyFont="1" applyBorder="1" applyAlignment="1">
      <alignment vertical="center" wrapText="1"/>
    </xf>
    <xf numFmtId="0" fontId="45" fillId="23" borderId="61" xfId="31" applyFont="1" applyFill="1" applyBorder="1" applyAlignment="1">
      <alignment horizontal="center" vertical="center" wrapText="1"/>
    </xf>
    <xf numFmtId="0" fontId="45" fillId="23" borderId="62" xfId="31" applyFont="1" applyFill="1" applyBorder="1" applyAlignment="1">
      <alignment horizontal="center" vertical="center" wrapText="1"/>
    </xf>
    <xf numFmtId="0" fontId="45" fillId="23" borderId="63" xfId="31" applyFont="1" applyFill="1" applyBorder="1" applyAlignment="1">
      <alignment horizontal="center" vertical="center" wrapText="1"/>
    </xf>
    <xf numFmtId="43" fontId="4" fillId="0" borderId="0" xfId="46" applyNumberFormat="1"/>
    <xf numFmtId="0" fontId="51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vertical="center" wrapText="1"/>
    </xf>
    <xf numFmtId="0" fontId="42" fillId="0" borderId="35" xfId="31" applyFont="1" applyBorder="1"/>
    <xf numFmtId="0" fontId="42" fillId="0" borderId="0" xfId="31" applyFont="1"/>
    <xf numFmtId="0" fontId="34" fillId="0" borderId="0" xfId="31" applyAlignment="1">
      <alignment vertical="center"/>
    </xf>
    <xf numFmtId="0" fontId="43" fillId="0" borderId="0" xfId="31" applyFont="1" applyAlignment="1">
      <alignment horizontal="left" vertical="top"/>
    </xf>
    <xf numFmtId="14" fontId="43" fillId="0" borderId="0" xfId="31" applyNumberFormat="1" applyFont="1" applyAlignment="1">
      <alignment horizontal="left" vertical="top"/>
    </xf>
    <xf numFmtId="0" fontId="43" fillId="0" borderId="0" xfId="31" applyFont="1" applyAlignment="1">
      <alignment horizontal="left" vertical="top" wrapText="1"/>
    </xf>
    <xf numFmtId="10" fontId="43" fillId="0" borderId="0" xfId="31" applyNumberFormat="1" applyFont="1" applyAlignment="1">
      <alignment horizontal="left" vertical="top"/>
    </xf>
    <xf numFmtId="0" fontId="43" fillId="0" borderId="0" xfId="31" applyFont="1" applyAlignment="1">
      <alignment vertical="center"/>
    </xf>
    <xf numFmtId="0" fontId="43" fillId="0" borderId="0" xfId="31" applyFont="1" applyAlignment="1">
      <alignment horizontal="center" vertical="center"/>
    </xf>
    <xf numFmtId="0" fontId="43" fillId="0" borderId="0" xfId="31" applyFont="1" applyAlignment="1">
      <alignment vertical="center" wrapText="1"/>
    </xf>
    <xf numFmtId="2" fontId="43" fillId="0" borderId="0" xfId="31" applyNumberFormat="1" applyFont="1" applyAlignment="1">
      <alignment vertical="center"/>
    </xf>
    <xf numFmtId="171" fontId="43" fillId="0" borderId="0" xfId="31" applyNumberFormat="1" applyFont="1" applyAlignment="1">
      <alignment horizontal="center" vertical="center"/>
    </xf>
    <xf numFmtId="0" fontId="21" fillId="6" borderId="15" xfId="0" applyFont="1" applyFill="1" applyBorder="1" applyAlignment="1" applyProtection="1">
      <alignment horizontal="center" vertical="center"/>
      <protection locked="0"/>
    </xf>
    <xf numFmtId="49" fontId="21" fillId="6" borderId="17" xfId="0" applyNumberFormat="1" applyFont="1" applyFill="1" applyBorder="1" applyAlignment="1" applyProtection="1">
      <alignment horizontal="center" vertical="center"/>
      <protection locked="0"/>
    </xf>
    <xf numFmtId="166" fontId="47" fillId="0" borderId="41" xfId="50" applyFont="1" applyFill="1" applyBorder="1" applyAlignment="1">
      <alignment horizontal="right" vertical="center" wrapText="1"/>
    </xf>
    <xf numFmtId="0" fontId="25" fillId="0" borderId="0" xfId="31" applyFont="1" applyAlignment="1">
      <alignment horizontal="center" vertical="center"/>
    </xf>
    <xf numFmtId="0" fontId="24" fillId="0" borderId="0" xfId="31" applyFont="1" applyAlignment="1">
      <alignment horizontal="center" vertical="center"/>
    </xf>
    <xf numFmtId="0" fontId="1" fillId="0" borderId="0" xfId="57" applyAlignment="1">
      <alignment vertical="center"/>
    </xf>
    <xf numFmtId="0" fontId="25" fillId="0" borderId="41" xfId="31" applyFont="1" applyBorder="1" applyAlignment="1">
      <alignment horizontal="center" vertical="center"/>
    </xf>
    <xf numFmtId="10" fontId="27" fillId="0" borderId="41" xfId="31" applyNumberFormat="1" applyFont="1" applyBorder="1" applyAlignment="1">
      <alignment horizontal="center" vertical="center"/>
    </xf>
    <xf numFmtId="0" fontId="25" fillId="0" borderId="0" xfId="33" applyFont="1" applyAlignment="1">
      <alignment horizontal="left" vertical="center"/>
    </xf>
    <xf numFmtId="0" fontId="54" fillId="0" borderId="0" xfId="31" applyFont="1"/>
    <xf numFmtId="0" fontId="25" fillId="0" borderId="0" xfId="31" applyFont="1" applyAlignment="1">
      <alignment vertical="center"/>
    </xf>
    <xf numFmtId="0" fontId="25" fillId="0" borderId="41" xfId="31" applyFont="1" applyBorder="1" applyAlignment="1">
      <alignment horizontal="center" vertical="center" wrapText="1"/>
    </xf>
    <xf numFmtId="0" fontId="40" fillId="0" borderId="0" xfId="57" applyFont="1" applyAlignment="1">
      <alignment vertical="center" wrapText="1"/>
    </xf>
    <xf numFmtId="0" fontId="53" fillId="0" borderId="0" xfId="57" applyFont="1" applyAlignment="1">
      <alignment horizontal="center" vertical="center"/>
    </xf>
    <xf numFmtId="0" fontId="40" fillId="0" borderId="0" xfId="57" applyFont="1" applyAlignment="1">
      <alignment horizontal="left" vertical="center"/>
    </xf>
    <xf numFmtId="14" fontId="40" fillId="0" borderId="0" xfId="57" applyNumberFormat="1" applyFont="1" applyAlignment="1">
      <alignment horizontal="left" vertical="center"/>
    </xf>
    <xf numFmtId="4" fontId="21" fillId="0" borderId="41" xfId="31" applyNumberFormat="1" applyFont="1" applyBorder="1" applyAlignment="1">
      <alignment horizontal="center" vertical="center" wrapText="1"/>
    </xf>
    <xf numFmtId="0" fontId="55" fillId="0" borderId="0" xfId="31" applyFont="1" applyAlignment="1">
      <alignment vertical="top" wrapText="1"/>
    </xf>
    <xf numFmtId="0" fontId="28" fillId="0" borderId="41" xfId="31" applyFont="1" applyBorder="1" applyAlignment="1">
      <alignment horizontal="center" vertical="center"/>
    </xf>
    <xf numFmtId="10" fontId="28" fillId="27" borderId="41" xfId="31" applyNumberFormat="1" applyFont="1" applyFill="1" applyBorder="1" applyAlignment="1" applyProtection="1">
      <alignment horizontal="center" vertical="center"/>
      <protection locked="0"/>
    </xf>
    <xf numFmtId="4" fontId="21" fillId="0" borderId="41" xfId="31" applyNumberFormat="1" applyFont="1" applyBorder="1" applyAlignment="1">
      <alignment horizontal="center" vertical="center"/>
    </xf>
    <xf numFmtId="10" fontId="28" fillId="0" borderId="41" xfId="31" applyNumberFormat="1" applyFont="1" applyBorder="1" applyAlignment="1">
      <alignment horizontal="center" vertical="center"/>
    </xf>
    <xf numFmtId="10" fontId="28" fillId="0" borderId="41" xfId="31" applyNumberFormat="1" applyFont="1" applyBorder="1" applyAlignment="1">
      <alignment horizontal="center" vertical="center" wrapText="1"/>
    </xf>
    <xf numFmtId="0" fontId="28" fillId="0" borderId="41" xfId="31" applyFont="1" applyBorder="1" applyAlignment="1">
      <alignment horizontal="center" vertical="center" wrapText="1"/>
    </xf>
    <xf numFmtId="0" fontId="29" fillId="0" borderId="0" xfId="31" applyFont="1" applyAlignment="1">
      <alignment wrapText="1"/>
    </xf>
    <xf numFmtId="0" fontId="56" fillId="0" borderId="0" xfId="31" applyFont="1" applyAlignment="1">
      <alignment horizontal="center" vertical="center" wrapText="1"/>
    </xf>
    <xf numFmtId="10" fontId="56" fillId="0" borderId="0" xfId="31" applyNumberFormat="1" applyFont="1" applyAlignment="1">
      <alignment horizontal="center" vertical="center"/>
    </xf>
    <xf numFmtId="4" fontId="21" fillId="0" borderId="0" xfId="31" applyNumberFormat="1" applyFont="1" applyAlignment="1">
      <alignment horizontal="center" vertical="center" wrapText="1"/>
    </xf>
    <xf numFmtId="0" fontId="34" fillId="0" borderId="0" xfId="31" applyProtection="1">
      <protection locked="0"/>
    </xf>
    <xf numFmtId="0" fontId="23" fillId="0" borderId="41" xfId="31" applyFont="1" applyBorder="1" applyAlignment="1">
      <alignment horizontal="center" vertical="center"/>
    </xf>
    <xf numFmtId="0" fontId="34" fillId="0" borderId="0" xfId="31" applyAlignment="1">
      <alignment horizontal="center" vertical="center"/>
    </xf>
    <xf numFmtId="0" fontId="32" fillId="0" borderId="0" xfId="31" applyFont="1" applyAlignment="1">
      <alignment horizontal="center" vertical="center"/>
    </xf>
    <xf numFmtId="174" fontId="34" fillId="0" borderId="0" xfId="31" applyNumberFormat="1" applyAlignment="1">
      <alignment vertical="center"/>
    </xf>
    <xf numFmtId="0" fontId="25" fillId="0" borderId="30" xfId="31" applyFont="1" applyBorder="1" applyAlignment="1">
      <alignment horizontal="left" vertical="center"/>
    </xf>
    <xf numFmtId="0" fontId="34" fillId="0" borderId="30" xfId="31" applyBorder="1" applyAlignment="1">
      <alignment vertical="center"/>
    </xf>
    <xf numFmtId="0" fontId="28" fillId="0" borderId="0" xfId="31" applyFont="1" applyAlignment="1">
      <alignment vertical="center"/>
    </xf>
    <xf numFmtId="0" fontId="21" fillId="0" borderId="0" xfId="31" applyFont="1" applyAlignment="1">
      <alignment vertical="center"/>
    </xf>
    <xf numFmtId="0" fontId="16" fillId="0" borderId="40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/>
    </xf>
    <xf numFmtId="173" fontId="34" fillId="0" borderId="0" xfId="31" applyNumberFormat="1" applyAlignment="1">
      <alignment horizontal="left" vertical="center"/>
    </xf>
    <xf numFmtId="49" fontId="34" fillId="27" borderId="64" xfId="31" applyNumberFormat="1" applyFill="1" applyBorder="1" applyAlignment="1" applyProtection="1">
      <alignment horizontal="left" vertical="center" wrapText="1"/>
      <protection locked="0"/>
    </xf>
    <xf numFmtId="49" fontId="34" fillId="27" borderId="65" xfId="31" applyNumberFormat="1" applyFill="1" applyBorder="1" applyAlignment="1" applyProtection="1">
      <alignment horizontal="left" vertical="center" wrapText="1"/>
      <protection locked="0"/>
    </xf>
    <xf numFmtId="49" fontId="34" fillId="27" borderId="66" xfId="31" applyNumberFormat="1" applyFill="1" applyBorder="1" applyAlignment="1" applyProtection="1">
      <alignment horizontal="left" vertical="center" wrapText="1"/>
      <protection locked="0"/>
    </xf>
    <xf numFmtId="173" fontId="34" fillId="0" borderId="35" xfId="31" applyNumberFormat="1" applyBorder="1" applyAlignment="1">
      <alignment horizontal="left" vertical="center"/>
    </xf>
    <xf numFmtId="167" fontId="34" fillId="0" borderId="35" xfId="31" applyNumberFormat="1" applyBorder="1" applyAlignment="1">
      <alignment horizontal="left" vertical="center"/>
    </xf>
    <xf numFmtId="0" fontId="25" fillId="0" borderId="0" xfId="31" applyFont="1" applyAlignment="1">
      <alignment horizontal="left" vertical="center"/>
    </xf>
    <xf numFmtId="0" fontId="21" fillId="0" borderId="0" xfId="31" applyFont="1" applyAlignment="1">
      <alignment horizontal="left" vertical="center"/>
    </xf>
    <xf numFmtId="0" fontId="34" fillId="0" borderId="30" xfId="31" applyBorder="1" applyAlignment="1">
      <alignment horizontal="center" vertical="center"/>
    </xf>
    <xf numFmtId="0" fontId="30" fillId="0" borderId="0" xfId="57" applyFont="1" applyAlignment="1">
      <alignment horizontal="right" vertical="center"/>
    </xf>
    <xf numFmtId="0" fontId="31" fillId="0" borderId="0" xfId="57" applyFont="1" applyAlignment="1">
      <alignment horizontal="center" vertical="center"/>
    </xf>
    <xf numFmtId="0" fontId="30" fillId="0" borderId="0" xfId="57" quotePrefix="1" applyFont="1" applyAlignment="1">
      <alignment horizontal="left" vertical="center"/>
    </xf>
    <xf numFmtId="0" fontId="30" fillId="0" borderId="0" xfId="57" applyFont="1" applyAlignment="1">
      <alignment horizontal="left" vertical="center"/>
    </xf>
    <xf numFmtId="0" fontId="30" fillId="0" borderId="0" xfId="57" applyFont="1" applyAlignment="1">
      <alignment horizontal="center" vertical="center"/>
    </xf>
    <xf numFmtId="0" fontId="59" fillId="0" borderId="41" xfId="31" applyFont="1" applyBorder="1" applyAlignment="1">
      <alignment horizontal="center" vertical="center" wrapText="1"/>
    </xf>
    <xf numFmtId="0" fontId="34" fillId="0" borderId="41" xfId="31" applyBorder="1" applyAlignment="1">
      <alignment horizontal="left" vertical="center" wrapText="1"/>
    </xf>
    <xf numFmtId="0" fontId="56" fillId="0" borderId="0" xfId="31" applyFont="1" applyAlignment="1">
      <alignment horizontal="left" vertical="center" wrapText="1"/>
    </xf>
    <xf numFmtId="2" fontId="57" fillId="0" borderId="30" xfId="31" applyNumberFormat="1" applyFont="1" applyBorder="1" applyAlignment="1">
      <alignment horizontal="center" vertical="center"/>
    </xf>
    <xf numFmtId="0" fontId="58" fillId="0" borderId="0" xfId="31" applyFont="1" applyAlignment="1">
      <alignment horizontal="left" vertical="center"/>
    </xf>
    <xf numFmtId="0" fontId="34" fillId="0" borderId="0" xfId="31" applyAlignment="1">
      <alignment horizontal="center" vertical="center"/>
    </xf>
    <xf numFmtId="0" fontId="55" fillId="0" borderId="0" xfId="31" applyFont="1" applyAlignment="1">
      <alignment horizontal="center" vertical="top" wrapText="1"/>
    </xf>
    <xf numFmtId="0" fontId="34" fillId="0" borderId="41" xfId="31" applyBorder="1" applyAlignment="1">
      <alignment horizontal="left" vertical="center"/>
    </xf>
    <xf numFmtId="0" fontId="12" fillId="0" borderId="41" xfId="31" applyFont="1" applyBorder="1" applyAlignment="1">
      <alignment horizontal="left" vertical="center"/>
    </xf>
    <xf numFmtId="10" fontId="12" fillId="27" borderId="41" xfId="31" applyNumberFormat="1" applyFont="1" applyFill="1" applyBorder="1" applyAlignment="1" applyProtection="1">
      <alignment horizontal="center" vertical="center"/>
      <protection locked="0"/>
    </xf>
    <xf numFmtId="0" fontId="21" fillId="0" borderId="41" xfId="31" applyFont="1" applyBorder="1" applyAlignment="1">
      <alignment horizontal="center" vertical="center"/>
    </xf>
    <xf numFmtId="4" fontId="21" fillId="0" borderId="41" xfId="31" applyNumberFormat="1" applyFont="1" applyBorder="1" applyAlignment="1">
      <alignment horizontal="center" vertical="center" wrapText="1"/>
    </xf>
    <xf numFmtId="0" fontId="25" fillId="0" borderId="41" xfId="31" applyFont="1" applyBorder="1" applyAlignment="1">
      <alignment horizontal="center" vertical="center"/>
    </xf>
    <xf numFmtId="0" fontId="52" fillId="0" borderId="0" xfId="57" applyFont="1" applyAlignment="1">
      <alignment horizontal="center" vertical="center"/>
    </xf>
    <xf numFmtId="0" fontId="25" fillId="0" borderId="32" xfId="33" applyFont="1" applyBorder="1" applyAlignment="1">
      <alignment horizontal="left" vertical="center"/>
    </xf>
    <xf numFmtId="0" fontId="25" fillId="0" borderId="0" xfId="33" applyFont="1" applyAlignment="1">
      <alignment horizontal="left" vertical="center"/>
    </xf>
    <xf numFmtId="0" fontId="25" fillId="0" borderId="33" xfId="33" applyFont="1" applyBorder="1" applyAlignment="1">
      <alignment horizontal="left" vertical="center"/>
    </xf>
    <xf numFmtId="172" fontId="12" fillId="27" borderId="34" xfId="58" applyFont="1" applyFill="1" applyBorder="1" applyAlignment="1" applyProtection="1">
      <alignment horizontal="left" vertical="center"/>
      <protection locked="0"/>
    </xf>
    <xf numFmtId="172" fontId="12" fillId="27" borderId="35" xfId="58" applyFont="1" applyFill="1" applyBorder="1" applyAlignment="1" applyProtection="1">
      <alignment horizontal="left" vertical="center"/>
      <protection locked="0"/>
    </xf>
    <xf numFmtId="172" fontId="12" fillId="27" borderId="36" xfId="58" applyFont="1" applyFill="1" applyBorder="1" applyAlignment="1" applyProtection="1">
      <alignment horizontal="left" vertical="center"/>
      <protection locked="0"/>
    </xf>
    <xf numFmtId="0" fontId="34" fillId="0" borderId="34" xfId="31" applyBorder="1" applyAlignment="1">
      <alignment horizontal="center" vertical="center" wrapText="1"/>
    </xf>
    <xf numFmtId="0" fontId="34" fillId="0" borderId="36" xfId="31" applyBorder="1" applyAlignment="1">
      <alignment horizontal="center" vertical="center" wrapText="1"/>
    </xf>
    <xf numFmtId="0" fontId="12" fillId="0" borderId="41" xfId="31" applyFont="1" applyBorder="1" applyAlignment="1">
      <alignment horizontal="left" vertical="center" wrapText="1"/>
    </xf>
    <xf numFmtId="0" fontId="40" fillId="0" borderId="0" xfId="57" applyFont="1" applyAlignment="1">
      <alignment horizontal="left" vertical="top"/>
    </xf>
    <xf numFmtId="49" fontId="40" fillId="0" borderId="0" xfId="57" applyNumberFormat="1" applyFont="1" applyAlignment="1">
      <alignment horizontal="left" vertical="top" wrapText="1"/>
    </xf>
    <xf numFmtId="0" fontId="40" fillId="0" borderId="0" xfId="57" applyFont="1" applyAlignment="1">
      <alignment horizontal="left" vertical="top" wrapText="1"/>
    </xf>
    <xf numFmtId="0" fontId="41" fillId="0" borderId="35" xfId="57" applyFont="1" applyBorder="1" applyAlignment="1">
      <alignment horizontal="left"/>
    </xf>
    <xf numFmtId="14" fontId="40" fillId="0" borderId="0" xfId="57" applyNumberFormat="1" applyFont="1" applyAlignment="1">
      <alignment horizontal="left" vertical="top"/>
    </xf>
    <xf numFmtId="0" fontId="12" fillId="0" borderId="34" xfId="58" applyNumberFormat="1" applyFont="1" applyFill="1" applyBorder="1" applyAlignment="1" applyProtection="1">
      <alignment horizontal="left" vertical="center" wrapText="1"/>
    </xf>
    <xf numFmtId="0" fontId="12" fillId="0" borderId="35" xfId="58" applyNumberFormat="1" applyFont="1" applyFill="1" applyBorder="1" applyAlignment="1" applyProtection="1">
      <alignment horizontal="left" vertical="center" wrapText="1"/>
    </xf>
    <xf numFmtId="0" fontId="12" fillId="0" borderId="36" xfId="58" applyNumberFormat="1" applyFont="1" applyFill="1" applyBorder="1" applyAlignment="1" applyProtection="1">
      <alignment horizontal="left" vertical="center" wrapText="1"/>
    </xf>
    <xf numFmtId="0" fontId="51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 wrapText="1"/>
    </xf>
    <xf numFmtId="0" fontId="34" fillId="0" borderId="34" xfId="31" applyBorder="1" applyAlignment="1">
      <alignment horizontal="left" vertical="center" wrapText="1"/>
    </xf>
    <xf numFmtId="0" fontId="34" fillId="0" borderId="36" xfId="31" applyBorder="1" applyAlignment="1">
      <alignment horizontal="left" vertical="center" wrapText="1"/>
    </xf>
    <xf numFmtId="49" fontId="34" fillId="0" borderId="34" xfId="31" applyNumberFormat="1" applyBorder="1" applyAlignment="1">
      <alignment horizontal="left" vertical="center" wrapText="1"/>
    </xf>
    <xf numFmtId="0" fontId="34" fillId="0" borderId="35" xfId="31" applyBorder="1" applyAlignment="1">
      <alignment horizontal="left" vertical="center" wrapText="1"/>
    </xf>
    <xf numFmtId="0" fontId="25" fillId="0" borderId="30" xfId="31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3" fillId="17" borderId="0" xfId="0" applyFont="1" applyFill="1" applyAlignment="1">
      <alignment horizontal="center" vertical="center"/>
    </xf>
    <xf numFmtId="49" fontId="43" fillId="0" borderId="30" xfId="31" applyNumberFormat="1" applyFont="1" applyBorder="1" applyAlignment="1">
      <alignment horizontal="left" vertical="top"/>
    </xf>
    <xf numFmtId="0" fontId="43" fillId="0" borderId="30" xfId="31" applyFont="1" applyBorder="1" applyAlignment="1">
      <alignment horizontal="left" vertical="top"/>
    </xf>
    <xf numFmtId="14" fontId="43" fillId="0" borderId="0" xfId="31" applyNumberFormat="1" applyFont="1" applyAlignment="1">
      <alignment horizontal="left" vertical="top"/>
    </xf>
    <xf numFmtId="0" fontId="43" fillId="0" borderId="0" xfId="31" applyFont="1" applyAlignment="1">
      <alignment horizontal="left" vertical="top" wrapText="1"/>
    </xf>
    <xf numFmtId="10" fontId="43" fillId="0" borderId="0" xfId="31" applyNumberFormat="1" applyFont="1" applyAlignment="1">
      <alignment horizontal="left" vertical="top"/>
    </xf>
    <xf numFmtId="0" fontId="52" fillId="0" borderId="0" xfId="31" applyFont="1" applyAlignment="1">
      <alignment horizontal="center" vertical="center"/>
    </xf>
    <xf numFmtId="49" fontId="43" fillId="0" borderId="30" xfId="31" applyNumberFormat="1" applyFont="1" applyBorder="1" applyAlignment="1">
      <alignment horizontal="left" vertical="top" wrapText="1"/>
    </xf>
    <xf numFmtId="0" fontId="43" fillId="0" borderId="30" xfId="31" applyFont="1" applyBorder="1" applyAlignment="1">
      <alignment horizontal="left" vertical="top" wrapText="1"/>
    </xf>
    <xf numFmtId="0" fontId="41" fillId="0" borderId="35" xfId="31" applyFont="1" applyBorder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43" fontId="33" fillId="26" borderId="47" xfId="47" applyFont="1" applyFill="1" applyBorder="1" applyAlignment="1">
      <alignment horizontal="center" vertical="center" wrapText="1"/>
    </xf>
    <xf numFmtId="43" fontId="33" fillId="26" borderId="50" xfId="47" applyFont="1" applyFill="1" applyBorder="1" applyAlignment="1">
      <alignment horizontal="center" vertical="center" wrapText="1"/>
    </xf>
    <xf numFmtId="43" fontId="33" fillId="26" borderId="54" xfId="47" applyFont="1" applyFill="1" applyBorder="1" applyAlignment="1">
      <alignment horizontal="center" vertical="center" wrapText="1"/>
    </xf>
    <xf numFmtId="0" fontId="47" fillId="25" borderId="51" xfId="31" applyFont="1" applyFill="1" applyBorder="1" applyAlignment="1">
      <alignment horizontal="right" vertical="center" wrapText="1"/>
    </xf>
    <xf numFmtId="0" fontId="47" fillId="25" borderId="52" xfId="31" applyFont="1" applyFill="1" applyBorder="1" applyAlignment="1">
      <alignment horizontal="right" vertical="center" wrapText="1"/>
    </xf>
    <xf numFmtId="0" fontId="45" fillId="23" borderId="62" xfId="31" applyFont="1" applyFill="1" applyBorder="1" applyAlignment="1">
      <alignment horizontal="center" vertical="center" wrapText="1"/>
    </xf>
    <xf numFmtId="0" fontId="46" fillId="24" borderId="42" xfId="31" applyFont="1" applyFill="1" applyBorder="1" applyAlignment="1">
      <alignment horizontal="center" vertical="center" wrapText="1"/>
    </xf>
    <xf numFmtId="0" fontId="46" fillId="24" borderId="43" xfId="31" applyFont="1" applyFill="1" applyBorder="1" applyAlignment="1">
      <alignment horizontal="center" vertical="center" wrapText="1"/>
    </xf>
    <xf numFmtId="0" fontId="46" fillId="24" borderId="44" xfId="31" applyFont="1" applyFill="1" applyBorder="1" applyAlignment="1">
      <alignment horizontal="center" vertical="center" wrapText="1"/>
    </xf>
    <xf numFmtId="0" fontId="44" fillId="0" borderId="0" xfId="46" applyFont="1" applyAlignment="1">
      <alignment horizontal="center" vertical="center"/>
    </xf>
    <xf numFmtId="164" fontId="33" fillId="26" borderId="47" xfId="49" applyFont="1" applyFill="1" applyBorder="1" applyAlignment="1">
      <alignment horizontal="center" vertical="center" wrapText="1"/>
    </xf>
    <xf numFmtId="164" fontId="33" fillId="26" borderId="50" xfId="49" applyFont="1" applyFill="1" applyBorder="1" applyAlignment="1">
      <alignment horizontal="center" vertical="center" wrapText="1"/>
    </xf>
    <xf numFmtId="164" fontId="33" fillId="26" borderId="54" xfId="49" applyFont="1" applyFill="1" applyBorder="1" applyAlignment="1">
      <alignment horizontal="center" vertical="center" wrapText="1"/>
    </xf>
    <xf numFmtId="0" fontId="47" fillId="25" borderId="58" xfId="31" applyFont="1" applyFill="1" applyBorder="1" applyAlignment="1">
      <alignment horizontal="right" vertical="center" wrapText="1"/>
    </xf>
    <xf numFmtId="0" fontId="47" fillId="25" borderId="59" xfId="31" applyFont="1" applyFill="1" applyBorder="1" applyAlignment="1">
      <alignment horizontal="right" vertical="center" wrapText="1"/>
    </xf>
    <xf numFmtId="0" fontId="47" fillId="25" borderId="60" xfId="31" applyFont="1" applyFill="1" applyBorder="1" applyAlignment="1">
      <alignment horizontal="right" vertical="center" wrapText="1"/>
    </xf>
    <xf numFmtId="0" fontId="50" fillId="0" borderId="0" xfId="46" applyFont="1" applyAlignment="1">
      <alignment horizontal="right" vertical="center"/>
    </xf>
    <xf numFmtId="0" fontId="40" fillId="0" borderId="0" xfId="46" applyFont="1" applyAlignment="1">
      <alignment horizontal="left" vertical="center"/>
    </xf>
    <xf numFmtId="49" fontId="40" fillId="0" borderId="0" xfId="46" applyNumberFormat="1" applyFont="1" applyAlignment="1">
      <alignment horizontal="left" vertical="center"/>
    </xf>
    <xf numFmtId="49" fontId="40" fillId="0" borderId="35" xfId="46" applyNumberFormat="1" applyFont="1" applyBorder="1" applyAlignment="1">
      <alignment horizontal="left" vertical="center"/>
    </xf>
    <xf numFmtId="0" fontId="40" fillId="0" borderId="35" xfId="46" applyFont="1" applyBorder="1" applyAlignment="1">
      <alignment horizontal="left" vertical="center"/>
    </xf>
    <xf numFmtId="0" fontId="50" fillId="0" borderId="0" xfId="46" applyFont="1" applyAlignment="1">
      <alignment horizontal="left" vertical="center"/>
    </xf>
    <xf numFmtId="0" fontId="40" fillId="0" borderId="35" xfId="46" applyFont="1" applyBorder="1" applyAlignment="1">
      <alignment horizontal="center" vertical="center"/>
    </xf>
    <xf numFmtId="0" fontId="50" fillId="0" borderId="0" xfId="46" applyFont="1" applyAlignment="1">
      <alignment horizontal="center" vertical="center"/>
    </xf>
    <xf numFmtId="167" fontId="40" fillId="0" borderId="35" xfId="46" applyNumberFormat="1" applyFont="1" applyBorder="1" applyAlignment="1">
      <alignment horizontal="left" vertical="center"/>
    </xf>
  </cellXfs>
  <cellStyles count="59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 2" xfId="55" xr:uid="{9A198190-2911-48CE-B3AE-8E342FE76171}"/>
    <cellStyle name="Moeda_Composicao BDI v2.1 2" xfId="58" xr:uid="{B83110AB-A941-4655-8E51-44300E622233}"/>
    <cellStyle name="Normal" xfId="0" builtinId="0"/>
    <cellStyle name="Normal 2" xfId="31" xr:uid="{00000000-0005-0000-0000-000021000000}"/>
    <cellStyle name="Normal 3" xfId="32" xr:uid="{00000000-0005-0000-0000-000022000000}"/>
    <cellStyle name="Normal 3 2" xfId="51" xr:uid="{BB78EFD0-5BC3-461B-BE48-A5D93B81AE5F}"/>
    <cellStyle name="Normal 3 2 2" xfId="57" xr:uid="{FCCB413B-95D3-47CA-B78A-48E0A556A079}"/>
    <cellStyle name="Normal 4" xfId="46" xr:uid="{32A9D7A8-28EB-4F34-B779-515F9E53F2AA}"/>
    <cellStyle name="Normal 5" xfId="52" xr:uid="{934BD192-8139-44F2-B900-258B9F4746F2}"/>
    <cellStyle name="Normal 6" xfId="56" xr:uid="{813772B0-3144-4F8D-9D41-999ED15F25F4}"/>
    <cellStyle name="Normal_FICHA DE VERIFICAÇÃO PRELIMINAR - Plano R" xfId="33" xr:uid="{00000000-0005-0000-0000-000023000000}"/>
    <cellStyle name="Nota" xfId="34" builtinId="10" customBuiltin="1"/>
    <cellStyle name="Porcentagem 2" xfId="35" xr:uid="{00000000-0005-0000-0000-000026000000}"/>
    <cellStyle name="Porcentagem 3" xfId="54" xr:uid="{47B5699B-320A-4750-9C61-7E2EA6D04ACC}"/>
    <cellStyle name="Saída" xfId="36" builtinId="21" customBuiltin="1"/>
    <cellStyle name="Texto de Aviso" xfId="37" builtinId="11" customBuiltin="1"/>
    <cellStyle name="Texto Explicativo" xfId="38" builtinId="53" customBuiltin="1"/>
    <cellStyle name="Título 1" xfId="39" builtinId="16" customBuiltin="1"/>
    <cellStyle name="Título 2" xfId="40" builtinId="17" customBuiltin="1"/>
    <cellStyle name="Título 3" xfId="41" builtinId="18" customBuiltin="1"/>
    <cellStyle name="Título 4" xfId="42" builtinId="19" customBuiltin="1"/>
    <cellStyle name="Título 5" xfId="43" xr:uid="{00000000-0005-0000-0000-00002E000000}"/>
    <cellStyle name="Total" xfId="44" builtinId="25" customBuiltin="1"/>
    <cellStyle name="Vírgula 2" xfId="45" xr:uid="{00000000-0005-0000-0000-000031000000}"/>
    <cellStyle name="Vírgula 2 2" xfId="47" xr:uid="{6913CA23-EAB2-44E2-8052-CA09F7087651}"/>
    <cellStyle name="Vírgula 2 2 2" xfId="49" xr:uid="{24B0B7C7-7AFC-4E26-B058-5B6547B6FCDB}"/>
    <cellStyle name="Vírgula 2 2 3" xfId="50" xr:uid="{871AB7F2-FA02-4C75-ACE7-9F90EB5602AF}"/>
    <cellStyle name="Vírgula 3" xfId="48" xr:uid="{0214E80E-534D-40C7-B2F5-5AAE661A8C75}"/>
    <cellStyle name="Vírgula 4" xfId="53" xr:uid="{D2A47BF1-AB1B-410B-96B2-BF842E6E6B6F}"/>
  </cellStyles>
  <dxfs count="24"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4360" y="967740"/>
              <a:ext cx="1257300" cy="48768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3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7432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3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50720" y="967740"/>
              <a:ext cx="1303020" cy="487680"/>
              <a:chOff x="1790681" y="971548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300-0000183C0000}"/>
                  </a:ext>
                </a:extLst>
              </xdr:cNvPr>
              <xdr:cNvSpPr/>
            </xdr:nvSpPr>
            <xdr:spPr bwMode="auto">
              <a:xfrm>
                <a:off x="1790681" y="971548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7432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3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2" name="Object 476" hidden="1">
          <a:extLst>
            <a:ext uri="{FF2B5EF4-FFF2-40B4-BE49-F238E27FC236}">
              <a16:creationId xmlns:a16="http://schemas.microsoft.com/office/drawing/2014/main" id="{FEF48488-83C3-40A5-8356-5E8148D2F6AC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pic>
      <xdr:nvPicPr>
        <xdr:cNvPr id="3" name="Picture 476">
          <a:extLst>
            <a:ext uri="{FF2B5EF4-FFF2-40B4-BE49-F238E27FC236}">
              <a16:creationId xmlns:a16="http://schemas.microsoft.com/office/drawing/2014/main" id="{18F03A35-2975-4EAE-835B-7B57DB91C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4" name="Object 476" hidden="1">
          <a:extLst>
            <a:ext uri="{FF2B5EF4-FFF2-40B4-BE49-F238E27FC236}">
              <a16:creationId xmlns:a16="http://schemas.microsoft.com/office/drawing/2014/main" id="{8D791715-1A53-4C39-A469-1C18125F6C9A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pic>
      <xdr:nvPicPr>
        <xdr:cNvPr id="5" name="Picture 476">
          <a:extLst>
            <a:ext uri="{FF2B5EF4-FFF2-40B4-BE49-F238E27FC236}">
              <a16:creationId xmlns:a16="http://schemas.microsoft.com/office/drawing/2014/main" id="{4097E4AF-F357-4BAD-9A5A-4E7722347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683447</xdr:colOff>
      <xdr:row>0</xdr:row>
      <xdr:rowOff>0</xdr:rowOff>
    </xdr:from>
    <xdr:to>
      <xdr:col>16</xdr:col>
      <xdr:colOff>277905</xdr:colOff>
      <xdr:row>12</xdr:row>
      <xdr:rowOff>286870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43790459-EBB9-45FE-9DC5-45A20FE1E9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79247" y="0"/>
          <a:ext cx="1164178" cy="835510"/>
        </a:xfrm>
        <a:prstGeom prst="rect">
          <a:avLst/>
        </a:prstGeom>
      </xdr:spPr>
    </xdr:pic>
    <xdr:clientData/>
  </xdr:twoCellAnchor>
  <xdr:twoCellAnchor editAs="oneCell">
    <xdr:from>
      <xdr:col>8</xdr:col>
      <xdr:colOff>26893</xdr:colOff>
      <xdr:row>9</xdr:row>
      <xdr:rowOff>30481</xdr:rowOff>
    </xdr:from>
    <xdr:to>
      <xdr:col>9</xdr:col>
      <xdr:colOff>3064</xdr:colOff>
      <xdr:row>13</xdr:row>
      <xdr:rowOff>99477</xdr:rowOff>
    </xdr:to>
    <xdr:pic>
      <xdr:nvPicPr>
        <xdr:cNvPr id="7" name="Image 3">
          <a:extLst>
            <a:ext uri="{FF2B5EF4-FFF2-40B4-BE49-F238E27FC236}">
              <a16:creationId xmlns:a16="http://schemas.microsoft.com/office/drawing/2014/main" id="{7FFD6328-6593-4E42-B74B-812FBAB893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893" y="30481"/>
          <a:ext cx="692451" cy="10367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2" name="Object 476" hidden="1">
          <a:extLst>
            <a:ext uri="{FF2B5EF4-FFF2-40B4-BE49-F238E27FC236}">
              <a16:creationId xmlns:a16="http://schemas.microsoft.com/office/drawing/2014/main" id="{D18DF754-804A-4158-93A6-7C0693BF4AC1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10</xdr:row>
      <xdr:rowOff>118783</xdr:rowOff>
    </xdr:to>
    <xdr:pic>
      <xdr:nvPicPr>
        <xdr:cNvPr id="3" name="Picture 476">
          <a:extLst>
            <a:ext uri="{FF2B5EF4-FFF2-40B4-BE49-F238E27FC236}">
              <a16:creationId xmlns:a16="http://schemas.microsoft.com/office/drawing/2014/main" id="{0E8F5A16-A835-4048-8AF6-FBFC822AB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sp macro="" textlink="">
      <xdr:nvSpPr>
        <xdr:cNvPr id="4" name="Object 476" hidden="1">
          <a:extLst>
            <a:ext uri="{FF2B5EF4-FFF2-40B4-BE49-F238E27FC236}">
              <a16:creationId xmlns:a16="http://schemas.microsoft.com/office/drawing/2014/main" id="{74979F46-0533-48F6-B12E-94BAB7014F32}"/>
            </a:ext>
          </a:extLst>
        </xdr:cNvPr>
        <xdr:cNvSpPr>
          <a:spLocks noChangeArrowheads="1"/>
        </xdr:cNvSpPr>
      </xdr:nvSpPr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28575</xdr:colOff>
      <xdr:row>4</xdr:row>
      <xdr:rowOff>19050</xdr:rowOff>
    </xdr:from>
    <xdr:to>
      <xdr:col>8</xdr:col>
      <xdr:colOff>28575</xdr:colOff>
      <xdr:row>10</xdr:row>
      <xdr:rowOff>118783</xdr:rowOff>
    </xdr:to>
    <xdr:pic>
      <xdr:nvPicPr>
        <xdr:cNvPr id="5" name="Picture 476">
          <a:extLst>
            <a:ext uri="{FF2B5EF4-FFF2-40B4-BE49-F238E27FC236}">
              <a16:creationId xmlns:a16="http://schemas.microsoft.com/office/drawing/2014/main" id="{8E24EDE6-8C2A-418D-8630-00E655922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0" cy="194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683447</xdr:colOff>
      <xdr:row>0</xdr:row>
      <xdr:rowOff>0</xdr:rowOff>
    </xdr:from>
    <xdr:to>
      <xdr:col>16</xdr:col>
      <xdr:colOff>277905</xdr:colOff>
      <xdr:row>12</xdr:row>
      <xdr:rowOff>286870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839A1554-5D05-4214-8A25-B4F598F628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79247" y="0"/>
          <a:ext cx="1164178" cy="835510"/>
        </a:xfrm>
        <a:prstGeom prst="rect">
          <a:avLst/>
        </a:prstGeom>
      </xdr:spPr>
    </xdr:pic>
    <xdr:clientData/>
  </xdr:twoCellAnchor>
  <xdr:twoCellAnchor editAs="oneCell">
    <xdr:from>
      <xdr:col>8</xdr:col>
      <xdr:colOff>26893</xdr:colOff>
      <xdr:row>9</xdr:row>
      <xdr:rowOff>30481</xdr:rowOff>
    </xdr:from>
    <xdr:to>
      <xdr:col>9</xdr:col>
      <xdr:colOff>3064</xdr:colOff>
      <xdr:row>13</xdr:row>
      <xdr:rowOff>99477</xdr:rowOff>
    </xdr:to>
    <xdr:pic>
      <xdr:nvPicPr>
        <xdr:cNvPr id="7" name="Image 3">
          <a:extLst>
            <a:ext uri="{FF2B5EF4-FFF2-40B4-BE49-F238E27FC236}">
              <a16:creationId xmlns:a16="http://schemas.microsoft.com/office/drawing/2014/main" id="{99DBA0EE-BBAD-4A60-8F34-D69EE9AB8D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893" y="30481"/>
          <a:ext cx="692451" cy="10367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83820</xdr:rowOff>
    </xdr:from>
    <xdr:to>
      <xdr:col>2</xdr:col>
      <xdr:colOff>259080</xdr:colOff>
      <xdr:row>3</xdr:row>
      <xdr:rowOff>22860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ABECFC3B-6298-777D-93C6-08565F026E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6220" y="83820"/>
          <a:ext cx="1074420" cy="838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647700</xdr:colOff>
      <xdr:row>0</xdr:row>
      <xdr:rowOff>129540</xdr:rowOff>
    </xdr:from>
    <xdr:to>
      <xdr:col>11</xdr:col>
      <xdr:colOff>944880</xdr:colOff>
      <xdr:row>3</xdr:row>
      <xdr:rowOff>114300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0B1B7047-8DC3-0175-AF0F-2F801C8D55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91700" y="129540"/>
          <a:ext cx="1226820" cy="8839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eniv/Desktop/Pavimenta&#231;&#227;o/LAJE_PAV_PONTE_DE_FERRO_CAIX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istrador\Downloads\PLANILHA%20M&#218;LTIPLA%20V3.0.5.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e/Desktop/PMSAJ/Pra&#231;a%20S&#227;o%20Benedito/Refer&#234;ncia%2003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4a97203a8f5449b/LLES/01%20-%20ATUAIS/PM_MUNIZ_FERREIRA/MUNIZ_ASFALTO/PMSAJ/RUA%20DA%20LINHA/Rua%20da%20Linha%20%20com%20piso%20modelo%20test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e/Desktop/PMSAJ/RUA%20DA%20LINHA/Rua%20da%20Linha%20%20com%20piso%20modelo%20testa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CAMPO\S&#195;O%20FELIPE\ATA%20ASFALTO\S&#195;O%20FELIPE_ATA%20ASFALTO\EDIT&#193;VEIS\S&#195;O%20FELIPE_PAVIMENTA&#199;&#213;ES_ASFALTICA_ENVIO.xlsx" TargetMode="External"/><Relationship Id="rId1" Type="http://schemas.openxmlformats.org/officeDocument/2006/relationships/externalLinkPath" Target="/Meu%20Drive/CAMPO/S&#195;O%20FELIPE/ATA%20ASFALTO/S&#195;O%20FELIPE_ATA%20ASFALTO/EDIT&#193;VEIS/S&#195;O%20FELIPE_PAVIMENTA&#199;&#213;ES_ASFALTICA_ENV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LAJE_PAV_PONTE_DE_FERRO_CAIXA"/>
    </sheetNames>
    <sheetDataSet>
      <sheetData sheetId="0" refreshError="1">
        <row r="1">
          <cell r="J1" t="str">
            <v>PM</v>
          </cell>
        </row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(SELECIONAR)</v>
          </cell>
          <cell r="J4" t="str">
            <v>Equipamentos comunitários</v>
          </cell>
        </row>
        <row r="5">
          <cell r="F5" t="str">
            <v>PREFEITURA MUNICIPAL DE LAJE</v>
          </cell>
          <cell r="J5" t="str">
            <v>Pavimentação</v>
          </cell>
        </row>
        <row r="6">
          <cell r="F6" t="str">
            <v>LAJE/BA</v>
          </cell>
          <cell r="J6" t="str">
            <v xml:space="preserve">Drenagem </v>
          </cell>
        </row>
        <row r="7">
          <cell r="F7" t="str">
            <v>1075790-09</v>
          </cell>
          <cell r="J7" t="str">
            <v>Abastecimento de água</v>
          </cell>
        </row>
        <row r="8">
          <cell r="F8" t="str">
            <v>23718/2021</v>
          </cell>
          <cell r="J8" t="str">
            <v>Esgotamento sanitário</v>
          </cell>
        </row>
        <row r="9">
          <cell r="F9">
            <v>335775</v>
          </cell>
          <cell r="J9" t="str">
            <v>Energia elétrica e iluminação pública</v>
          </cell>
        </row>
        <row r="10">
          <cell r="F10">
            <v>19526.220000000088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Pavimentação em paralelepípedo,na região da Ponte de Ferro, localizada no município de Laje/BA</v>
          </cell>
          <cell r="J16" t="str">
            <v>Instrumentos e ações em planejamento e gestão pública</v>
          </cell>
        </row>
        <row r="17">
          <cell r="F17" t="str">
            <v>PAVIMENTAÇÃO DE VIAS NO MUNICÍPIO DE LAJE - BAHIA</v>
          </cell>
          <cell r="J17" t="str">
            <v>Ações complementares às obras</v>
          </cell>
        </row>
        <row r="18">
          <cell r="F18" t="str">
            <v>NÃO 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Vanessa Andrade Montanha</v>
          </cell>
        </row>
        <row r="23">
          <cell r="F23" t="str">
            <v>CREA-BA 3000050507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>
        <row r="8">
          <cell r="F8" t="str">
            <v>'[Referência 09-2021.xls]Banco'!$a5:$a$65536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</sheetData>
      <sheetData sheetId="5" refreshError="1">
        <row r="12">
          <cell r="A12" t="str">
            <v>Manual</v>
          </cell>
          <cell r="Q12" t="str">
            <v>PONTE DE FERRO 1</v>
          </cell>
          <cell r="AA12" t="str">
            <v>.</v>
          </cell>
        </row>
        <row r="15">
          <cell r="M15">
            <v>0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 t="str">
            <v/>
          </cell>
        </row>
        <row r="20">
          <cell r="M20">
            <v>2</v>
          </cell>
        </row>
        <row r="21">
          <cell r="M21">
            <v>2</v>
          </cell>
        </row>
        <row r="22">
          <cell r="M22" t="str">
            <v/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 t="str">
            <v/>
          </cell>
        </row>
        <row r="35">
          <cell r="M35">
            <v>5</v>
          </cell>
        </row>
        <row r="36">
          <cell r="M36">
            <v>5</v>
          </cell>
        </row>
        <row r="37">
          <cell r="M37" t="str">
            <v/>
          </cell>
        </row>
        <row r="38">
          <cell r="M38">
            <v>6</v>
          </cell>
        </row>
      </sheetData>
      <sheetData sheetId="6" refreshError="1"/>
      <sheetData sheetId="7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</sheetData>
      <sheetData sheetId="8" refreshError="1">
        <row r="10">
          <cell r="G10">
            <v>2</v>
          </cell>
        </row>
      </sheetData>
      <sheetData sheetId="9" refreshError="1"/>
      <sheetData sheetId="10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A administração local será proporcional a execução dos demais eventos, independente de frentes de obra.</v>
          </cell>
        </row>
        <row r="21">
          <cell r="A21" t="str">
            <v>F</v>
          </cell>
        </row>
      </sheetData>
      <sheetData sheetId="11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0</v>
          </cell>
          <cell r="AA24">
            <v>0</v>
          </cell>
          <cell r="AB24">
            <v>0</v>
          </cell>
        </row>
      </sheetData>
      <sheetData sheetId="12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3" refreshError="1">
        <row r="7">
          <cell r="O7">
            <v>355301.22000000009</v>
          </cell>
        </row>
        <row r="26">
          <cell r="AC26" t="e">
            <v>#DIV/0!</v>
          </cell>
          <cell r="AD26" t="e">
            <v>#DIV/0!</v>
          </cell>
        </row>
        <row r="27">
          <cell r="AC27" t="e">
            <v>#DIV/0!</v>
          </cell>
          <cell r="AD27" t="e">
            <v>#DIV/0!</v>
          </cell>
        </row>
      </sheetData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 (2)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18">
          <cell r="F18" t="str">
            <v>DESONERADO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SINAPI-I</v>
          </cell>
        </row>
        <row r="9">
          <cell r="A9" t="str">
            <v>SINAPI-I</v>
          </cell>
        </row>
        <row r="10">
          <cell r="A10" t="str">
            <v>ORSE</v>
          </cell>
        </row>
        <row r="11">
          <cell r="A11" t="str">
            <v>ORSE-I</v>
          </cell>
        </row>
      </sheetData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antamento Quantitativo"/>
      <sheetName val="Planilha Global"/>
      <sheetName val="Cotações"/>
      <sheetName val="COMPOSIÇÕES AUXILIARES"/>
      <sheetName val="Cronograma"/>
      <sheetName val="BDI"/>
      <sheetName val="administração"/>
      <sheetName val="Plan2"/>
      <sheetName val="curva abc"/>
    </sheetNames>
    <sheetDataSet>
      <sheetData sheetId="0"/>
      <sheetData sheetId="1"/>
      <sheetData sheetId="2"/>
      <sheetData sheetId="3"/>
      <sheetData sheetId="4">
        <row r="5">
          <cell r="D5" t="str">
            <v>PROJETO DE SINALIZAÇÃO E ADEQUAÇÃO DO CANTEIRO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antamento Quantitativo"/>
      <sheetName val="Planilha Global"/>
      <sheetName val="Cotações"/>
      <sheetName val="COMPOSIÇÕES AUXILIARES"/>
      <sheetName val="Cronograma"/>
      <sheetName val="BDI"/>
      <sheetName val="administração"/>
      <sheetName val="Plan2"/>
      <sheetName val="curva abc"/>
    </sheetNames>
    <sheetDataSet>
      <sheetData sheetId="0"/>
      <sheetData sheetId="1">
        <row r="5">
          <cell r="E5" t="str">
            <v>PROJETO DE SINALIZAÇÃO E ADEQUAÇÃO DO CANTEIRO</v>
          </cell>
        </row>
      </sheetData>
      <sheetData sheetId="2">
        <row r="20">
          <cell r="F20">
            <v>398</v>
          </cell>
        </row>
      </sheetData>
      <sheetData sheetId="3">
        <row r="18">
          <cell r="C18" t="str">
            <v>Lixeira  redonda com cesto 67L de madeira plástica ipê, com tampa para coleta seletiva, com trava de fechamento: Confeccionada com polipropileno injetado, com suporte em maciço de madeira plastica reciclável d=50cm fixada em base de concreto.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BDI SERVIÇO"/>
      <sheetName val="BDI (2)"/>
      <sheetName val="SÃO SEBASTIAO"/>
      <sheetName val="SÃO BENEDITO"/>
      <sheetName val="RUA DA LINHA"/>
      <sheetName val="BDI INSUMO"/>
      <sheetName val="PLQ"/>
      <sheetName val="COMPOSIÇÕES"/>
      <sheetName val="Cotações "/>
      <sheetName val="PLANILHA REPROGRAMAÇÃO"/>
      <sheetName val="PLANILHA SERVIÇOS EXTRAS"/>
      <sheetName val="PLANILHA CONTROLE"/>
    </sheetNames>
    <sheetDataSet>
      <sheetData sheetId="0">
        <row r="4">
          <cell r="B4" t="str">
            <v>PREFEITURA MUNICIPAL DE SÃO FELIPE/BA</v>
          </cell>
        </row>
        <row r="5">
          <cell r="B5" t="str">
            <v>SÃO FELIPE/BA</v>
          </cell>
        </row>
        <row r="15">
          <cell r="B15" t="str">
            <v>Eliabe Vitória Souza</v>
          </cell>
        </row>
        <row r="16">
          <cell r="B16" t="str">
            <v>Engenheiro Civil</v>
          </cell>
        </row>
        <row r="17">
          <cell r="B17" t="str">
            <v>CREA/BA:051487735-9</v>
          </cell>
        </row>
        <row r="18">
          <cell r="B18">
            <v>45812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E6" sqref="E6"/>
    </sheetView>
  </sheetViews>
  <sheetFormatPr defaultRowHeight="13.2" x14ac:dyDescent="0.25"/>
  <cols>
    <col min="1" max="1" width="2.88671875" customWidth="1"/>
    <col min="2" max="2" width="5.6640625" customWidth="1"/>
    <col min="3" max="3" width="38.5546875" customWidth="1"/>
    <col min="4" max="4" width="5.6640625" customWidth="1"/>
    <col min="5" max="5" width="38.5546875" customWidth="1"/>
    <col min="6" max="6" width="5.6640625" customWidth="1"/>
    <col min="7" max="7" width="38.5546875" customWidth="1"/>
    <col min="8" max="8" width="5.6640625" customWidth="1"/>
    <col min="9" max="9" width="2.88671875" customWidth="1"/>
    <col min="10" max="10" width="19" customWidth="1"/>
    <col min="11" max="11" width="3" customWidth="1"/>
    <col min="13" max="13" width="1.5546875" customWidth="1"/>
    <col min="14" max="14" width="38.88671875" customWidth="1"/>
  </cols>
  <sheetData>
    <row r="1" spans="1:15" ht="15" customHeight="1" x14ac:dyDescent="0.25">
      <c r="A1" s="38"/>
      <c r="B1" s="38"/>
      <c r="C1" s="38"/>
      <c r="D1" s="38"/>
      <c r="E1" s="38"/>
      <c r="F1" s="38"/>
      <c r="G1" s="38"/>
      <c r="H1" s="38"/>
      <c r="I1" s="38"/>
      <c r="J1" t="s">
        <v>0</v>
      </c>
    </row>
    <row r="2" spans="1:15" ht="22.5" customHeight="1" x14ac:dyDescent="0.25">
      <c r="A2" s="38"/>
      <c r="B2" s="40"/>
      <c r="C2" s="40"/>
      <c r="D2" s="40"/>
      <c r="E2" s="241" t="str">
        <f>CHOOSE(MATCH(Objeto,{"PM","PO"}),"PLANILHA MÚLTIPLA ","PLANILHA ORÇAMENTÁRIA ")&amp; Versao</f>
        <v>PLANILHA MÚLTIPLA v3.0.6</v>
      </c>
      <c r="F2" s="241"/>
      <c r="G2" s="241"/>
      <c r="H2" s="42"/>
      <c r="I2" s="40"/>
      <c r="J2" t="s">
        <v>191</v>
      </c>
    </row>
    <row r="3" spans="1:15" ht="22.5" customHeight="1" x14ac:dyDescent="0.25">
      <c r="A3" s="38"/>
      <c r="B3" s="40"/>
      <c r="C3" s="40"/>
      <c r="D3" s="40"/>
      <c r="E3" s="241"/>
      <c r="F3" s="241"/>
      <c r="G3" s="241"/>
      <c r="H3" s="42"/>
      <c r="I3" s="40"/>
      <c r="O3" s="47">
        <v>1</v>
      </c>
    </row>
    <row r="4" spans="1:15" ht="17.100000000000001" customHeight="1" x14ac:dyDescent="0.25">
      <c r="A4" s="38"/>
      <c r="B4" s="40"/>
      <c r="C4" s="40"/>
      <c r="D4" s="40"/>
      <c r="E4" s="40"/>
      <c r="F4" s="41"/>
      <c r="G4" s="42"/>
      <c r="H4" s="42"/>
      <c r="I4" s="40"/>
      <c r="O4" s="47">
        <v>2</v>
      </c>
    </row>
    <row r="5" spans="1:15" ht="17.100000000000001" customHeight="1" thickBot="1" x14ac:dyDescent="0.3">
      <c r="A5" s="38"/>
      <c r="B5" s="40"/>
      <c r="C5" s="40"/>
      <c r="D5" s="40"/>
      <c r="E5" s="40"/>
      <c r="F5" s="41"/>
      <c r="G5" s="42"/>
      <c r="H5" s="42"/>
      <c r="I5" s="40"/>
      <c r="J5" s="65" t="s">
        <v>190</v>
      </c>
    </row>
    <row r="6" spans="1:15" ht="21" customHeight="1" thickBot="1" x14ac:dyDescent="0.3">
      <c r="A6" s="38"/>
      <c r="B6" s="38"/>
      <c r="C6" s="38"/>
      <c r="D6" s="38"/>
      <c r="E6" s="43" t="s">
        <v>183</v>
      </c>
      <c r="F6" s="39"/>
      <c r="G6" s="43" t="s">
        <v>184</v>
      </c>
      <c r="H6" s="38"/>
      <c r="I6" s="38"/>
      <c r="J6" s="65" t="s">
        <v>1</v>
      </c>
    </row>
    <row r="7" spans="1:15" x14ac:dyDescent="0.25">
      <c r="A7" s="38"/>
      <c r="B7" s="38"/>
      <c r="C7" s="38"/>
      <c r="D7" s="38"/>
      <c r="E7" s="38"/>
      <c r="F7" s="38"/>
      <c r="G7" s="38"/>
      <c r="H7" s="38"/>
      <c r="I7" s="38"/>
      <c r="J7" s="65" t="s">
        <v>182</v>
      </c>
      <c r="K7" s="55"/>
      <c r="L7" s="56"/>
      <c r="M7" s="56"/>
      <c r="N7" s="57"/>
    </row>
    <row r="8" spans="1:15" ht="21" customHeight="1" x14ac:dyDescent="0.25">
      <c r="A8" s="40"/>
      <c r="B8" s="240" t="str">
        <f>IF($O$3&lt;&gt;2,"DOCUMENTAÇÃO DA PROPOSTA","PROPOSTA: Para visualizar/preencher esta seção, altere o TIPO DE ORÇAMENTO para 'Proposto'")</f>
        <v>DOCUMENTAÇÃO DA PROPOSTA</v>
      </c>
      <c r="C8" s="240"/>
      <c r="D8" s="240"/>
      <c r="E8" s="240"/>
      <c r="F8" s="240"/>
      <c r="G8" s="240"/>
      <c r="H8" s="240"/>
      <c r="I8" s="38"/>
      <c r="J8" s="65" t="s">
        <v>4</v>
      </c>
      <c r="K8" s="58"/>
      <c r="L8" s="59" t="s">
        <v>185</v>
      </c>
      <c r="M8" s="59"/>
      <c r="N8" s="60"/>
    </row>
    <row r="9" spans="1:15" ht="13.8" thickBot="1" x14ac:dyDescent="0.3">
      <c r="A9" s="38"/>
      <c r="B9" s="38"/>
      <c r="C9" s="38"/>
      <c r="D9" s="38"/>
      <c r="E9" s="38"/>
      <c r="F9" s="38"/>
      <c r="G9" s="38"/>
      <c r="H9" s="38"/>
      <c r="I9" s="38"/>
      <c r="K9" s="58"/>
      <c r="L9" t="s">
        <v>188</v>
      </c>
      <c r="N9" s="60"/>
    </row>
    <row r="10" spans="1:15" ht="21" customHeight="1" thickBot="1" x14ac:dyDescent="0.3">
      <c r="A10" s="38"/>
      <c r="B10" s="38"/>
      <c r="C10" s="46" t="str">
        <f>IF(TIPOORCAMENTO&lt;&gt;"Proposto","","                    BDI                    ")</f>
        <v xml:space="preserve">                    BDI                    </v>
      </c>
      <c r="D10" s="39"/>
      <c r="E10" s="46" t="str">
        <f>IF(TIPOORCAMENTO&lt;&gt;"Proposto","","             ORÇAMENTO             ")</f>
        <v xml:space="preserve">             ORÇAMENTO             </v>
      </c>
      <c r="F10" s="39"/>
      <c r="G10" s="45" t="str">
        <f>IF(TIPOORCAMENTO&lt;&gt;"Proposto","","MEMÓRIA DE CÁLCULO / PLQ")</f>
        <v>MEMÓRIA DE CÁLCULO / PLQ</v>
      </c>
      <c r="H10" s="38"/>
      <c r="I10" s="38"/>
      <c r="K10" s="58"/>
      <c r="L10" s="2"/>
      <c r="M10" s="1"/>
      <c r="N10" s="61" t="s">
        <v>2</v>
      </c>
    </row>
    <row r="11" spans="1:15" ht="13.8" thickBot="1" x14ac:dyDescent="0.3">
      <c r="A11" s="38"/>
      <c r="B11" s="38"/>
      <c r="C11" s="39"/>
      <c r="D11" s="39"/>
      <c r="E11" s="39"/>
      <c r="F11" s="39"/>
      <c r="G11" s="39"/>
      <c r="H11" s="38"/>
      <c r="I11" s="38"/>
      <c r="K11" s="58"/>
      <c r="N11" s="60"/>
    </row>
    <row r="12" spans="1:15" ht="21" customHeight="1" thickBot="1" x14ac:dyDescent="0.3">
      <c r="A12" s="38"/>
      <c r="B12" s="38"/>
      <c r="C12" s="46" t="str">
        <f>IF(TIPOORCAMENTO&lt;&gt;"Proposto","","                    QCI                    ")</f>
        <v xml:space="preserve">                    QCI                    </v>
      </c>
      <c r="D12" s="39"/>
      <c r="E12" s="44" t="str">
        <f>IF(TIPOORCAMENTO&lt;&gt;"Proposto","","CRONOGRAMA FÍSICO-FINANCEIRO")</f>
        <v>CRONOGRAMA FÍSICO-FINANCEIRO</v>
      </c>
      <c r="F12" s="39"/>
      <c r="G12" s="39"/>
      <c r="H12" s="38"/>
      <c r="I12" s="38"/>
      <c r="K12" s="58"/>
      <c r="L12" s="3"/>
      <c r="M12" s="1"/>
      <c r="N12" s="61" t="s">
        <v>3</v>
      </c>
    </row>
    <row r="13" spans="1:15" x14ac:dyDescent="0.25">
      <c r="A13" s="38"/>
      <c r="B13" s="38"/>
      <c r="C13" s="38"/>
      <c r="D13" s="38"/>
      <c r="E13" s="38"/>
      <c r="F13" s="38"/>
      <c r="G13" s="38"/>
      <c r="H13" s="38"/>
      <c r="I13" s="38"/>
      <c r="K13" s="58"/>
      <c r="N13" s="60"/>
    </row>
    <row r="14" spans="1:15" x14ac:dyDescent="0.25">
      <c r="A14" s="38"/>
      <c r="B14" s="38"/>
      <c r="C14" s="38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mm-aaaa.xlsm.</v>
      </c>
      <c r="D14" s="38"/>
      <c r="E14" s="38"/>
      <c r="F14" s="38"/>
      <c r="G14" s="38"/>
      <c r="H14" s="38"/>
      <c r="I14" s="38"/>
      <c r="K14" s="58"/>
      <c r="N14" s="60"/>
    </row>
    <row r="15" spans="1:15" x14ac:dyDescent="0.25">
      <c r="A15" s="38"/>
      <c r="B15" s="38"/>
      <c r="C15" s="38"/>
      <c r="D15" s="38"/>
      <c r="E15" s="38"/>
      <c r="F15" s="38"/>
      <c r="G15" s="38"/>
      <c r="H15" s="38"/>
      <c r="I15" s="38"/>
      <c r="K15" s="58"/>
      <c r="L15" t="s">
        <v>189</v>
      </c>
      <c r="N15" s="60"/>
    </row>
    <row r="16" spans="1:15" ht="21" customHeight="1" x14ac:dyDescent="0.25">
      <c r="A16" s="38"/>
      <c r="B16" s="240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240"/>
      <c r="D16" s="240"/>
      <c r="E16" s="240"/>
      <c r="F16" s="240"/>
      <c r="G16" s="240"/>
      <c r="H16" s="240"/>
      <c r="I16" s="38"/>
      <c r="K16" s="58"/>
      <c r="L16" s="53"/>
      <c r="M16" s="1"/>
      <c r="N16" s="61" t="s">
        <v>186</v>
      </c>
    </row>
    <row r="17" spans="1:14" ht="13.8" thickBot="1" x14ac:dyDescent="0.3">
      <c r="A17" s="38"/>
      <c r="B17" s="38"/>
      <c r="C17" s="38"/>
      <c r="D17" s="38"/>
      <c r="E17" s="38"/>
      <c r="F17" s="38"/>
      <c r="G17" s="38"/>
      <c r="H17" s="38"/>
      <c r="I17" s="38"/>
      <c r="K17" s="58"/>
      <c r="N17" s="60"/>
    </row>
    <row r="18" spans="1:14" ht="21" customHeight="1" thickBot="1" x14ac:dyDescent="0.3">
      <c r="A18" s="38"/>
      <c r="B18" s="38"/>
      <c r="C18" s="49" t="str">
        <f>IF(TIPOORCAMENTO&lt;&gt;"Licitado","","             ORÇAMENTO             ")</f>
        <v/>
      </c>
      <c r="D18" s="39"/>
      <c r="E18" s="49" t="str">
        <f>IF(TIPOORCAMENTO&lt;&gt;"Licitado","","                    QCI                    ")</f>
        <v/>
      </c>
      <c r="F18" s="39"/>
      <c r="G18" s="48" t="str">
        <f>IF(TIPOORCAMENTO&lt;&gt;"Licitado","","CRONOGRAMA FÍSICO-FINANCEIRO")</f>
        <v/>
      </c>
      <c r="H18" s="38"/>
      <c r="I18" s="38"/>
      <c r="K18" s="58"/>
      <c r="L18" s="54"/>
      <c r="M18" s="1"/>
      <c r="N18" s="61" t="s">
        <v>187</v>
      </c>
    </row>
    <row r="19" spans="1:14" x14ac:dyDescent="0.25">
      <c r="A19" s="38"/>
      <c r="B19" s="38"/>
      <c r="C19" s="38"/>
      <c r="D19" s="38"/>
      <c r="E19" s="38"/>
      <c r="F19" s="38"/>
      <c r="G19" s="38"/>
      <c r="H19" s="38"/>
      <c r="I19" s="38"/>
      <c r="K19" s="62"/>
      <c r="L19" s="63"/>
      <c r="M19" s="63"/>
      <c r="N19" s="64"/>
    </row>
    <row r="20" spans="1:14" ht="21" customHeight="1" x14ac:dyDescent="0.25">
      <c r="A20" s="40"/>
      <c r="B20" s="240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240"/>
      <c r="D20" s="240"/>
      <c r="E20" s="240"/>
      <c r="F20" s="240"/>
      <c r="G20" s="240"/>
      <c r="H20" s="240"/>
      <c r="I20" s="38"/>
    </row>
    <row r="21" spans="1:14" ht="13.8" thickBot="1" x14ac:dyDescent="0.3">
      <c r="A21" s="38"/>
      <c r="B21" s="38"/>
      <c r="C21" s="38"/>
      <c r="D21" s="38"/>
      <c r="E21" s="38"/>
      <c r="F21" s="38"/>
      <c r="G21" s="38"/>
      <c r="H21" s="38"/>
      <c r="I21" s="38"/>
    </row>
    <row r="22" spans="1:14" ht="21" customHeight="1" thickBot="1" x14ac:dyDescent="0.3">
      <c r="A22" s="38"/>
      <c r="B22" s="38"/>
      <c r="C22" s="50" t="str">
        <f>IF(OR(TIPOORCAMENTO&lt;&gt;"Licitado",ACOMPANHAMENTO&lt;&gt;"PLE"),"","PLAN. DE LEVANT. DE EVENTOS - PLE")</f>
        <v/>
      </c>
      <c r="D22" s="39"/>
      <c r="E22" s="52" t="str">
        <f>IF(TIPOORCAMENTO&lt;&gt;"Licitado","","                    RRE                    ")</f>
        <v/>
      </c>
      <c r="F22" s="39"/>
      <c r="G22" s="51" t="str">
        <f>IF(OR(TIPOORCAMENTO&lt;&gt;"Licitado",ACOMPANHAMENTO&lt;&gt;"BM"),"","  BOLETIM DE MEDIÇÃO - BM  ")</f>
        <v/>
      </c>
      <c r="H22" s="38"/>
      <c r="I22" s="38"/>
    </row>
    <row r="23" spans="1:14" ht="13.8" thickBot="1" x14ac:dyDescent="0.3">
      <c r="A23" s="38"/>
      <c r="B23" s="38"/>
      <c r="C23" s="39"/>
      <c r="D23" s="39"/>
      <c r="E23" s="39"/>
      <c r="F23" s="39"/>
      <c r="G23" s="39"/>
      <c r="H23" s="38"/>
      <c r="I23" s="38"/>
    </row>
    <row r="24" spans="1:14" ht="21" customHeight="1" thickBot="1" x14ac:dyDescent="0.3">
      <c r="A24" s="38"/>
      <c r="B24" s="38"/>
      <c r="C24" s="39"/>
      <c r="D24" s="39"/>
      <c r="E24" s="50" t="str">
        <f>IF(TIPOORCAMENTO&lt;&gt;"Licitado","","OF. DE SOLICITAÇÃO DE DESBLOQUEIO")</f>
        <v/>
      </c>
      <c r="F24" s="39"/>
      <c r="G24" s="39"/>
      <c r="H24" s="38"/>
      <c r="I24" s="38"/>
    </row>
    <row r="25" spans="1:14" x14ac:dyDescent="0.25">
      <c r="A25" s="38"/>
      <c r="B25" s="38"/>
      <c r="C25" s="38"/>
      <c r="D25" s="38"/>
      <c r="E25" s="38"/>
      <c r="F25" s="38"/>
      <c r="G25" s="38"/>
      <c r="H25" s="38"/>
      <c r="I25" s="38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3" type="noConversion"/>
  <conditionalFormatting sqref="C10:G14">
    <cfRule type="expression" dxfId="5" priority="70" stopIfTrue="1">
      <formula>TIPOORCAMENTO="Licitado"</formula>
    </cfRule>
  </conditionalFormatting>
  <conditionalFormatting sqref="C18:G18 E22:E24">
    <cfRule type="expression" dxfId="4" priority="71" stopIfTrue="1">
      <formula>TIPOORCAMENTO&lt;&gt;"Licitado"</formula>
    </cfRule>
  </conditionalFormatting>
  <conditionalFormatting sqref="C22">
    <cfRule type="expression" dxfId="3" priority="73" stopIfTrue="1">
      <formula>OR(TIPOORCAMENTO&lt;&gt;"Licitado",ACOMPANHAMENTO&lt;&gt;"PLE")</formula>
    </cfRule>
  </conditionalFormatting>
  <conditionalFormatting sqref="G22">
    <cfRule type="expression" dxfId="2" priority="74" stopIfTrue="1">
      <formula>OR(TIPOORCAMENTO&lt;&gt;"Licitado",ACOMPANHAMENTO&lt;&gt;"BM")</formula>
    </cfRule>
  </conditionalFormatting>
  <conditionalFormatting sqref="B16:H16 B20:H20">
    <cfRule type="expression" dxfId="1" priority="599" stopIfTrue="1">
      <formula>$O$3&lt;&gt;2</formula>
    </cfRule>
  </conditionalFormatting>
  <conditionalFormatting sqref="B8:H8">
    <cfRule type="expression" dxfId="0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1363980</xdr:colOff>
                    <xdr:row>4</xdr:row>
                    <xdr:rowOff>0</xdr:rowOff>
                  </from>
                  <to>
                    <xdr:col>3</xdr:col>
                    <xdr:colOff>22860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1493520</xdr:colOff>
                    <xdr:row>4</xdr:row>
                    <xdr:rowOff>160020</xdr:rowOff>
                  </from>
                  <to>
                    <xdr:col>2</xdr:col>
                    <xdr:colOff>2476500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7620</xdr:colOff>
                    <xdr:row>4</xdr:row>
                    <xdr:rowOff>0</xdr:rowOff>
                  </from>
                  <to>
                    <xdr:col>2</xdr:col>
                    <xdr:colOff>1264920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129540</xdr:colOff>
                    <xdr:row>4</xdr:row>
                    <xdr:rowOff>160020</xdr:rowOff>
                  </from>
                  <to>
                    <xdr:col>2</xdr:col>
                    <xdr:colOff>1112520</xdr:colOff>
                    <xdr:row>5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F20" sqref="F20"/>
    </sheetView>
  </sheetViews>
  <sheetFormatPr defaultRowHeight="13.2" x14ac:dyDescent="0.25"/>
  <cols>
    <col min="5" max="5" width="42.6640625" style="1" customWidth="1"/>
    <col min="6" max="6" width="53.33203125" style="1" customWidth="1"/>
    <col min="10" max="10" width="14.33203125" hidden="1" customWidth="1"/>
    <col min="11" max="13" width="0" hidden="1" customWidth="1"/>
    <col min="14" max="14" width="0" style="4" hidden="1" customWidth="1"/>
    <col min="15" max="44" width="0" hidden="1" customWidth="1"/>
  </cols>
  <sheetData>
    <row r="1" spans="5:44" ht="15.75" customHeight="1" x14ac:dyDescent="0.25">
      <c r="E1" s="5" t="s">
        <v>5</v>
      </c>
      <c r="K1" s="6"/>
      <c r="L1" s="187" t="s">
        <v>6</v>
      </c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</row>
    <row r="2" spans="5:44" ht="12.75" customHeight="1" x14ac:dyDescent="0.25">
      <c r="E2" s="5"/>
      <c r="J2" s="7" t="s">
        <v>7</v>
      </c>
      <c r="K2" s="8" t="s">
        <v>8</v>
      </c>
      <c r="L2" s="9">
        <f>COUNTA(K:K)-1</f>
        <v>3</v>
      </c>
      <c r="M2" s="8" t="s">
        <v>9</v>
      </c>
      <c r="N2" s="9">
        <f>COUNTA(M:M)-1</f>
        <v>6</v>
      </c>
      <c r="O2" s="8" t="s">
        <v>10</v>
      </c>
      <c r="P2" s="9">
        <f>COUNTA(O:O)-1</f>
        <v>6</v>
      </c>
      <c r="Q2" s="8" t="s">
        <v>11</v>
      </c>
      <c r="R2" s="9">
        <f>COUNTA(Q:Q)-1</f>
        <v>6</v>
      </c>
      <c r="S2" s="8" t="s">
        <v>12</v>
      </c>
      <c r="T2" s="9">
        <f>COUNTA(S:S)-1</f>
        <v>11</v>
      </c>
      <c r="U2" s="8" t="s">
        <v>13</v>
      </c>
      <c r="V2" s="9">
        <f>COUNTA(U:U)-1</f>
        <v>8</v>
      </c>
      <c r="W2" s="8" t="s">
        <v>14</v>
      </c>
      <c r="X2" s="9">
        <f>COUNTA(W:W)-1</f>
        <v>4</v>
      </c>
      <c r="Y2" s="8" t="s">
        <v>15</v>
      </c>
      <c r="Z2" s="9">
        <f>COUNTA(Y:Y)-1</f>
        <v>6</v>
      </c>
      <c r="AA2" s="8" t="s">
        <v>16</v>
      </c>
      <c r="AB2" s="9">
        <f>COUNTA(AA:AA)-1</f>
        <v>2</v>
      </c>
      <c r="AC2" s="8" t="s">
        <v>17</v>
      </c>
      <c r="AD2" s="9">
        <f>COUNTA(AC:AC)-1</f>
        <v>2</v>
      </c>
      <c r="AE2" s="8" t="s">
        <v>18</v>
      </c>
      <c r="AF2" s="9">
        <f>COUNTA(AE:AE)-1</f>
        <v>2</v>
      </c>
      <c r="AG2" s="8" t="s">
        <v>19</v>
      </c>
      <c r="AH2" s="9">
        <f>COUNTA(AG:AG)-1</f>
        <v>1</v>
      </c>
      <c r="AI2" s="8" t="s">
        <v>20</v>
      </c>
      <c r="AJ2" s="9">
        <f>COUNTA(AI:AI)-1</f>
        <v>1</v>
      </c>
      <c r="AK2" s="8" t="s">
        <v>21</v>
      </c>
      <c r="AL2" s="9">
        <f>COUNTA(AK:AK)-1</f>
        <v>1</v>
      </c>
      <c r="AM2" s="8" t="s">
        <v>22</v>
      </c>
      <c r="AN2" s="9">
        <f>COUNTA(AM:AM)-1</f>
        <v>3</v>
      </c>
      <c r="AO2" s="8" t="s">
        <v>23</v>
      </c>
      <c r="AP2" s="9">
        <f>COUNTA(AO:AO)-1</f>
        <v>1</v>
      </c>
      <c r="AQ2" s="8" t="s">
        <v>24</v>
      </c>
      <c r="AR2" s="9">
        <f>COUNTA(AQ:AQ)-1</f>
        <v>4</v>
      </c>
    </row>
    <row r="3" spans="5:44" ht="14.4" x14ac:dyDescent="0.25">
      <c r="E3" s="186" t="s">
        <v>25</v>
      </c>
      <c r="F3" s="186"/>
      <c r="J3" s="10" t="s">
        <v>8</v>
      </c>
      <c r="K3" t="s">
        <v>26</v>
      </c>
      <c r="L3" s="4" t="s">
        <v>27</v>
      </c>
      <c r="M3" s="10" t="s">
        <v>28</v>
      </c>
      <c r="N3" s="4" t="s">
        <v>29</v>
      </c>
      <c r="O3" t="s">
        <v>30</v>
      </c>
      <c r="P3" s="4" t="s">
        <v>29</v>
      </c>
      <c r="Q3" t="s">
        <v>31</v>
      </c>
      <c r="R3" s="4" t="s">
        <v>32</v>
      </c>
      <c r="S3" t="s">
        <v>33</v>
      </c>
      <c r="T3" s="4" t="s">
        <v>34</v>
      </c>
      <c r="U3" t="s">
        <v>35</v>
      </c>
      <c r="V3" s="4" t="s">
        <v>27</v>
      </c>
      <c r="W3" t="s">
        <v>36</v>
      </c>
      <c r="X3" s="4" t="s">
        <v>27</v>
      </c>
      <c r="Y3" t="s">
        <v>37</v>
      </c>
      <c r="Z3" s="4" t="s">
        <v>27</v>
      </c>
      <c r="AA3" t="s">
        <v>38</v>
      </c>
      <c r="AB3" s="4" t="s">
        <v>29</v>
      </c>
      <c r="AC3" t="s">
        <v>39</v>
      </c>
      <c r="AD3" s="4" t="s">
        <v>29</v>
      </c>
      <c r="AE3" t="s">
        <v>18</v>
      </c>
      <c r="AF3" s="4" t="s">
        <v>29</v>
      </c>
      <c r="AG3" t="s">
        <v>19</v>
      </c>
      <c r="AH3" s="4" t="s">
        <v>27</v>
      </c>
      <c r="AI3" t="s">
        <v>20</v>
      </c>
      <c r="AJ3" s="4" t="s">
        <v>27</v>
      </c>
      <c r="AK3" t="s">
        <v>21</v>
      </c>
      <c r="AL3" s="4" t="s">
        <v>27</v>
      </c>
      <c r="AM3" t="s">
        <v>40</v>
      </c>
      <c r="AN3" s="4" t="s">
        <v>27</v>
      </c>
      <c r="AO3" t="s">
        <v>23</v>
      </c>
      <c r="AP3" s="4" t="s">
        <v>41</v>
      </c>
      <c r="AQ3" t="s">
        <v>42</v>
      </c>
      <c r="AR3" s="4" t="s">
        <v>43</v>
      </c>
    </row>
    <row r="4" spans="5:44" x14ac:dyDescent="0.25">
      <c r="E4" s="11" t="s">
        <v>44</v>
      </c>
      <c r="F4" s="12" t="s">
        <v>196</v>
      </c>
      <c r="J4" s="10" t="s">
        <v>9</v>
      </c>
      <c r="K4" t="s">
        <v>45</v>
      </c>
      <c r="L4" s="4" t="s">
        <v>27</v>
      </c>
      <c r="M4" t="s">
        <v>46</v>
      </c>
      <c r="N4" s="4" t="s">
        <v>29</v>
      </c>
      <c r="O4" t="s">
        <v>47</v>
      </c>
      <c r="P4" s="4" t="s">
        <v>29</v>
      </c>
      <c r="Q4" t="s">
        <v>48</v>
      </c>
      <c r="R4" s="4" t="s">
        <v>32</v>
      </c>
      <c r="S4" t="s">
        <v>49</v>
      </c>
      <c r="T4" s="4" t="s">
        <v>34</v>
      </c>
      <c r="U4" t="s">
        <v>50</v>
      </c>
      <c r="V4" s="4" t="s">
        <v>32</v>
      </c>
      <c r="W4" t="s">
        <v>51</v>
      </c>
      <c r="X4" s="4" t="s">
        <v>27</v>
      </c>
      <c r="Y4" t="s">
        <v>52</v>
      </c>
      <c r="Z4" s="4" t="s">
        <v>53</v>
      </c>
      <c r="AA4" t="s">
        <v>54</v>
      </c>
      <c r="AB4" s="4" t="s">
        <v>29</v>
      </c>
      <c r="AC4" t="s">
        <v>55</v>
      </c>
      <c r="AD4" s="4" t="s">
        <v>29</v>
      </c>
      <c r="AE4" t="s">
        <v>56</v>
      </c>
      <c r="AF4" s="4" t="s">
        <v>29</v>
      </c>
      <c r="AH4" s="4"/>
      <c r="AJ4" s="4"/>
      <c r="AL4" s="4"/>
      <c r="AM4" t="s">
        <v>57</v>
      </c>
      <c r="AN4" s="4" t="s">
        <v>27</v>
      </c>
      <c r="AQ4" t="s">
        <v>58</v>
      </c>
      <c r="AR4" s="4" t="s">
        <v>43</v>
      </c>
    </row>
    <row r="5" spans="5:44" x14ac:dyDescent="0.25">
      <c r="E5" s="13" t="s">
        <v>59</v>
      </c>
      <c r="F5" s="14" t="s">
        <v>332</v>
      </c>
      <c r="J5" s="10" t="s">
        <v>10</v>
      </c>
      <c r="K5" t="s">
        <v>60</v>
      </c>
      <c r="L5" s="4" t="s">
        <v>27</v>
      </c>
      <c r="M5" t="s">
        <v>61</v>
      </c>
      <c r="N5" s="4" t="s">
        <v>29</v>
      </c>
      <c r="O5" t="s">
        <v>62</v>
      </c>
      <c r="P5" s="4" t="s">
        <v>32</v>
      </c>
      <c r="Q5" t="s">
        <v>63</v>
      </c>
      <c r="R5" s="4" t="s">
        <v>32</v>
      </c>
      <c r="S5" t="s">
        <v>64</v>
      </c>
      <c r="T5" s="4" t="s">
        <v>34</v>
      </c>
      <c r="U5" t="s">
        <v>65</v>
      </c>
      <c r="V5" s="4" t="s">
        <v>32</v>
      </c>
      <c r="W5" t="s">
        <v>66</v>
      </c>
      <c r="X5" s="4" t="s">
        <v>32</v>
      </c>
      <c r="Y5" t="s">
        <v>67</v>
      </c>
      <c r="Z5" s="4" t="s">
        <v>53</v>
      </c>
      <c r="AB5" s="4"/>
      <c r="AD5" s="4"/>
      <c r="AF5" s="4"/>
      <c r="AH5" s="4"/>
      <c r="AJ5" s="4"/>
      <c r="AL5" s="4"/>
      <c r="AM5" t="s">
        <v>68</v>
      </c>
      <c r="AN5" s="4" t="s">
        <v>27</v>
      </c>
      <c r="AQ5" t="s">
        <v>69</v>
      </c>
      <c r="AR5" s="4" t="s">
        <v>43</v>
      </c>
    </row>
    <row r="6" spans="5:44" x14ac:dyDescent="0.25">
      <c r="E6" s="13" t="s">
        <v>70</v>
      </c>
      <c r="F6" s="14" t="s">
        <v>333</v>
      </c>
      <c r="J6" s="10" t="s">
        <v>11</v>
      </c>
      <c r="M6" t="s">
        <v>71</v>
      </c>
      <c r="N6" s="4" t="s">
        <v>29</v>
      </c>
      <c r="O6" t="s">
        <v>72</v>
      </c>
      <c r="P6" s="4" t="s">
        <v>29</v>
      </c>
      <c r="Q6" t="s">
        <v>73</v>
      </c>
      <c r="R6" s="4" t="s">
        <v>29</v>
      </c>
      <c r="S6" t="s">
        <v>74</v>
      </c>
      <c r="T6" s="4" t="s">
        <v>32</v>
      </c>
      <c r="U6" t="s">
        <v>75</v>
      </c>
      <c r="V6" s="4" t="s">
        <v>32</v>
      </c>
      <c r="W6" t="s">
        <v>76</v>
      </c>
      <c r="X6" s="4" t="s">
        <v>32</v>
      </c>
      <c r="Y6" t="s">
        <v>77</v>
      </c>
      <c r="Z6" s="4" t="s">
        <v>27</v>
      </c>
      <c r="AQ6" t="s">
        <v>78</v>
      </c>
      <c r="AR6" s="4" t="s">
        <v>43</v>
      </c>
    </row>
    <row r="7" spans="5:44" x14ac:dyDescent="0.25">
      <c r="E7" s="15" t="s">
        <v>79</v>
      </c>
      <c r="F7" s="16"/>
      <c r="J7" s="10" t="s">
        <v>12</v>
      </c>
      <c r="M7" t="s">
        <v>80</v>
      </c>
      <c r="N7" s="4" t="s">
        <v>29</v>
      </c>
      <c r="O7" t="s">
        <v>81</v>
      </c>
      <c r="P7" s="4" t="s">
        <v>29</v>
      </c>
      <c r="Q7" t="s">
        <v>82</v>
      </c>
      <c r="R7" s="4" t="s">
        <v>53</v>
      </c>
      <c r="S7" t="s">
        <v>83</v>
      </c>
      <c r="T7" s="4" t="s">
        <v>34</v>
      </c>
      <c r="U7" t="s">
        <v>84</v>
      </c>
      <c r="V7" s="4" t="s">
        <v>34</v>
      </c>
      <c r="Y7" t="s">
        <v>85</v>
      </c>
      <c r="Z7" s="4" t="s">
        <v>27</v>
      </c>
    </row>
    <row r="8" spans="5:44" x14ac:dyDescent="0.25">
      <c r="E8" s="15" t="s">
        <v>194</v>
      </c>
      <c r="F8" s="16"/>
      <c r="J8" s="10" t="s">
        <v>13</v>
      </c>
      <c r="M8" t="s">
        <v>86</v>
      </c>
      <c r="N8" s="4" t="s">
        <v>29</v>
      </c>
      <c r="O8" t="s">
        <v>87</v>
      </c>
      <c r="P8" s="4" t="s">
        <v>29</v>
      </c>
      <c r="Q8" t="s">
        <v>88</v>
      </c>
      <c r="R8" s="4" t="s">
        <v>34</v>
      </c>
      <c r="S8" t="s">
        <v>89</v>
      </c>
      <c r="T8" s="4" t="s">
        <v>34</v>
      </c>
      <c r="U8" t="s">
        <v>90</v>
      </c>
      <c r="V8" s="4" t="s">
        <v>34</v>
      </c>
      <c r="Y8" t="s">
        <v>91</v>
      </c>
      <c r="Z8" s="4" t="s">
        <v>29</v>
      </c>
    </row>
    <row r="9" spans="5:44" x14ac:dyDescent="0.25">
      <c r="E9" s="15" t="str">
        <f>IF(F4="FGTS","Valor de Financiamento Contratado (R$):","Valor do Repasse Contratado (R$):")</f>
        <v>Valor do Repasse Contratado (R$):</v>
      </c>
      <c r="F9" s="17"/>
      <c r="J9" s="10" t="s">
        <v>14</v>
      </c>
      <c r="S9" t="s">
        <v>92</v>
      </c>
      <c r="T9" s="4" t="s">
        <v>32</v>
      </c>
      <c r="U9" t="s">
        <v>93</v>
      </c>
      <c r="V9" s="4" t="s">
        <v>34</v>
      </c>
    </row>
    <row r="10" spans="5:44" x14ac:dyDescent="0.25">
      <c r="E10" s="15" t="s">
        <v>94</v>
      </c>
      <c r="F10" s="17"/>
      <c r="J10" s="10" t="s">
        <v>15</v>
      </c>
      <c r="S10" t="s">
        <v>95</v>
      </c>
      <c r="T10" s="4" t="s">
        <v>53</v>
      </c>
      <c r="U10" t="s">
        <v>96</v>
      </c>
      <c r="V10" s="4" t="s">
        <v>27</v>
      </c>
    </row>
    <row r="11" spans="5:44" x14ac:dyDescent="0.25">
      <c r="E11" s="15" t="s">
        <v>97</v>
      </c>
      <c r="F11" s="18"/>
      <c r="J11" s="10" t="s">
        <v>16</v>
      </c>
      <c r="S11" t="s">
        <v>98</v>
      </c>
      <c r="T11" s="4" t="s">
        <v>32</v>
      </c>
    </row>
    <row r="12" spans="5:44" x14ac:dyDescent="0.25">
      <c r="E12" s="15" t="s">
        <v>99</v>
      </c>
      <c r="F12" s="17"/>
      <c r="J12" s="10" t="s">
        <v>17</v>
      </c>
      <c r="S12" t="s">
        <v>35</v>
      </c>
      <c r="T12" s="4" t="s">
        <v>27</v>
      </c>
    </row>
    <row r="13" spans="5:44" x14ac:dyDescent="0.25">
      <c r="E13" s="19" t="s">
        <v>100</v>
      </c>
      <c r="F13" s="20"/>
      <c r="J13" s="10" t="s">
        <v>18</v>
      </c>
      <c r="S13" t="s">
        <v>101</v>
      </c>
      <c r="T13" s="4" t="s">
        <v>32</v>
      </c>
    </row>
    <row r="14" spans="5:44" x14ac:dyDescent="0.25">
      <c r="F14" s="21"/>
      <c r="J14" s="10" t="s">
        <v>19</v>
      </c>
    </row>
    <row r="15" spans="5:44" ht="15" thickBot="1" x14ac:dyDescent="0.3">
      <c r="E15" s="186" t="s">
        <v>102</v>
      </c>
      <c r="F15" s="186"/>
      <c r="J15" s="10" t="s">
        <v>20</v>
      </c>
    </row>
    <row r="16" spans="5:44" ht="26.4" x14ac:dyDescent="0.25">
      <c r="E16" s="22" t="s">
        <v>103</v>
      </c>
      <c r="F16" s="23" t="s">
        <v>331</v>
      </c>
      <c r="J16" s="10" t="s">
        <v>21</v>
      </c>
    </row>
    <row r="17" spans="5:10" ht="26.4" x14ac:dyDescent="0.25">
      <c r="E17" s="15" t="s">
        <v>104</v>
      </c>
      <c r="F17" s="24" t="s">
        <v>331</v>
      </c>
      <c r="J17" s="10" t="s">
        <v>22</v>
      </c>
    </row>
    <row r="18" spans="5:10" x14ac:dyDescent="0.25">
      <c r="E18" s="15" t="s">
        <v>105</v>
      </c>
      <c r="F18" s="25" t="s">
        <v>195</v>
      </c>
      <c r="J18" s="10" t="s">
        <v>23</v>
      </c>
    </row>
    <row r="19" spans="5:10" x14ac:dyDescent="0.25">
      <c r="E19" s="26" t="s">
        <v>106</v>
      </c>
      <c r="F19" s="27"/>
      <c r="J19" s="10" t="s">
        <v>24</v>
      </c>
    </row>
    <row r="20" spans="5:10" x14ac:dyDescent="0.25">
      <c r="F20" s="28"/>
      <c r="J20" s="10"/>
    </row>
    <row r="21" spans="5:10" ht="15" thickBot="1" x14ac:dyDescent="0.3">
      <c r="E21" s="186" t="s">
        <v>107</v>
      </c>
      <c r="F21" s="186"/>
      <c r="J21" s="10"/>
    </row>
    <row r="22" spans="5:10" ht="13.8" x14ac:dyDescent="0.25">
      <c r="E22" s="13" t="s">
        <v>108</v>
      </c>
      <c r="F22" s="149" t="s">
        <v>335</v>
      </c>
    </row>
    <row r="23" spans="5:10" ht="13.8" x14ac:dyDescent="0.25">
      <c r="E23" s="15" t="s">
        <v>109</v>
      </c>
      <c r="F23" s="150" t="s">
        <v>336</v>
      </c>
    </row>
    <row r="24" spans="5:10" ht="13.8" x14ac:dyDescent="0.25">
      <c r="E24" s="15" t="s">
        <v>110</v>
      </c>
      <c r="F24" s="150"/>
    </row>
    <row r="25" spans="5:10" ht="13.8" thickBot="1" x14ac:dyDescent="0.3">
      <c r="E25" s="19" t="s">
        <v>111</v>
      </c>
      <c r="F25" s="29">
        <v>45734</v>
      </c>
    </row>
    <row r="27" spans="5:10" ht="14.4" x14ac:dyDescent="0.25">
      <c r="E27" s="186" t="s">
        <v>112</v>
      </c>
      <c r="F27" s="186"/>
    </row>
    <row r="28" spans="5:10" x14ac:dyDescent="0.25">
      <c r="E28" s="11" t="s">
        <v>108</v>
      </c>
      <c r="F28" s="30"/>
    </row>
    <row r="29" spans="5:10" x14ac:dyDescent="0.25">
      <c r="E29" s="19" t="s">
        <v>113</v>
      </c>
      <c r="F29" s="31" t="s">
        <v>197</v>
      </c>
    </row>
    <row r="30" spans="5:10" ht="16.2" thickBot="1" x14ac:dyDescent="0.3">
      <c r="E30" s="5"/>
    </row>
    <row r="31" spans="5:10" ht="13.8" thickBot="1" x14ac:dyDescent="0.3">
      <c r="E31" s="66" t="s">
        <v>192</v>
      </c>
      <c r="F31" s="67" t="s">
        <v>193</v>
      </c>
    </row>
    <row r="32" spans="5:10" ht="12.75" customHeight="1" x14ac:dyDescent="0.25">
      <c r="E32" s="5"/>
    </row>
    <row r="33" spans="5:6" ht="12.75" customHeight="1" x14ac:dyDescent="0.25">
      <c r="E33" s="5" t="s">
        <v>114</v>
      </c>
    </row>
    <row r="34" spans="5:6" ht="15.6" x14ac:dyDescent="0.25">
      <c r="E34" s="5"/>
    </row>
    <row r="35" spans="5:6" ht="12.75" customHeight="1" x14ac:dyDescent="0.25">
      <c r="E35" s="186" t="s">
        <v>115</v>
      </c>
      <c r="F35" s="186"/>
    </row>
    <row r="36" spans="5:6" x14ac:dyDescent="0.25">
      <c r="E36" s="11" t="s">
        <v>116</v>
      </c>
      <c r="F36" s="32"/>
    </row>
    <row r="37" spans="5:6" x14ac:dyDescent="0.25">
      <c r="E37" s="13" t="s">
        <v>117</v>
      </c>
      <c r="F37" s="14"/>
    </row>
    <row r="38" spans="5:6" x14ac:dyDescent="0.25">
      <c r="E38" s="15" t="s">
        <v>118</v>
      </c>
      <c r="F38" s="16"/>
    </row>
    <row r="39" spans="5:6" x14ac:dyDescent="0.25">
      <c r="E39" s="15" t="s">
        <v>119</v>
      </c>
      <c r="F39" s="16"/>
    </row>
    <row r="40" spans="5:6" x14ac:dyDescent="0.25">
      <c r="E40" s="15" t="s">
        <v>120</v>
      </c>
      <c r="F40" s="25" t="s">
        <v>328</v>
      </c>
    </row>
    <row r="41" spans="5:6" x14ac:dyDescent="0.25">
      <c r="E41" s="26" t="s">
        <v>121</v>
      </c>
      <c r="F41" s="33">
        <v>45597</v>
      </c>
    </row>
    <row r="42" spans="5:6" ht="15.6" x14ac:dyDescent="0.25">
      <c r="E42" s="5"/>
    </row>
    <row r="43" spans="5:6" ht="12.75" customHeight="1" x14ac:dyDescent="0.25">
      <c r="E43" s="5"/>
    </row>
    <row r="44" spans="5:6" ht="12.75" customHeight="1" x14ac:dyDescent="0.25">
      <c r="E44" s="5" t="s">
        <v>122</v>
      </c>
    </row>
    <row r="45" spans="5:6" ht="15.6" x14ac:dyDescent="0.25">
      <c r="E45" s="5"/>
    </row>
    <row r="46" spans="5:6" ht="12.75" customHeight="1" x14ac:dyDescent="0.25">
      <c r="E46" s="186" t="s">
        <v>123</v>
      </c>
      <c r="F46" s="186"/>
    </row>
    <row r="47" spans="5:6" x14ac:dyDescent="0.25">
      <c r="E47" s="11" t="s">
        <v>124</v>
      </c>
      <c r="F47" s="32"/>
    </row>
    <row r="48" spans="5:6" x14ac:dyDescent="0.25">
      <c r="E48" s="26" t="s">
        <v>125</v>
      </c>
      <c r="F48" s="34">
        <f ca="1">TODAY()</f>
        <v>45812</v>
      </c>
    </row>
    <row r="49" spans="5:6" ht="15.6" x14ac:dyDescent="0.25">
      <c r="E49" s="5"/>
    </row>
    <row r="50" spans="5:6" ht="12.75" customHeight="1" x14ac:dyDescent="0.25">
      <c r="E50" s="186" t="s">
        <v>126</v>
      </c>
      <c r="F50" s="186"/>
    </row>
    <row r="51" spans="5:6" x14ac:dyDescent="0.25">
      <c r="E51" s="11" t="s">
        <v>108</v>
      </c>
      <c r="F51" s="35"/>
    </row>
    <row r="52" spans="5:6" x14ac:dyDescent="0.25">
      <c r="E52" s="15" t="s">
        <v>127</v>
      </c>
      <c r="F52" s="16"/>
    </row>
    <row r="53" spans="5:6" x14ac:dyDescent="0.25">
      <c r="E53" s="15" t="s">
        <v>128</v>
      </c>
      <c r="F53" s="16"/>
    </row>
    <row r="54" spans="5:6" x14ac:dyDescent="0.25">
      <c r="E54" s="19" t="s">
        <v>129</v>
      </c>
      <c r="F54" s="36"/>
    </row>
    <row r="55" spans="5:6" x14ac:dyDescent="0.25">
      <c r="F55" s="28"/>
    </row>
    <row r="57" spans="5:6" ht="15.6" x14ac:dyDescent="0.25">
      <c r="E57" s="5" t="s">
        <v>130</v>
      </c>
    </row>
    <row r="58" spans="5:6" ht="16.2" thickBot="1" x14ac:dyDescent="0.3">
      <c r="E58" s="5"/>
    </row>
    <row r="59" spans="5:6" ht="15" thickBot="1" x14ac:dyDescent="0.3">
      <c r="E59" s="186" t="s">
        <v>131</v>
      </c>
      <c r="F59" s="186"/>
    </row>
    <row r="60" spans="5:6" x14ac:dyDescent="0.25">
      <c r="E60" s="11" t="s">
        <v>108</v>
      </c>
      <c r="F60" s="35"/>
    </row>
    <row r="61" spans="5:6" ht="13.8" thickBot="1" x14ac:dyDescent="0.3">
      <c r="E61" s="26" t="s">
        <v>132</v>
      </c>
      <c r="F61" s="37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3" type="noConversion"/>
  <conditionalFormatting sqref="E57:F58">
    <cfRule type="expression" dxfId="23" priority="2" stopIfTrue="1">
      <formula>CAIXA.Modo=FALSE</formula>
    </cfRule>
  </conditionalFormatting>
  <conditionalFormatting sqref="E59:F61">
    <cfRule type="expression" dxfId="22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47D71-325C-45A5-AA46-BF07ACABAF4D}">
  <sheetPr>
    <pageSetUpPr fitToPage="1"/>
  </sheetPr>
  <dimension ref="A1:AE72"/>
  <sheetViews>
    <sheetView topLeftCell="I10" zoomScale="85" zoomScaleNormal="85" workbookViewId="0">
      <selection activeCell="N17" sqref="N17:R17"/>
    </sheetView>
  </sheetViews>
  <sheetFormatPr defaultColWidth="0" defaultRowHeight="0" customHeight="1" zeroHeight="1" x14ac:dyDescent="0.25"/>
  <cols>
    <col min="1" max="1" width="29.44140625" style="139" hidden="1" customWidth="1"/>
    <col min="2" max="3" width="8.88671875" style="139" hidden="1" customWidth="1"/>
    <col min="4" max="4" width="22.88671875" style="139" hidden="1" customWidth="1"/>
    <col min="5" max="8" width="8.88671875" style="139" hidden="1" customWidth="1"/>
    <col min="9" max="12" width="10.44140625" style="139" customWidth="1"/>
    <col min="13" max="13" width="13.33203125" style="139" customWidth="1"/>
    <col min="14" max="14" width="10.44140625" style="139" customWidth="1"/>
    <col min="15" max="15" width="12.44140625" style="139" customWidth="1"/>
    <col min="16" max="18" width="10.44140625" style="139" customWidth="1"/>
    <col min="19" max="19" width="3.5546875" style="111" customWidth="1"/>
    <col min="20" max="20" width="28.6640625" style="111" customWidth="1"/>
    <col min="21" max="21" width="13.33203125" style="111" customWidth="1"/>
    <col min="22" max="16384" width="8.88671875" style="111" hidden="1"/>
  </cols>
  <sheetData>
    <row r="1" spans="1:19" ht="15" hidden="1" customHeight="1" x14ac:dyDescent="0.25">
      <c r="E1" s="152" t="s">
        <v>133</v>
      </c>
      <c r="F1" s="152" t="s">
        <v>134</v>
      </c>
      <c r="G1" s="152" t="s">
        <v>135</v>
      </c>
      <c r="N1" s="153" t="e">
        <f ca="1">"Quadro de Composição do BDI "&amp;MID(CELL("nome.arquivo",N1),5+FIND("BDI (",CELL("nome.arquivo",N1)),1)</f>
        <v>#VALUE!</v>
      </c>
      <c r="Q1" s="154"/>
      <c r="R1" s="154"/>
    </row>
    <row r="2" spans="1:19" ht="14.4" hidden="1" x14ac:dyDescent="0.25">
      <c r="A2" s="139" t="s">
        <v>136</v>
      </c>
      <c r="B2" s="155" t="s">
        <v>137</v>
      </c>
      <c r="C2" s="139" t="str">
        <f>CONCATENATE(A2,"-",B2)</f>
        <v>Construção e Reforma de Edifícios-AC</v>
      </c>
      <c r="E2" s="156">
        <v>0.03</v>
      </c>
      <c r="F2" s="156">
        <v>0.04</v>
      </c>
      <c r="G2" s="156">
        <v>5.5E-2</v>
      </c>
      <c r="Q2" s="154"/>
      <c r="R2" s="154"/>
    </row>
    <row r="3" spans="1:19" ht="13.2" hidden="1" x14ac:dyDescent="0.25">
      <c r="A3" s="139" t="str">
        <f>A2</f>
        <v>Construção e Reforma de Edifícios</v>
      </c>
      <c r="B3" s="155" t="s">
        <v>138</v>
      </c>
      <c r="C3" s="139" t="str">
        <f>CONCATENATE(A3,"-",B3)</f>
        <v>Construção e Reforma de Edifícios-SG</v>
      </c>
      <c r="E3" s="156">
        <v>8.0000000000000002E-3</v>
      </c>
      <c r="F3" s="156">
        <v>8.0000000000000002E-3</v>
      </c>
      <c r="G3" s="156">
        <v>0.01</v>
      </c>
    </row>
    <row r="4" spans="1:19" ht="13.2" hidden="1" x14ac:dyDescent="0.25">
      <c r="A4" s="139" t="str">
        <f>A3</f>
        <v>Construção e Reforma de Edifícios</v>
      </c>
      <c r="B4" s="155" t="s">
        <v>139</v>
      </c>
      <c r="C4" s="139" t="str">
        <f>CONCATENATE(A4,"-",B4)</f>
        <v>Construção e Reforma de Edifícios-R</v>
      </c>
      <c r="E4" s="156">
        <v>9.7000000000000003E-3</v>
      </c>
      <c r="F4" s="156">
        <v>1.2699999999999999E-2</v>
      </c>
      <c r="G4" s="156">
        <v>1.2699999999999999E-2</v>
      </c>
      <c r="I4" s="216" t="s">
        <v>339</v>
      </c>
      <c r="J4" s="218"/>
      <c r="K4" s="216" t="s">
        <v>140</v>
      </c>
      <c r="L4" s="217"/>
      <c r="M4" s="217"/>
      <c r="N4" s="217"/>
      <c r="O4" s="217"/>
      <c r="P4" s="217"/>
      <c r="Q4" s="217"/>
      <c r="R4" s="218"/>
    </row>
    <row r="5" spans="1:19" ht="12.75" hidden="1" customHeight="1" x14ac:dyDescent="0.35">
      <c r="A5" s="139" t="str">
        <f>A4</f>
        <v>Construção e Reforma de Edifícios</v>
      </c>
      <c r="B5" s="155" t="s">
        <v>141</v>
      </c>
      <c r="C5" s="139" t="str">
        <f>CONCATENATE(A5,"-",B5)</f>
        <v>Construção e Reforma de Edifícios-DF</v>
      </c>
      <c r="E5" s="156">
        <v>5.8999999999999999E-3</v>
      </c>
      <c r="F5" s="156">
        <v>1.23E-2</v>
      </c>
      <c r="G5" s="156">
        <v>1.3899999999999999E-2</v>
      </c>
      <c r="I5" s="235" t="s">
        <v>340</v>
      </c>
      <c r="J5" s="236"/>
      <c r="K5" s="237" t="s">
        <v>341</v>
      </c>
      <c r="L5" s="238"/>
      <c r="M5" s="238"/>
      <c r="N5" s="238"/>
      <c r="O5" s="238"/>
      <c r="P5" s="238"/>
      <c r="Q5" s="238"/>
      <c r="R5" s="236"/>
      <c r="S5" s="158"/>
    </row>
    <row r="6" spans="1:19" ht="15.6" hidden="1" customHeight="1" x14ac:dyDescent="0.35">
      <c r="B6" s="155"/>
      <c r="E6" s="156"/>
      <c r="F6" s="156"/>
      <c r="G6" s="156"/>
      <c r="I6" s="239" t="s">
        <v>342</v>
      </c>
      <c r="J6" s="239"/>
      <c r="K6" s="239"/>
      <c r="L6" s="239"/>
      <c r="M6" s="239"/>
      <c r="N6" s="239"/>
      <c r="O6" s="239"/>
      <c r="P6" s="239"/>
      <c r="Q6" s="239"/>
      <c r="R6" s="239"/>
      <c r="S6" s="158"/>
    </row>
    <row r="7" spans="1:19" ht="15.6" hidden="1" customHeight="1" x14ac:dyDescent="0.25">
      <c r="A7" s="139" t="str">
        <f>A5</f>
        <v>Construção e Reforma de Edifícios</v>
      </c>
      <c r="B7" s="155" t="s">
        <v>142</v>
      </c>
      <c r="C7" s="139" t="str">
        <f t="shared" ref="C7:C27" si="0">CONCATENATE(A7,"-",B7)</f>
        <v>Construção e Reforma de Edifícios-L</v>
      </c>
      <c r="E7" s="156">
        <v>6.1600000000000002E-2</v>
      </c>
      <c r="F7" s="156">
        <v>7.400000000000001E-2</v>
      </c>
      <c r="G7" s="156">
        <v>8.9600000000000013E-2</v>
      </c>
      <c r="I7" s="159"/>
      <c r="J7" s="159"/>
      <c r="K7" s="159"/>
      <c r="L7" s="159"/>
      <c r="M7" s="159"/>
      <c r="N7" s="159"/>
      <c r="O7" s="159"/>
      <c r="P7" s="159"/>
      <c r="Q7" s="159"/>
      <c r="R7" s="159"/>
    </row>
    <row r="8" spans="1:19" ht="15.6" hidden="1" customHeight="1" x14ac:dyDescent="0.25">
      <c r="A8" s="139" t="str">
        <f>A7</f>
        <v>Construção e Reforma de Edifícios</v>
      </c>
      <c r="B8" s="160" t="s">
        <v>143</v>
      </c>
      <c r="C8" s="139" t="str">
        <f t="shared" si="0"/>
        <v>Construção e Reforma de Edifícios-BDI PAD</v>
      </c>
      <c r="E8" s="156">
        <v>0.2034</v>
      </c>
      <c r="F8" s="156">
        <v>0.22120000000000001</v>
      </c>
      <c r="G8" s="156">
        <v>0.25</v>
      </c>
      <c r="I8" s="216" t="s">
        <v>343</v>
      </c>
      <c r="J8" s="217"/>
      <c r="K8" s="217"/>
      <c r="L8" s="217"/>
      <c r="M8" s="217"/>
      <c r="N8" s="217"/>
      <c r="O8" s="217"/>
      <c r="P8" s="217"/>
      <c r="Q8" s="217"/>
      <c r="R8" s="218"/>
    </row>
    <row r="9" spans="1:19" ht="15.6" hidden="1" customHeight="1" x14ac:dyDescent="0.25">
      <c r="A9" s="139" t="s">
        <v>144</v>
      </c>
      <c r="B9" s="155" t="s">
        <v>137</v>
      </c>
      <c r="C9" s="139" t="str">
        <f t="shared" si="0"/>
        <v>Construção de Praças Urbanas, Rodovias, Ferrovias e recapeamento e pavimentação de vias urbanas-AC</v>
      </c>
      <c r="E9" s="156">
        <v>3.7999999999999999E-2</v>
      </c>
      <c r="F9" s="156">
        <v>4.0099999999999997E-2</v>
      </c>
      <c r="G9" s="156">
        <v>4.6699999999999998E-2</v>
      </c>
      <c r="I9" s="230" t="s">
        <v>344</v>
      </c>
      <c r="J9" s="231"/>
      <c r="K9" s="231"/>
      <c r="L9" s="231"/>
      <c r="M9" s="231"/>
      <c r="N9" s="231"/>
      <c r="O9" s="231"/>
      <c r="P9" s="231"/>
      <c r="Q9" s="231"/>
      <c r="R9" s="232"/>
    </row>
    <row r="10" spans="1:19" ht="6" customHeight="1" x14ac:dyDescent="0.25">
      <c r="A10" s="139" t="s">
        <v>144</v>
      </c>
      <c r="B10" s="155" t="s">
        <v>138</v>
      </c>
      <c r="C10" s="139" t="str">
        <f t="shared" si="0"/>
        <v>Construção de Praças Urbanas, Rodovias, Ferrovias e recapeamento e pavimentação de vias urbanas-SG</v>
      </c>
      <c r="E10" s="156">
        <v>3.2000000000000002E-3</v>
      </c>
      <c r="F10" s="156">
        <v>4.0000000000000001E-3</v>
      </c>
      <c r="G10" s="156">
        <v>7.4000000000000003E-3</v>
      </c>
      <c r="I10" s="159"/>
      <c r="J10" s="159"/>
      <c r="K10" s="159"/>
      <c r="L10" s="159"/>
      <c r="M10" s="159"/>
      <c r="N10" s="159"/>
      <c r="O10" s="159"/>
      <c r="P10" s="159"/>
      <c r="Q10" s="159"/>
      <c r="R10" s="159"/>
    </row>
    <row r="11" spans="1:19" ht="18.600000000000001" customHeight="1" x14ac:dyDescent="0.25">
      <c r="B11" s="155"/>
      <c r="E11" s="156"/>
      <c r="F11" s="156"/>
      <c r="G11" s="156"/>
      <c r="I11" s="233"/>
      <c r="J11" s="233"/>
      <c r="K11" s="233"/>
      <c r="L11" s="233"/>
      <c r="M11" s="233"/>
      <c r="N11" s="233"/>
      <c r="O11" s="233"/>
      <c r="P11" s="233"/>
      <c r="Q11" s="233"/>
      <c r="R11" s="233"/>
    </row>
    <row r="12" spans="1:19" ht="18.600000000000001" customHeight="1" x14ac:dyDescent="0.25">
      <c r="B12" s="155"/>
      <c r="E12" s="156"/>
      <c r="F12" s="156"/>
      <c r="G12" s="156"/>
      <c r="I12" s="215"/>
      <c r="J12" s="215"/>
      <c r="K12" s="215"/>
      <c r="L12" s="215"/>
      <c r="M12" s="215"/>
      <c r="N12" s="215"/>
      <c r="O12" s="215"/>
      <c r="P12" s="215"/>
      <c r="Q12" s="215"/>
      <c r="R12" s="215"/>
    </row>
    <row r="13" spans="1:19" ht="33" customHeight="1" x14ac:dyDescent="0.25">
      <c r="B13" s="155"/>
      <c r="E13" s="156"/>
      <c r="F13" s="156"/>
      <c r="G13" s="156"/>
      <c r="I13" s="234"/>
      <c r="J13" s="234"/>
      <c r="K13" s="234"/>
      <c r="L13" s="234"/>
      <c r="M13" s="234"/>
      <c r="N13" s="234"/>
      <c r="O13" s="234"/>
      <c r="P13" s="234"/>
      <c r="Q13" s="234"/>
      <c r="R13" s="161"/>
    </row>
    <row r="14" spans="1:19" ht="18.600000000000001" customHeight="1" x14ac:dyDescent="0.25">
      <c r="B14" s="155"/>
      <c r="E14" s="156"/>
      <c r="F14" s="156"/>
      <c r="G14" s="156"/>
      <c r="I14" s="162"/>
      <c r="J14" s="162"/>
      <c r="K14" s="162"/>
      <c r="L14" s="162"/>
      <c r="M14" s="162"/>
      <c r="N14" s="162"/>
      <c r="O14" s="162"/>
      <c r="P14" s="162"/>
      <c r="Q14" s="162"/>
      <c r="R14" s="162"/>
    </row>
    <row r="15" spans="1:19" ht="18.600000000000001" customHeight="1" x14ac:dyDescent="0.25">
      <c r="B15" s="155"/>
      <c r="E15" s="156"/>
      <c r="F15" s="156"/>
      <c r="G15" s="156"/>
      <c r="I15" s="228" t="s">
        <v>212</v>
      </c>
      <c r="J15" s="228"/>
      <c r="K15" s="228"/>
      <c r="L15" s="228"/>
      <c r="M15" s="228"/>
      <c r="N15" s="228" t="s">
        <v>213</v>
      </c>
      <c r="O15" s="228"/>
      <c r="P15" s="228"/>
      <c r="Q15" s="228"/>
      <c r="R15" s="228"/>
    </row>
    <row r="16" spans="1:19" ht="43.95" customHeight="1" x14ac:dyDescent="0.25">
      <c r="B16" s="155"/>
      <c r="E16" s="156"/>
      <c r="F16" s="156"/>
      <c r="G16" s="156"/>
      <c r="I16" s="225" t="str">
        <f>[6]DADOS!B4</f>
        <v>PREFEITURA MUNICIPAL DE SÃO FELIPE/BA</v>
      </c>
      <c r="J16" s="225"/>
      <c r="K16" s="225"/>
      <c r="L16" s="225"/>
      <c r="M16" s="225"/>
      <c r="N16" s="226" t="str">
        <f>DADOS!F16</f>
        <v>PAVIMENTAÇÃO E TRATAMENTO PRIMARIO DE ESTRADAS RURAIS NO MUNICÍPIO DE SÃO FELIPE/BA.</v>
      </c>
      <c r="O16" s="227"/>
      <c r="P16" s="227"/>
      <c r="Q16" s="227"/>
      <c r="R16" s="227"/>
    </row>
    <row r="17" spans="1:29" ht="18.600000000000001" customHeight="1" x14ac:dyDescent="0.25">
      <c r="B17" s="155"/>
      <c r="E17" s="156"/>
      <c r="F17" s="156"/>
      <c r="G17" s="156"/>
      <c r="I17" s="228" t="s">
        <v>214</v>
      </c>
      <c r="J17" s="228"/>
      <c r="K17" s="228"/>
      <c r="L17" s="228"/>
      <c r="M17" s="228"/>
      <c r="N17" s="228" t="s">
        <v>215</v>
      </c>
      <c r="O17" s="228"/>
      <c r="P17" s="228"/>
      <c r="Q17" s="228"/>
      <c r="R17" s="228"/>
    </row>
    <row r="18" spans="1:29" ht="18.600000000000001" customHeight="1" x14ac:dyDescent="0.25">
      <c r="B18" s="155"/>
      <c r="E18" s="156"/>
      <c r="F18" s="156"/>
      <c r="G18" s="156"/>
      <c r="I18" s="225" t="str">
        <f>[6]DADOS!B5</f>
        <v>SÃO FELIPE/BA</v>
      </c>
      <c r="J18" s="225"/>
      <c r="K18" s="225"/>
      <c r="L18" s="225"/>
      <c r="M18" s="225"/>
      <c r="N18" s="229">
        <f>[6]DADOS!B18</f>
        <v>45812</v>
      </c>
      <c r="O18" s="229"/>
      <c r="P18" s="229"/>
      <c r="Q18" s="229"/>
      <c r="R18" s="229"/>
    </row>
    <row r="19" spans="1:29" ht="10.95" customHeight="1" x14ac:dyDescent="0.25">
      <c r="B19" s="155"/>
      <c r="E19" s="156"/>
      <c r="F19" s="156"/>
      <c r="G19" s="156"/>
      <c r="I19" s="163"/>
      <c r="J19" s="163"/>
      <c r="K19" s="163"/>
      <c r="L19" s="163"/>
      <c r="M19" s="163"/>
      <c r="N19" s="164"/>
      <c r="O19" s="164"/>
      <c r="P19" s="164"/>
      <c r="Q19" s="164"/>
      <c r="R19" s="164"/>
    </row>
    <row r="20" spans="1:29" ht="18.600000000000001" customHeight="1" x14ac:dyDescent="0.25">
      <c r="B20" s="155"/>
      <c r="E20" s="156"/>
      <c r="F20" s="156"/>
      <c r="G20" s="156"/>
      <c r="I20" s="215" t="s">
        <v>342</v>
      </c>
      <c r="J20" s="215"/>
      <c r="K20" s="215"/>
      <c r="L20" s="215"/>
      <c r="M20" s="215"/>
      <c r="N20" s="215"/>
      <c r="O20" s="215"/>
      <c r="P20" s="215"/>
      <c r="Q20" s="215"/>
      <c r="R20" s="215"/>
    </row>
    <row r="21" spans="1:29" ht="7.95" customHeight="1" x14ac:dyDescent="0.25">
      <c r="B21" s="155"/>
      <c r="E21" s="156"/>
      <c r="F21" s="156"/>
      <c r="G21" s="156"/>
      <c r="I21" s="159"/>
      <c r="J21" s="159"/>
      <c r="K21" s="159"/>
      <c r="L21" s="159"/>
      <c r="M21" s="159"/>
      <c r="N21" s="159"/>
      <c r="O21" s="159"/>
      <c r="P21" s="159"/>
      <c r="Q21" s="159"/>
      <c r="R21" s="159"/>
    </row>
    <row r="22" spans="1:29" ht="13.2" x14ac:dyDescent="0.25">
      <c r="A22" s="139" t="s">
        <v>144</v>
      </c>
      <c r="B22" s="155" t="s">
        <v>139</v>
      </c>
      <c r="C22" s="139" t="str">
        <f t="shared" si="0"/>
        <v>Construção de Praças Urbanas, Rodovias, Ferrovias e recapeamento e pavimentação de vias urbanas-R</v>
      </c>
      <c r="E22" s="156">
        <v>5.0000000000000001E-3</v>
      </c>
      <c r="F22" s="156">
        <v>5.6000000000000008E-3</v>
      </c>
      <c r="G22" s="156">
        <v>9.7000000000000003E-3</v>
      </c>
      <c r="I22" s="216" t="s">
        <v>345</v>
      </c>
      <c r="J22" s="217"/>
      <c r="K22" s="217"/>
      <c r="L22" s="217"/>
      <c r="M22" s="217"/>
      <c r="N22" s="217"/>
      <c r="O22" s="217"/>
      <c r="P22" s="217"/>
      <c r="Q22" s="216" t="s">
        <v>346</v>
      </c>
      <c r="R22" s="218"/>
    </row>
    <row r="23" spans="1:29" ht="13.2" x14ac:dyDescent="0.25">
      <c r="A23" s="139" t="s">
        <v>144</v>
      </c>
      <c r="B23" s="155" t="s">
        <v>141</v>
      </c>
      <c r="C23" s="139" t="str">
        <f t="shared" si="0"/>
        <v>Construção de Praças Urbanas, Rodovias, Ferrovias e recapeamento e pavimentação de vias urbanas-DF</v>
      </c>
      <c r="E23" s="156">
        <v>1.0200000000000001E-2</v>
      </c>
      <c r="F23" s="156">
        <v>1.11E-2</v>
      </c>
      <c r="G23" s="156">
        <v>1.21E-2</v>
      </c>
      <c r="I23" s="219" t="s">
        <v>144</v>
      </c>
      <c r="J23" s="220"/>
      <c r="K23" s="220"/>
      <c r="L23" s="220"/>
      <c r="M23" s="220"/>
      <c r="N23" s="220"/>
      <c r="O23" s="220"/>
      <c r="P23" s="221"/>
      <c r="Q23" s="222" t="s">
        <v>347</v>
      </c>
      <c r="R23" s="223"/>
    </row>
    <row r="24" spans="1:29" ht="13.2" x14ac:dyDescent="0.25">
      <c r="A24" s="139" t="s">
        <v>144</v>
      </c>
      <c r="B24" s="155" t="s">
        <v>142</v>
      </c>
      <c r="C24" s="139" t="str">
        <f t="shared" si="0"/>
        <v>Construção de Praças Urbanas, Rodovias, Ferrovias e recapeamento e pavimentação de vias urbanas-L</v>
      </c>
      <c r="E24" s="156">
        <v>6.6400000000000001E-2</v>
      </c>
      <c r="F24" s="156">
        <v>7.2999999999999995E-2</v>
      </c>
      <c r="G24" s="156">
        <v>8.6899999999999991E-2</v>
      </c>
    </row>
    <row r="25" spans="1:29" ht="15" customHeight="1" x14ac:dyDescent="0.25">
      <c r="A25" s="139" t="s">
        <v>144</v>
      </c>
      <c r="B25" s="160" t="s">
        <v>143</v>
      </c>
      <c r="C25" s="139" t="str">
        <f t="shared" si="0"/>
        <v>Construção de Praças Urbanas, Rodovias, Ferrovias e recapeamento e pavimentação de vias urbanas-BDI PAD</v>
      </c>
      <c r="E25" s="156">
        <v>0.19600000000000001</v>
      </c>
      <c r="F25" s="156">
        <v>0.2097</v>
      </c>
      <c r="G25" s="156">
        <v>0.24230000000000002</v>
      </c>
      <c r="I25" s="224" t="s">
        <v>145</v>
      </c>
      <c r="J25" s="224"/>
      <c r="K25" s="224"/>
      <c r="L25" s="224"/>
      <c r="M25" s="224"/>
      <c r="N25" s="224"/>
      <c r="O25" s="224"/>
      <c r="P25" s="224"/>
      <c r="Q25" s="211">
        <v>0.5</v>
      </c>
      <c r="R25" s="211"/>
    </row>
    <row r="26" spans="1:29" ht="15" customHeight="1" x14ac:dyDescent="0.25">
      <c r="A26" s="139" t="s">
        <v>147</v>
      </c>
      <c r="B26" s="155" t="s">
        <v>137</v>
      </c>
      <c r="C26" s="139" t="str">
        <f t="shared" si="0"/>
        <v>Construção de Redes de Abastecimento de Água, Coleta de Esgoto-AC</v>
      </c>
      <c r="E26" s="156">
        <v>3.4300000000000004E-2</v>
      </c>
      <c r="F26" s="156">
        <v>4.9299999999999997E-2</v>
      </c>
      <c r="G26" s="156">
        <v>6.7099999999999993E-2</v>
      </c>
      <c r="I26" s="210" t="s">
        <v>146</v>
      </c>
      <c r="J26" s="210"/>
      <c r="K26" s="210"/>
      <c r="L26" s="210"/>
      <c r="M26" s="210"/>
      <c r="N26" s="210"/>
      <c r="O26" s="210"/>
      <c r="P26" s="210"/>
      <c r="Q26" s="211">
        <v>0.05</v>
      </c>
      <c r="R26" s="211"/>
    </row>
    <row r="27" spans="1:29" ht="13.2" x14ac:dyDescent="0.25">
      <c r="A27" s="139" t="str">
        <f>A26</f>
        <v>Construção de Redes de Abastecimento de Água, Coleta de Esgoto</v>
      </c>
      <c r="B27" s="155" t="s">
        <v>138</v>
      </c>
      <c r="C27" s="139" t="str">
        <f t="shared" si="0"/>
        <v>Construção de Redes de Abastecimento de Água, Coleta de Esgoto-SG</v>
      </c>
      <c r="E27" s="156">
        <v>2.8000000000000004E-3</v>
      </c>
      <c r="F27" s="156">
        <v>4.8999999999999998E-3</v>
      </c>
      <c r="G27" s="156">
        <v>7.4999999999999997E-3</v>
      </c>
    </row>
    <row r="28" spans="1:29" ht="12.75" customHeight="1" x14ac:dyDescent="0.25">
      <c r="B28" s="155"/>
      <c r="E28" s="156"/>
      <c r="F28" s="156"/>
      <c r="G28" s="156"/>
      <c r="I28" s="212" t="s">
        <v>148</v>
      </c>
      <c r="J28" s="212"/>
      <c r="K28" s="212"/>
      <c r="L28" s="212"/>
      <c r="M28" s="212" t="s">
        <v>149</v>
      </c>
      <c r="N28" s="213" t="s">
        <v>150</v>
      </c>
      <c r="O28" s="213" t="s">
        <v>151</v>
      </c>
      <c r="P28" s="212" t="s">
        <v>152</v>
      </c>
      <c r="Q28" s="212" t="s">
        <v>153</v>
      </c>
      <c r="R28" s="214" t="s">
        <v>154</v>
      </c>
      <c r="T28" s="208" t="str">
        <f>IF(V39,"Para BDI fora do intervalo estatístico, deve ser apresentado Relatório Técnico Circunstanciado justificando a adoção do percentual de cada parcela do BDI.","")</f>
        <v/>
      </c>
      <c r="U28" s="208"/>
      <c r="V28" s="166"/>
      <c r="W28" s="166"/>
      <c r="X28" s="166"/>
      <c r="Y28" s="166"/>
      <c r="Z28" s="166"/>
      <c r="AA28" s="166"/>
      <c r="AB28" s="166"/>
      <c r="AC28" s="166"/>
    </row>
    <row r="29" spans="1:29" ht="15.75" customHeight="1" x14ac:dyDescent="0.25">
      <c r="A29" s="139" t="str">
        <f>A27</f>
        <v>Construção de Redes de Abastecimento de Água, Coleta de Esgoto</v>
      </c>
      <c r="B29" s="155" t="s">
        <v>139</v>
      </c>
      <c r="C29" s="139" t="str">
        <f t="shared" ref="C29:C41" si="1">CONCATENATE(A29,"-",B29)</f>
        <v>Construção de Redes de Abastecimento de Água, Coleta de Esgoto-R</v>
      </c>
      <c r="E29" s="156">
        <v>0.01</v>
      </c>
      <c r="F29" s="156">
        <v>1.3899999999999999E-2</v>
      </c>
      <c r="G29" s="156">
        <v>1.7399999999999999E-2</v>
      </c>
      <c r="I29" s="212"/>
      <c r="J29" s="212"/>
      <c r="K29" s="212"/>
      <c r="L29" s="212"/>
      <c r="M29" s="212"/>
      <c r="N29" s="213"/>
      <c r="O29" s="213"/>
      <c r="P29" s="212"/>
      <c r="Q29" s="212"/>
      <c r="R29" s="214"/>
      <c r="T29" s="208"/>
      <c r="U29" s="208"/>
      <c r="V29" s="166"/>
      <c r="W29" s="166"/>
      <c r="X29" s="166"/>
      <c r="Y29" s="166"/>
      <c r="Z29" s="166"/>
      <c r="AA29" s="166"/>
      <c r="AB29" s="166"/>
      <c r="AC29" s="166"/>
    </row>
    <row r="30" spans="1:29" ht="26.25" customHeight="1" x14ac:dyDescent="0.25">
      <c r="A30" s="139" t="str">
        <f>A29</f>
        <v>Construção de Redes de Abastecimento de Água, Coleta de Esgoto</v>
      </c>
      <c r="B30" s="155" t="s">
        <v>141</v>
      </c>
      <c r="C30" s="139" t="str">
        <f t="shared" si="1"/>
        <v>Construção de Redes de Abastecimento de Água, Coleta de Esgoto-DF</v>
      </c>
      <c r="E30" s="156">
        <v>9.3999999999999986E-3</v>
      </c>
      <c r="F30" s="156">
        <v>9.8999999999999991E-3</v>
      </c>
      <c r="G30" s="156">
        <v>1.1699999999999999E-2</v>
      </c>
      <c r="I30" s="203" t="str">
        <f>IF($I$23=$A$71,"Encargos Sociais incidentes sobre a mão de obra","Administração Central")</f>
        <v>Administração Central</v>
      </c>
      <c r="J30" s="203"/>
      <c r="K30" s="203"/>
      <c r="L30" s="203"/>
      <c r="M30" s="167" t="str">
        <f>IF($I$23=$A$71,"K1","AC")</f>
        <v>AC</v>
      </c>
      <c r="N30" s="168">
        <v>3.7999999999999999E-2</v>
      </c>
      <c r="O30" s="169" t="s">
        <v>156</v>
      </c>
      <c r="P30" s="170">
        <f>VLOOKUP(CONCATENATE(I$23,"-",M30),$C$2:$G$61,3,FALSE)</f>
        <v>3.7999999999999999E-2</v>
      </c>
      <c r="Q30" s="170">
        <f>VLOOKUP(CONCATENATE(I$23,"-",M30),$C$2:$G$61,4,FALSE)</f>
        <v>4.0099999999999997E-2</v>
      </c>
      <c r="R30" s="170">
        <f>VLOOKUP(CONCATENATE(I$23,"-",M30),$C$2:$G$61,5,FALSE)</f>
        <v>4.6699999999999998E-2</v>
      </c>
      <c r="T30" s="208"/>
      <c r="U30" s="208"/>
      <c r="V30" s="166"/>
      <c r="W30" s="166"/>
      <c r="X30" s="166"/>
      <c r="Y30" s="166"/>
      <c r="Z30" s="166"/>
      <c r="AA30" s="166"/>
      <c r="AB30" s="166"/>
      <c r="AC30" s="166"/>
    </row>
    <row r="31" spans="1:29" ht="26.25" customHeight="1" x14ac:dyDescent="0.25">
      <c r="A31" s="139" t="str">
        <f>A30</f>
        <v>Construção de Redes de Abastecimento de Água, Coleta de Esgoto</v>
      </c>
      <c r="B31" s="155" t="s">
        <v>142</v>
      </c>
      <c r="C31" s="139" t="str">
        <f t="shared" si="1"/>
        <v>Construção de Redes de Abastecimento de Água, Coleta de Esgoto-L</v>
      </c>
      <c r="E31" s="156">
        <v>6.7400000000000002E-2</v>
      </c>
      <c r="F31" s="156">
        <v>8.0399999999999985E-2</v>
      </c>
      <c r="G31" s="156">
        <v>9.4E-2</v>
      </c>
      <c r="I31" s="203" t="str">
        <f>IF($I$23=$A$71,"Administração Central da empresa ou consultoria - overhead","Seguro e Garantia")</f>
        <v>Seguro e Garantia</v>
      </c>
      <c r="J31" s="203"/>
      <c r="K31" s="203"/>
      <c r="L31" s="203"/>
      <c r="M31" s="167" t="str">
        <f>IF($I$23=$A$71,"K2","SG")</f>
        <v>SG</v>
      </c>
      <c r="N31" s="168">
        <v>3.2000000000000002E-3</v>
      </c>
      <c r="O31" s="169" t="s">
        <v>156</v>
      </c>
      <c r="P31" s="170">
        <f>VLOOKUP(CONCATENATE(I$23,"-",M31),$C$2:$G$61,3,FALSE)</f>
        <v>3.2000000000000002E-3</v>
      </c>
      <c r="Q31" s="170">
        <f>VLOOKUP(CONCATENATE(I$23,"-",M31),$C$2:$G$61,4,FALSE)</f>
        <v>4.0000000000000001E-3</v>
      </c>
      <c r="R31" s="170">
        <f>VLOOKUP(CONCATENATE(I$23,"-",M31),$C$2:$G$61,5,FALSE)</f>
        <v>7.4000000000000003E-3</v>
      </c>
      <c r="T31" s="208"/>
      <c r="U31" s="208"/>
      <c r="V31" s="166"/>
      <c r="W31" s="166"/>
      <c r="X31" s="166"/>
      <c r="Y31" s="166"/>
      <c r="Z31" s="166"/>
      <c r="AA31" s="166"/>
      <c r="AB31" s="166"/>
      <c r="AC31" s="166"/>
    </row>
    <row r="32" spans="1:29" ht="26.25" customHeight="1" x14ac:dyDescent="0.25">
      <c r="A32" s="139" t="str">
        <f>A31</f>
        <v>Construção de Redes de Abastecimento de Água, Coleta de Esgoto</v>
      </c>
      <c r="B32" s="160" t="s">
        <v>143</v>
      </c>
      <c r="C32" s="139" t="str">
        <f t="shared" si="1"/>
        <v>Construção de Redes de Abastecimento de Água, Coleta de Esgoto-BDI PAD</v>
      </c>
      <c r="E32" s="156">
        <v>0.20760000000000001</v>
      </c>
      <c r="F32" s="156">
        <v>0.24179999999999999</v>
      </c>
      <c r="G32" s="156">
        <v>0.26440000000000002</v>
      </c>
      <c r="I32" s="203" t="str">
        <f>IF($I$23=$A$71,"","Risco")</f>
        <v>Risco</v>
      </c>
      <c r="J32" s="203"/>
      <c r="K32" s="203"/>
      <c r="L32" s="203"/>
      <c r="M32" s="167" t="str">
        <f>IF($I$23=$A$71,"","R")</f>
        <v>R</v>
      </c>
      <c r="N32" s="168">
        <v>5.0000000000000001E-3</v>
      </c>
      <c r="O32" s="169" t="s">
        <v>156</v>
      </c>
      <c r="P32" s="170">
        <f>VLOOKUP(CONCATENATE(I$23,"-",M32),$C$2:$G$61,3,FALSE)</f>
        <v>5.0000000000000001E-3</v>
      </c>
      <c r="Q32" s="170">
        <f>VLOOKUP(CONCATENATE(I$23,"-",M32),$C$2:$G$61,4,FALSE)</f>
        <v>5.6000000000000008E-3</v>
      </c>
      <c r="R32" s="170">
        <f>VLOOKUP(CONCATENATE(I$23,"-",M32),$C$2:$G$61,5,FALSE)</f>
        <v>9.7000000000000003E-3</v>
      </c>
      <c r="T32" s="208"/>
      <c r="U32" s="208"/>
      <c r="V32" s="166"/>
      <c r="W32" s="166"/>
      <c r="X32" s="166"/>
      <c r="Y32" s="166"/>
      <c r="Z32" s="166"/>
      <c r="AA32" s="166"/>
      <c r="AB32" s="166"/>
      <c r="AC32" s="166"/>
    </row>
    <row r="33" spans="1:31" ht="26.25" customHeight="1" x14ac:dyDescent="0.25">
      <c r="A33" s="139" t="s">
        <v>155</v>
      </c>
      <c r="B33" s="155" t="s">
        <v>137</v>
      </c>
      <c r="C33" s="139" t="str">
        <f t="shared" si="1"/>
        <v>Construção e Manutenção de Estações e Redes de Distribuição de Energia Elétrica-AC</v>
      </c>
      <c r="E33" s="156">
        <v>5.2900000000000003E-2</v>
      </c>
      <c r="F33" s="156">
        <v>5.9200000000000003E-2</v>
      </c>
      <c r="G33" s="156">
        <v>7.9299999999999995E-2</v>
      </c>
      <c r="I33" s="203" t="str">
        <f>IF($I$23=$A$71,"","Despesas Financeiras")</f>
        <v>Despesas Financeiras</v>
      </c>
      <c r="J33" s="203"/>
      <c r="K33" s="203"/>
      <c r="L33" s="203"/>
      <c r="M33" s="167" t="str">
        <f>IF($I$23=$A$71,"","DF")</f>
        <v>DF</v>
      </c>
      <c r="N33" s="168">
        <v>1.0200000000000001E-2</v>
      </c>
      <c r="O33" s="169" t="s">
        <v>156</v>
      </c>
      <c r="P33" s="170">
        <f>VLOOKUP(CONCATENATE(I$23,"-",M33),$C$2:$G$61,3,FALSE)</f>
        <v>1.0200000000000001E-2</v>
      </c>
      <c r="Q33" s="170">
        <f>VLOOKUP(CONCATENATE(I$23,"-",M33),$C$2:$G$61,4,FALSE)</f>
        <v>1.11E-2</v>
      </c>
      <c r="R33" s="170">
        <f>VLOOKUP(CONCATENATE(I$23,"-",M33),$C$2:$G$61,5,FALSE)</f>
        <v>1.21E-2</v>
      </c>
      <c r="T33" s="208"/>
      <c r="U33" s="208"/>
    </row>
    <row r="34" spans="1:31" ht="26.25" customHeight="1" x14ac:dyDescent="0.25">
      <c r="A34" s="139" t="str">
        <f>A33</f>
        <v>Construção e Manutenção de Estações e Redes de Distribuição de Energia Elétrica</v>
      </c>
      <c r="B34" s="155" t="s">
        <v>138</v>
      </c>
      <c r="C34" s="139" t="str">
        <f t="shared" si="1"/>
        <v>Construção e Manutenção de Estações e Redes de Distribuição de Energia Elétrica-SG</v>
      </c>
      <c r="E34" s="156">
        <v>2.5000000000000001E-3</v>
      </c>
      <c r="F34" s="156">
        <v>5.1000000000000004E-3</v>
      </c>
      <c r="G34" s="156">
        <v>5.6000000000000008E-3</v>
      </c>
      <c r="I34" s="203" t="str">
        <f>IF($I$23=$A$71,"Margem bruta da empresa de consultoria","Lucro")</f>
        <v>Lucro</v>
      </c>
      <c r="J34" s="203"/>
      <c r="K34" s="203"/>
      <c r="L34" s="203"/>
      <c r="M34" s="167" t="str">
        <f>IF($I$23=$A$71,"K3","L")</f>
        <v>L</v>
      </c>
      <c r="N34" s="168">
        <v>6.6400000000000001E-2</v>
      </c>
      <c r="O34" s="169" t="s">
        <v>156</v>
      </c>
      <c r="P34" s="170">
        <f>VLOOKUP(CONCATENATE(I$23,"-",M34),$C$2:$G$61,3,FALSE)</f>
        <v>6.6400000000000001E-2</v>
      </c>
      <c r="Q34" s="170">
        <f>VLOOKUP(CONCATENATE(I$23,"-",M34),$C$2:$G$61,4,FALSE)</f>
        <v>7.2999999999999995E-2</v>
      </c>
      <c r="R34" s="170">
        <f>VLOOKUP(CONCATENATE(I$23,"-",M34),$C$2:$G$61,5,FALSE)</f>
        <v>8.6899999999999991E-2</v>
      </c>
      <c r="T34" s="208"/>
      <c r="U34" s="208"/>
    </row>
    <row r="35" spans="1:31" ht="26.25" customHeight="1" x14ac:dyDescent="0.25">
      <c r="A35" s="139" t="str">
        <f>A34</f>
        <v>Construção e Manutenção de Estações e Redes de Distribuição de Energia Elétrica</v>
      </c>
      <c r="B35" s="155" t="s">
        <v>139</v>
      </c>
      <c r="C35" s="139" t="str">
        <f t="shared" si="1"/>
        <v>Construção e Manutenção de Estações e Redes de Distribuição de Energia Elétrica-R</v>
      </c>
      <c r="E35" s="156">
        <v>0.01</v>
      </c>
      <c r="F35" s="156">
        <v>1.4800000000000001E-2</v>
      </c>
      <c r="G35" s="156">
        <v>1.9699999999999999E-2</v>
      </c>
      <c r="I35" s="209" t="s">
        <v>158</v>
      </c>
      <c r="J35" s="209"/>
      <c r="K35" s="209"/>
      <c r="L35" s="209"/>
      <c r="M35" s="167" t="s">
        <v>159</v>
      </c>
      <c r="N35" s="168">
        <v>3.6499999999999998E-2</v>
      </c>
      <c r="O35" s="169" t="s">
        <v>156</v>
      </c>
      <c r="P35" s="170">
        <v>3.6499999999999998E-2</v>
      </c>
      <c r="Q35" s="170">
        <v>3.6499999999999998E-2</v>
      </c>
      <c r="R35" s="170">
        <v>3.6499999999999998E-2</v>
      </c>
      <c r="T35" s="208"/>
      <c r="U35" s="208"/>
    </row>
    <row r="36" spans="1:31" ht="26.25" customHeight="1" x14ac:dyDescent="0.25">
      <c r="A36" s="139" t="str">
        <f>A35</f>
        <v>Construção e Manutenção de Estações e Redes de Distribuição de Energia Elétrica</v>
      </c>
      <c r="B36" s="155" t="s">
        <v>141</v>
      </c>
      <c r="C36" s="139" t="str">
        <f t="shared" si="1"/>
        <v>Construção e Manutenção de Estações e Redes de Distribuição de Energia Elétrica-DF</v>
      </c>
      <c r="E36" s="156">
        <v>1.01E-2</v>
      </c>
      <c r="F36" s="156">
        <v>1.0700000000000001E-2</v>
      </c>
      <c r="G36" s="156">
        <v>1.11E-2</v>
      </c>
      <c r="I36" s="203" t="s">
        <v>160</v>
      </c>
      <c r="J36" s="203"/>
      <c r="K36" s="203"/>
      <c r="L36" s="203"/>
      <c r="M36" s="167" t="s">
        <v>161</v>
      </c>
      <c r="N36" s="170">
        <f>IF($I$23&lt;&gt;$A$70,Q26*Q25,0)</f>
        <v>2.5000000000000001E-2</v>
      </c>
      <c r="O36" s="169" t="s">
        <v>156</v>
      </c>
      <c r="P36" s="170">
        <v>0</v>
      </c>
      <c r="Q36" s="170">
        <v>2.5000000000000001E-2</v>
      </c>
      <c r="R36" s="170">
        <v>0.05</v>
      </c>
      <c r="T36" s="208"/>
      <c r="U36" s="208"/>
    </row>
    <row r="37" spans="1:31" ht="26.25" customHeight="1" x14ac:dyDescent="0.25">
      <c r="A37" s="139" t="str">
        <f>A36</f>
        <v>Construção e Manutenção de Estações e Redes de Distribuição de Energia Elétrica</v>
      </c>
      <c r="B37" s="155" t="s">
        <v>142</v>
      </c>
      <c r="C37" s="139" t="str">
        <f t="shared" si="1"/>
        <v>Construção e Manutenção de Estações e Redes de Distribuição de Energia Elétrica-L</v>
      </c>
      <c r="E37" s="156">
        <v>0.08</v>
      </c>
      <c r="F37" s="156">
        <v>8.3100000000000007E-2</v>
      </c>
      <c r="G37" s="156">
        <v>9.5100000000000004E-2</v>
      </c>
      <c r="I37" s="203" t="s">
        <v>162</v>
      </c>
      <c r="J37" s="203"/>
      <c r="K37" s="203"/>
      <c r="L37" s="203"/>
      <c r="M37" s="167" t="s">
        <v>163</v>
      </c>
      <c r="N37" s="170">
        <f>IF(AND($I$23&lt;&gt;$A$70,Q23="Sim"),4.5%,0%)</f>
        <v>0</v>
      </c>
      <c r="O37" s="169" t="str">
        <f>IF(AND(N37&gt;=P37, N37&lt;=R37), "OK", "Não OK")</f>
        <v>OK</v>
      </c>
      <c r="P37" s="171">
        <v>0</v>
      </c>
      <c r="Q37" s="171">
        <v>4.4999999999999998E-2</v>
      </c>
      <c r="R37" s="171">
        <v>4.4999999999999998E-2</v>
      </c>
    </row>
    <row r="38" spans="1:31" ht="30.75" customHeight="1" x14ac:dyDescent="0.3">
      <c r="A38" s="139" t="str">
        <f>A37</f>
        <v>Construção e Manutenção de Estações e Redes de Distribuição de Energia Elétrica</v>
      </c>
      <c r="B38" s="160" t="s">
        <v>143</v>
      </c>
      <c r="C38" s="139" t="str">
        <f t="shared" si="1"/>
        <v>Construção e Manutenção de Estações e Redes de Distribuição de Energia Elétrica-BDI PAD</v>
      </c>
      <c r="E38" s="156">
        <v>0.24</v>
      </c>
      <c r="F38" s="156">
        <v>0.25840000000000002</v>
      </c>
      <c r="G38" s="156">
        <v>0.27860000000000001</v>
      </c>
      <c r="I38" s="203" t="s">
        <v>348</v>
      </c>
      <c r="J38" s="203"/>
      <c r="K38" s="203"/>
      <c r="L38" s="203"/>
      <c r="M38" s="172" t="s">
        <v>143</v>
      </c>
      <c r="N38" s="170">
        <f>IF($I$23=$A$70,0,ROUND((((1+N30+N31+N32)*(1+N33)*(1+N34)/(1-(N35+N36)))-1),4))</f>
        <v>0.2009</v>
      </c>
      <c r="O38" s="165" t="str">
        <f>IF(OR($I$23=$A$71,$I$23=$A$70,AND(N38&gt;=P38, N38&lt;=R38)), "OK", "FORA DO INTERVALO")</f>
        <v>OK</v>
      </c>
      <c r="P38" s="170">
        <f>IF($I$23=$A$70,0,VLOOKUP(CONCATENATE($I$23,"-",$M38),$C$2:$G$61,3,FALSE))</f>
        <v>0.19600000000000001</v>
      </c>
      <c r="Q38" s="170">
        <f>IF($I$23=$A$70,0,VLOOKUP(CONCATENATE($I$23,"-",$M38),$C$2:$G$61,4,FALSE))</f>
        <v>0.2097</v>
      </c>
      <c r="R38" s="170">
        <f>IF($I$23=$A$70,0,VLOOKUP(CONCATENATE($I$23,"-",$M38),$C$2:$G$61,5,FALSE))</f>
        <v>0.24230000000000002</v>
      </c>
      <c r="T38" s="173"/>
      <c r="V38" s="166"/>
      <c r="W38" s="166"/>
      <c r="X38" s="166"/>
      <c r="Y38" s="166"/>
      <c r="Z38" s="166"/>
      <c r="AA38" s="166"/>
      <c r="AB38" s="166"/>
      <c r="AC38" s="166"/>
      <c r="AD38" s="166"/>
      <c r="AE38" s="166"/>
    </row>
    <row r="39" spans="1:31" ht="30" customHeight="1" x14ac:dyDescent="0.3">
      <c r="A39" s="139" t="s">
        <v>157</v>
      </c>
      <c r="B39" s="155" t="s">
        <v>137</v>
      </c>
      <c r="C39" s="139" t="str">
        <f t="shared" si="1"/>
        <v>Obras Portuárias, Marítimas e Fluviais-AC</v>
      </c>
      <c r="E39" s="156">
        <v>0.04</v>
      </c>
      <c r="F39" s="156">
        <v>5.5199999999999999E-2</v>
      </c>
      <c r="G39" s="156">
        <v>7.85E-2</v>
      </c>
      <c r="I39" s="204" t="s">
        <v>164</v>
      </c>
      <c r="J39" s="204"/>
      <c r="K39" s="204"/>
      <c r="L39" s="204"/>
      <c r="M39" s="174" t="s">
        <v>165</v>
      </c>
      <c r="N39" s="175">
        <f>IF($I$23=$A$70,0,ROUND((((1+N30+N31+N32)*(1+N33)*(1+N34)/(1-(N35+N36+N37)))-1),4))</f>
        <v>0.2009</v>
      </c>
      <c r="O39" s="176" t="str">
        <f>IF(Q23&lt;&gt;"Sim","",O38)</f>
        <v/>
      </c>
      <c r="P39" s="205"/>
      <c r="Q39" s="205"/>
      <c r="R39" s="205"/>
      <c r="T39" s="173"/>
      <c r="V39" s="177" t="b">
        <f>AND(COUNTA(N30:N35)=6,O38&lt;&gt;"ok",NOT(V41))</f>
        <v>0</v>
      </c>
      <c r="W39" s="111" t="s">
        <v>349</v>
      </c>
    </row>
    <row r="40" spans="1:31" ht="7.5" customHeight="1" x14ac:dyDescent="0.25">
      <c r="A40" s="139" t="str">
        <f>A39</f>
        <v>Obras Portuárias, Marítimas e Fluviais</v>
      </c>
      <c r="B40" s="155" t="s">
        <v>138</v>
      </c>
      <c r="C40" s="139" t="str">
        <f t="shared" si="1"/>
        <v>Obras Portuárias, Marítimas e Fluviais-SG</v>
      </c>
      <c r="E40" s="156">
        <v>8.1000000000000013E-3</v>
      </c>
      <c r="F40" s="156">
        <v>1.2199999999999999E-2</v>
      </c>
      <c r="G40" s="156">
        <v>1.9900000000000001E-2</v>
      </c>
      <c r="V40" s="177"/>
    </row>
    <row r="41" spans="1:31" ht="21.75" customHeight="1" x14ac:dyDescent="0.25">
      <c r="A41" s="139" t="str">
        <f>A40</f>
        <v>Obras Portuárias, Marítimas e Fluviais</v>
      </c>
      <c r="B41" s="155" t="s">
        <v>139</v>
      </c>
      <c r="C41" s="139" t="str">
        <f t="shared" si="1"/>
        <v>Obras Portuárias, Marítimas e Fluviais-R</v>
      </c>
      <c r="E41" s="156">
        <v>1.46E-2</v>
      </c>
      <c r="F41" s="156">
        <v>2.3199999999999998E-2</v>
      </c>
      <c r="G41" s="156">
        <v>3.1600000000000003E-2</v>
      </c>
      <c r="I41" s="178" t="str">
        <f>IF(V41,"X","")</f>
        <v/>
      </c>
      <c r="J41" s="206" t="s">
        <v>350</v>
      </c>
      <c r="K41" s="206"/>
      <c r="L41" s="206"/>
      <c r="M41" s="206"/>
      <c r="N41" s="206"/>
      <c r="O41" s="206"/>
      <c r="P41" s="206"/>
      <c r="Q41" s="206"/>
      <c r="R41" s="206"/>
      <c r="V41" s="177" t="b">
        <v>0</v>
      </c>
      <c r="W41" s="111" t="s">
        <v>351</v>
      </c>
    </row>
    <row r="42" spans="1:31" ht="7.5" customHeight="1" x14ac:dyDescent="0.25">
      <c r="B42" s="155"/>
      <c r="E42" s="156"/>
      <c r="F42" s="156"/>
      <c r="G42" s="156"/>
      <c r="V42" s="177"/>
    </row>
    <row r="43" spans="1:31" ht="18.75" customHeight="1" x14ac:dyDescent="0.25">
      <c r="B43" s="155"/>
      <c r="E43" s="156"/>
      <c r="F43" s="156"/>
      <c r="G43" s="156"/>
      <c r="I43" s="207" t="s">
        <v>167</v>
      </c>
      <c r="J43" s="207"/>
      <c r="K43" s="207"/>
      <c r="L43" s="207"/>
      <c r="M43" s="207"/>
      <c r="N43" s="207"/>
      <c r="O43" s="207"/>
      <c r="P43" s="207"/>
      <c r="Q43" s="207"/>
      <c r="R43" s="207"/>
    </row>
    <row r="44" spans="1:31" ht="30" customHeight="1" x14ac:dyDescent="0.25">
      <c r="A44" s="139" t="str">
        <f>A41</f>
        <v>Obras Portuárias, Marítimas e Fluviais</v>
      </c>
      <c r="B44" s="155" t="s">
        <v>141</v>
      </c>
      <c r="C44" s="139" t="str">
        <f>CONCATENATE(A44,"-",B44)</f>
        <v>Obras Portuárias, Marítimas e Fluviais-DF</v>
      </c>
      <c r="E44" s="156">
        <v>9.3999999999999986E-3</v>
      </c>
      <c r="F44" s="156">
        <v>1.0200000000000001E-2</v>
      </c>
      <c r="G44" s="156">
        <v>1.3300000000000001E-2</v>
      </c>
      <c r="I44" s="179"/>
      <c r="J44" s="179"/>
      <c r="K44" s="179"/>
      <c r="L44" s="197" t="str">
        <f>IF(Q23="Sim","BDI.DES =","BDI.PAD =")</f>
        <v>BDI.PAD =</v>
      </c>
      <c r="M44" s="198" t="str">
        <f>IF($I$23=$A$71,"(1+K1+K2)*(1+K3)","(1+AC + S + R + G)*(1 + DF)*(1+L)")</f>
        <v>(1+AC + S + R + G)*(1 + DF)*(1+L)</v>
      </c>
      <c r="N44" s="198"/>
      <c r="O44" s="198"/>
      <c r="P44" s="199" t="s">
        <v>168</v>
      </c>
      <c r="Q44" s="179"/>
      <c r="R44" s="179"/>
    </row>
    <row r="45" spans="1:31" ht="27" customHeight="1" x14ac:dyDescent="0.25">
      <c r="A45" s="139" t="str">
        <f>A44</f>
        <v>Obras Portuárias, Marítimas e Fluviais</v>
      </c>
      <c r="B45" s="155" t="s">
        <v>142</v>
      </c>
      <c r="C45" s="139" t="str">
        <f>CONCATENATE(A45,"-",B45)</f>
        <v>Obras Portuárias, Marítimas e Fluviais-L</v>
      </c>
      <c r="E45" s="156">
        <v>7.1399999999999991E-2</v>
      </c>
      <c r="F45" s="156">
        <v>8.4000000000000005E-2</v>
      </c>
      <c r="G45" s="156">
        <v>0.1043</v>
      </c>
      <c r="I45" s="179"/>
      <c r="J45" s="179"/>
      <c r="K45" s="179"/>
      <c r="L45" s="197"/>
      <c r="M45" s="201" t="str">
        <f>IF(Q23="Sim","(1-CP-ISS-CRPB)","(1-CP-ISS)")</f>
        <v>(1-CP-ISS)</v>
      </c>
      <c r="N45" s="201"/>
      <c r="O45" s="201"/>
      <c r="P45" s="200"/>
      <c r="Q45" s="179"/>
      <c r="R45" s="179"/>
    </row>
    <row r="46" spans="1:31" ht="7.5" customHeight="1" x14ac:dyDescent="0.25">
      <c r="A46" s="139" t="str">
        <f>A45</f>
        <v>Obras Portuárias, Marítimas e Fluviais</v>
      </c>
      <c r="B46" s="160" t="s">
        <v>143</v>
      </c>
      <c r="C46" s="139" t="str">
        <f>CONCATENATE(A46,"-",B46)</f>
        <v>Obras Portuárias, Marítimas e Fluviais-BDI PAD</v>
      </c>
      <c r="E46" s="156">
        <v>0.22800000000000001</v>
      </c>
      <c r="F46" s="156">
        <v>0.27479999999999999</v>
      </c>
      <c r="G46" s="156">
        <v>0.3095</v>
      </c>
      <c r="I46" s="180"/>
      <c r="J46" s="180"/>
      <c r="K46" s="180"/>
      <c r="L46" s="180"/>
      <c r="M46" s="180"/>
      <c r="N46" s="180"/>
      <c r="O46" s="180"/>
      <c r="P46" s="180"/>
      <c r="Q46" s="180"/>
      <c r="R46" s="180"/>
    </row>
    <row r="47" spans="1:31" ht="45" customHeight="1" x14ac:dyDescent="0.25">
      <c r="B47" s="160"/>
      <c r="E47" s="156"/>
      <c r="F47" s="156"/>
      <c r="G47" s="156"/>
      <c r="I47" s="202" t="str">
        <f>CONCATENATE("Declaro para os devidos fins que, conforme legislação tributária municipal, a base de cálculo para ",I23,", é de ",Q25*100,"%, com a respectiva alíquota de ",Q26*100,"%.")</f>
        <v>Declaro para os devidos fins que, conforme legislação tributária municipal, a base de cálculo para Construção de Praças Urbanas, Rodovias, Ferrovias e recapeamento e pavimentação de vias urbanas, é de 50%, com a respectiva alíquota de 5%.</v>
      </c>
      <c r="J47" s="202"/>
      <c r="K47" s="202"/>
      <c r="L47" s="202"/>
      <c r="M47" s="202"/>
      <c r="N47" s="202"/>
      <c r="O47" s="202"/>
      <c r="P47" s="202"/>
      <c r="Q47" s="202"/>
      <c r="R47" s="202"/>
    </row>
    <row r="48" spans="1:31" ht="11.25" customHeight="1" x14ac:dyDescent="0.25">
      <c r="B48" s="160"/>
      <c r="E48" s="156"/>
      <c r="F48" s="156"/>
      <c r="G48" s="156"/>
    </row>
    <row r="49" spans="1:18" ht="52.5" customHeight="1" x14ac:dyDescent="0.25">
      <c r="B49" s="160"/>
      <c r="E49" s="156"/>
      <c r="F49" s="156"/>
      <c r="G49" s="156"/>
      <c r="I49" s="202" t="str">
        <f>CONCATENATE("Declaro para os devidos fins que o regime de Contribuição Previdenciária sobre a Receita Bruta adotado para elaboração do orçamento foi ",IF(Q23="Sim","COM","SEM"),"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49" s="202"/>
      <c r="K49" s="202"/>
      <c r="L49" s="202"/>
      <c r="M49" s="202"/>
      <c r="N49" s="202"/>
      <c r="O49" s="202"/>
      <c r="P49" s="202"/>
      <c r="Q49" s="202"/>
      <c r="R49" s="202"/>
    </row>
    <row r="50" spans="1:18" ht="18" customHeight="1" x14ac:dyDescent="0.25">
      <c r="A50" s="139" t="s">
        <v>166</v>
      </c>
      <c r="B50" s="155" t="s">
        <v>137</v>
      </c>
      <c r="C50" s="139" t="str">
        <f t="shared" ref="C50:C61" si="2">CONCATENATE(A50,"-",B50)</f>
        <v>Fornecimento de Materiais e Equipamentos (aquisição indireta - em conjunto com licitação de obras)-AC</v>
      </c>
      <c r="E50" s="156">
        <v>1.4999999999999999E-2</v>
      </c>
      <c r="F50" s="156">
        <v>3.4500000000000003E-2</v>
      </c>
      <c r="G50" s="156">
        <v>4.4900000000000002E-2</v>
      </c>
    </row>
    <row r="51" spans="1:18" ht="13.2" x14ac:dyDescent="0.25">
      <c r="A51" s="139" t="str">
        <f>A50</f>
        <v>Fornecimento de Materiais e Equipamentos (aquisição indireta - em conjunto com licitação de obras)</v>
      </c>
      <c r="B51" s="155" t="s">
        <v>138</v>
      </c>
      <c r="C51" s="139" t="str">
        <f t="shared" si="2"/>
        <v>Fornecimento de Materiais e Equipamentos (aquisição indireta - em conjunto com licitação de obras)-SG</v>
      </c>
      <c r="E51" s="156">
        <v>3.0000000000000001E-3</v>
      </c>
      <c r="F51" s="156">
        <v>4.7999999999999996E-3</v>
      </c>
      <c r="G51" s="156">
        <v>8.199999999999999E-3</v>
      </c>
      <c r="I51" s="139" t="s">
        <v>174</v>
      </c>
    </row>
    <row r="52" spans="1:18" ht="42.75" customHeight="1" x14ac:dyDescent="0.25">
      <c r="A52" s="139" t="str">
        <f>A51</f>
        <v>Fornecimento de Materiais e Equipamentos (aquisição indireta - em conjunto com licitação de obras)</v>
      </c>
      <c r="B52" s="155" t="s">
        <v>139</v>
      </c>
      <c r="C52" s="139" t="str">
        <f t="shared" si="2"/>
        <v>Fornecimento de Materiais e Equipamentos (aquisição indireta - em conjunto com licitação de obras)-R</v>
      </c>
      <c r="E52" s="156">
        <v>5.6000000000000008E-3</v>
      </c>
      <c r="F52" s="156">
        <v>8.5000000000000006E-3</v>
      </c>
      <c r="G52" s="156">
        <v>8.8999999999999999E-3</v>
      </c>
      <c r="I52" s="189"/>
      <c r="J52" s="190"/>
      <c r="K52" s="190"/>
      <c r="L52" s="190"/>
      <c r="M52" s="190"/>
      <c r="N52" s="190"/>
      <c r="O52" s="190"/>
      <c r="P52" s="190"/>
      <c r="Q52" s="190"/>
      <c r="R52" s="191"/>
    </row>
    <row r="53" spans="1:18" ht="16.5" customHeight="1" x14ac:dyDescent="0.25">
      <c r="A53" s="139" t="str">
        <f>A52</f>
        <v>Fornecimento de Materiais e Equipamentos (aquisição indireta - em conjunto com licitação de obras)</v>
      </c>
      <c r="B53" s="155" t="s">
        <v>141</v>
      </c>
      <c r="C53" s="139" t="str">
        <f t="shared" si="2"/>
        <v>Fornecimento de Materiais e Equipamentos (aquisição indireta - em conjunto com licitação de obras)-DF</v>
      </c>
      <c r="E53" s="156">
        <v>8.5000000000000006E-3</v>
      </c>
      <c r="F53" s="156">
        <v>8.5000000000000006E-3</v>
      </c>
      <c r="G53" s="156">
        <v>1.11E-2</v>
      </c>
    </row>
    <row r="54" spans="1:18" ht="13.2" x14ac:dyDescent="0.25">
      <c r="A54" s="139" t="str">
        <f>A53</f>
        <v>Fornecimento de Materiais e Equipamentos (aquisição indireta - em conjunto com licitação de obras)</v>
      </c>
      <c r="B54" s="155" t="s">
        <v>142</v>
      </c>
      <c r="C54" s="139" t="str">
        <f t="shared" si="2"/>
        <v>Fornecimento de Materiais e Equipamentos (aquisição indireta - em conjunto com licitação de obras)-L</v>
      </c>
      <c r="E54" s="156">
        <v>3.5000000000000003E-2</v>
      </c>
      <c r="F54" s="156">
        <v>5.1100000000000007E-2</v>
      </c>
      <c r="G54" s="156">
        <v>6.2199999999999998E-2</v>
      </c>
      <c r="I54" s="192" t="str">
        <f>[6]DADOS!B5</f>
        <v>SÃO FELIPE/BA</v>
      </c>
      <c r="J54" s="192"/>
      <c r="K54" s="192"/>
      <c r="L54" s="192"/>
      <c r="O54" s="193">
        <f>[6]DADOS!B18</f>
        <v>45812</v>
      </c>
      <c r="P54" s="193"/>
      <c r="Q54" s="193"/>
      <c r="R54" s="193"/>
    </row>
    <row r="55" spans="1:18" ht="15" customHeight="1" x14ac:dyDescent="0.25">
      <c r="A55" s="139" t="str">
        <f>A54</f>
        <v>Fornecimento de Materiais e Equipamentos (aquisição indireta - em conjunto com licitação de obras)</v>
      </c>
      <c r="B55" s="160" t="s">
        <v>143</v>
      </c>
      <c r="C55" s="139" t="str">
        <f t="shared" si="2"/>
        <v>Fornecimento de Materiais e Equipamentos (aquisição indireta - em conjunto com licitação de obras)-BDI PAD</v>
      </c>
      <c r="E55" s="156">
        <v>0.111</v>
      </c>
      <c r="F55" s="156">
        <v>0.14019999999999999</v>
      </c>
      <c r="G55" s="156">
        <v>0.16800000000000001</v>
      </c>
      <c r="I55" s="194" t="s">
        <v>175</v>
      </c>
      <c r="J55" s="194"/>
      <c r="K55" s="194"/>
      <c r="L55" s="194"/>
      <c r="N55" s="181"/>
      <c r="O55" s="182" t="s">
        <v>176</v>
      </c>
      <c r="P55" s="183"/>
      <c r="Q55" s="183"/>
      <c r="R55" s="183"/>
    </row>
    <row r="56" spans="1:18" ht="13.2" x14ac:dyDescent="0.25">
      <c r="A56" s="139" t="s">
        <v>170</v>
      </c>
      <c r="B56" s="155" t="s">
        <v>171</v>
      </c>
      <c r="C56" s="139" t="str">
        <f t="shared" si="2"/>
        <v>Estudos e Projetos, Planos e Gerenciamento e outros correlatos-K1</v>
      </c>
      <c r="E56" s="156" t="s">
        <v>156</v>
      </c>
      <c r="F56" s="156" t="s">
        <v>156</v>
      </c>
      <c r="G56" s="156" t="s">
        <v>156</v>
      </c>
    </row>
    <row r="57" spans="1:18" ht="30" customHeight="1" x14ac:dyDescent="0.25">
      <c r="A57" s="139" t="str">
        <f>A56</f>
        <v>Estudos e Projetos, Planos e Gerenciamento e outros correlatos</v>
      </c>
      <c r="B57" s="155" t="s">
        <v>172</v>
      </c>
      <c r="C57" s="139" t="str">
        <f t="shared" si="2"/>
        <v>Estudos e Projetos, Planos e Gerenciamento e outros correlatos-K2</v>
      </c>
      <c r="E57" s="156" t="s">
        <v>156</v>
      </c>
      <c r="F57" s="156">
        <v>0.2</v>
      </c>
      <c r="G57" s="156" t="s">
        <v>156</v>
      </c>
      <c r="I57" s="195"/>
      <c r="J57" s="195"/>
      <c r="K57" s="195"/>
      <c r="L57" s="195"/>
      <c r="M57" s="184"/>
      <c r="N57" s="184"/>
      <c r="O57" s="185"/>
      <c r="P57" s="185"/>
      <c r="Q57" s="185"/>
      <c r="R57" s="185"/>
    </row>
    <row r="58" spans="1:18" ht="13.2" x14ac:dyDescent="0.25">
      <c r="A58" s="139" t="str">
        <f>A57</f>
        <v>Estudos e Projetos, Planos e Gerenciamento e outros correlatos</v>
      </c>
      <c r="B58" s="155" t="s">
        <v>352</v>
      </c>
      <c r="C58" s="139" t="str">
        <f t="shared" si="2"/>
        <v>Estudos e Projetos, Planos e Gerenciamento e outros correlatos-</v>
      </c>
      <c r="E58" s="156" t="s">
        <v>156</v>
      </c>
      <c r="F58" s="156" t="s">
        <v>156</v>
      </c>
      <c r="G58" s="156" t="s">
        <v>156</v>
      </c>
      <c r="I58" s="196" t="s">
        <v>177</v>
      </c>
      <c r="J58" s="196"/>
      <c r="K58" s="196"/>
      <c r="L58" s="196"/>
    </row>
    <row r="59" spans="1:18" ht="13.8" x14ac:dyDescent="0.25">
      <c r="A59" s="139" t="str">
        <f>A58</f>
        <v>Estudos e Projetos, Planos e Gerenciamento e outros correlatos</v>
      </c>
      <c r="B59" s="155" t="s">
        <v>352</v>
      </c>
      <c r="C59" s="139" t="str">
        <f t="shared" si="2"/>
        <v>Estudos e Projetos, Planos e Gerenciamento e outros correlatos-</v>
      </c>
      <c r="E59" s="156" t="s">
        <v>156</v>
      </c>
      <c r="F59" s="156" t="s">
        <v>156</v>
      </c>
      <c r="G59" s="156" t="s">
        <v>156</v>
      </c>
      <c r="I59" s="157" t="s">
        <v>108</v>
      </c>
      <c r="J59" s="188" t="str">
        <f>[6]DADOS!B15</f>
        <v>Eliabe Vitória Souza</v>
      </c>
      <c r="K59" s="188"/>
      <c r="L59" s="188"/>
      <c r="M59" s="184"/>
      <c r="N59" s="184"/>
    </row>
    <row r="60" spans="1:18" ht="13.8" x14ac:dyDescent="0.25">
      <c r="A60" s="139" t="str">
        <f>A59</f>
        <v>Estudos e Projetos, Planos e Gerenciamento e outros correlatos</v>
      </c>
      <c r="B60" s="155" t="s">
        <v>173</v>
      </c>
      <c r="C60" s="139" t="str">
        <f t="shared" si="2"/>
        <v>Estudos e Projetos, Planos e Gerenciamento e outros correlatos-K3</v>
      </c>
      <c r="E60" s="156" t="s">
        <v>156</v>
      </c>
      <c r="F60" s="156">
        <v>0.12</v>
      </c>
      <c r="G60" s="156" t="s">
        <v>156</v>
      </c>
      <c r="I60" s="157" t="s">
        <v>272</v>
      </c>
      <c r="J60" s="188" t="str">
        <f>[6]DADOS!B16</f>
        <v>Engenheiro Civil</v>
      </c>
      <c r="K60" s="188"/>
      <c r="L60" s="188"/>
      <c r="M60" s="184"/>
      <c r="N60" s="184"/>
    </row>
    <row r="61" spans="1:18" ht="13.8" x14ac:dyDescent="0.25">
      <c r="A61" s="139" t="str">
        <f>A60</f>
        <v>Estudos e Projetos, Planos e Gerenciamento e outros correlatos</v>
      </c>
      <c r="B61" s="160" t="s">
        <v>143</v>
      </c>
      <c r="C61" s="139" t="str">
        <f t="shared" si="2"/>
        <v>Estudos e Projetos, Planos e Gerenciamento e outros correlatos-BDI PAD</v>
      </c>
      <c r="E61" s="156" t="s">
        <v>156</v>
      </c>
      <c r="F61" s="156" t="s">
        <v>156</v>
      </c>
      <c r="G61" s="156" t="s">
        <v>156</v>
      </c>
      <c r="I61" s="157" t="s">
        <v>109</v>
      </c>
      <c r="J61" s="188" t="str">
        <f>[6]DADOS!B17</f>
        <v>CREA/BA:051487735-9</v>
      </c>
      <c r="K61" s="188"/>
      <c r="L61" s="188"/>
      <c r="M61" s="184"/>
      <c r="N61" s="184"/>
    </row>
    <row r="62" spans="1:18" ht="13.2" x14ac:dyDescent="0.25">
      <c r="I62" s="157"/>
      <c r="J62" s="188">
        <v>0</v>
      </c>
      <c r="K62" s="188"/>
      <c r="L62" s="188"/>
    </row>
    <row r="63" spans="1:18" ht="13.2" x14ac:dyDescent="0.25"/>
    <row r="64" spans="1:18" ht="13.2" hidden="1" x14ac:dyDescent="0.25">
      <c r="A64" s="139" t="s">
        <v>136</v>
      </c>
    </row>
    <row r="65" spans="1:7" ht="13.2" hidden="1" x14ac:dyDescent="0.25">
      <c r="A65" s="139" t="s">
        <v>144</v>
      </c>
    </row>
    <row r="66" spans="1:7" ht="13.2" hidden="1" x14ac:dyDescent="0.25">
      <c r="A66" s="139" t="s">
        <v>147</v>
      </c>
    </row>
    <row r="67" spans="1:7" ht="13.2" hidden="1" x14ac:dyDescent="0.25">
      <c r="A67" s="139" t="s">
        <v>155</v>
      </c>
    </row>
    <row r="68" spans="1:7" ht="13.2" hidden="1" x14ac:dyDescent="0.25">
      <c r="A68" s="139" t="s">
        <v>157</v>
      </c>
    </row>
    <row r="69" spans="1:7" ht="13.2" hidden="1" x14ac:dyDescent="0.25">
      <c r="A69" s="139" t="s">
        <v>166</v>
      </c>
    </row>
    <row r="70" spans="1:7" ht="13.2" hidden="1" x14ac:dyDescent="0.25">
      <c r="A70" s="139" t="s">
        <v>169</v>
      </c>
    </row>
    <row r="71" spans="1:7" ht="13.2" hidden="1" x14ac:dyDescent="0.25">
      <c r="A71" s="139" t="s">
        <v>170</v>
      </c>
    </row>
    <row r="72" spans="1:7" ht="13.8" hidden="1" x14ac:dyDescent="0.25">
      <c r="A72" s="184"/>
      <c r="B72" s="184"/>
      <c r="C72" s="184"/>
      <c r="D72" s="184"/>
      <c r="E72" s="184"/>
      <c r="F72" s="184"/>
      <c r="G72" s="184"/>
    </row>
  </sheetData>
  <mergeCells count="64">
    <mergeCell ref="I8:R8"/>
    <mergeCell ref="I4:J4"/>
    <mergeCell ref="K4:R4"/>
    <mergeCell ref="I5:J5"/>
    <mergeCell ref="K5:R5"/>
    <mergeCell ref="I6:R6"/>
    <mergeCell ref="I9:R9"/>
    <mergeCell ref="I11:R11"/>
    <mergeCell ref="I12:R12"/>
    <mergeCell ref="I13:Q13"/>
    <mergeCell ref="I15:M15"/>
    <mergeCell ref="N15:R15"/>
    <mergeCell ref="I25:P25"/>
    <mergeCell ref="Q25:R25"/>
    <mergeCell ref="I16:M16"/>
    <mergeCell ref="N16:R16"/>
    <mergeCell ref="I17:M17"/>
    <mergeCell ref="N17:R17"/>
    <mergeCell ref="I18:M18"/>
    <mergeCell ref="N18:R18"/>
    <mergeCell ref="I20:R20"/>
    <mergeCell ref="I22:P22"/>
    <mergeCell ref="Q22:R22"/>
    <mergeCell ref="I23:P23"/>
    <mergeCell ref="Q23:R23"/>
    <mergeCell ref="I26:P26"/>
    <mergeCell ref="Q26:R26"/>
    <mergeCell ref="I28:L29"/>
    <mergeCell ref="M28:M29"/>
    <mergeCell ref="N28:N29"/>
    <mergeCell ref="O28:O29"/>
    <mergeCell ref="P28:P29"/>
    <mergeCell ref="Q28:Q29"/>
    <mergeCell ref="R28:R29"/>
    <mergeCell ref="T28:U36"/>
    <mergeCell ref="I30:L30"/>
    <mergeCell ref="I31:L31"/>
    <mergeCell ref="I32:L32"/>
    <mergeCell ref="I33:L33"/>
    <mergeCell ref="I34:L34"/>
    <mergeCell ref="I35:L35"/>
    <mergeCell ref="I36:L36"/>
    <mergeCell ref="I49:R49"/>
    <mergeCell ref="I37:L37"/>
    <mergeCell ref="I38:L38"/>
    <mergeCell ref="I39:L39"/>
    <mergeCell ref="P39:R39"/>
    <mergeCell ref="J41:R41"/>
    <mergeCell ref="I43:R43"/>
    <mergeCell ref="L44:L45"/>
    <mergeCell ref="M44:O44"/>
    <mergeCell ref="P44:P45"/>
    <mergeCell ref="M45:O45"/>
    <mergeCell ref="I47:R47"/>
    <mergeCell ref="J59:L59"/>
    <mergeCell ref="J60:L60"/>
    <mergeCell ref="J61:L61"/>
    <mergeCell ref="J62:L62"/>
    <mergeCell ref="I52:R52"/>
    <mergeCell ref="I54:L54"/>
    <mergeCell ref="O54:R54"/>
    <mergeCell ref="I55:L55"/>
    <mergeCell ref="I57:L57"/>
    <mergeCell ref="I58:L58"/>
  </mergeCells>
  <conditionalFormatting sqref="I38:N38">
    <cfRule type="expression" dxfId="21" priority="6" stopIfTrue="1">
      <formula>$Q$23="Não"</formula>
    </cfRule>
  </conditionalFormatting>
  <conditionalFormatting sqref="I39:N39">
    <cfRule type="expression" dxfId="20" priority="5" stopIfTrue="1">
      <formula>$Q$23="sim"</formula>
    </cfRule>
  </conditionalFormatting>
  <conditionalFormatting sqref="I41:R41">
    <cfRule type="expression" dxfId="19" priority="2" stopIfTrue="1">
      <formula>AND(NOT($V$39),NOT($V$41))</formula>
    </cfRule>
  </conditionalFormatting>
  <conditionalFormatting sqref="O30:O39">
    <cfRule type="expression" dxfId="18" priority="7" stopIfTrue="1">
      <formula>AND(O30&lt;&gt;"OK",O30&lt;&gt;"-",O30&lt;&gt;"")</formula>
    </cfRule>
    <cfRule type="cellIs" dxfId="17" priority="8" stopIfTrue="1" operator="equal">
      <formula>"OK"</formula>
    </cfRule>
  </conditionalFormatting>
  <conditionalFormatting sqref="O54">
    <cfRule type="expression" dxfId="16" priority="3" stopIfTrue="1">
      <formula>$O$54=""</formula>
    </cfRule>
  </conditionalFormatting>
  <conditionalFormatting sqref="P30:R38">
    <cfRule type="expression" dxfId="15" priority="1" stopIfTrue="1">
      <formula>$I$23=$A$70</formula>
    </cfRule>
  </conditionalFormatting>
  <conditionalFormatting sqref="P39:R39">
    <cfRule type="expression" dxfId="14" priority="4" stopIfTrue="1">
      <formula>$Q$23="sim"</formula>
    </cfRule>
  </conditionalFormatting>
  <dataValidations disablePrompts="1" count="6">
    <dataValidation type="decimal" allowBlank="1" showInputMessage="1" showErrorMessage="1" errorTitle="Erro de valores" error="Digite um valor entre 0% e 100%" sqref="N30:N35" xr:uid="{4EC03589-7025-4980-84F7-ABAF8D599D47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26:R26" xr:uid="{4EC59AD3-AE4C-4ABB-832D-39FA81955265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25:R25" xr:uid="{978505C4-6889-40F4-9933-5587517E7588}">
      <formula1>0</formula1>
      <formula2>1</formula2>
    </dataValidation>
    <dataValidation type="decimal" allowBlank="1" showInputMessage="1" showErrorMessage="1" errorTitle="Erro de valores" error="Digite um valor maior do que 0." sqref="N36" xr:uid="{BEEC5C74-4594-42C3-AD62-556442C62170}">
      <formula1>0</formula1>
      <formula2>1</formula2>
    </dataValidation>
    <dataValidation operator="greaterThanOrEqual" allowBlank="1" showInputMessage="1" showErrorMessage="1" errorTitle="Erro de valores" error="Digite um valor igual a 0% ou 2%." sqref="N37" xr:uid="{2C862C1F-BB67-48DD-A3C3-AFED4062D0F7}"/>
    <dataValidation type="list" allowBlank="1" showInputMessage="1" showErrorMessage="1" sqref="I23:P23" xr:uid="{80554998-D028-4DC7-A986-08446E0A4DAF}">
      <formula1>$A$64:$A$71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D753-F75C-40E9-9968-B598DF1DB161}">
  <sheetPr>
    <pageSetUpPr fitToPage="1"/>
  </sheetPr>
  <dimension ref="A1:AE72"/>
  <sheetViews>
    <sheetView topLeftCell="I19" zoomScale="85" zoomScaleNormal="85" workbookViewId="0">
      <selection activeCell="T16" sqref="T16"/>
    </sheetView>
  </sheetViews>
  <sheetFormatPr defaultColWidth="0" defaultRowHeight="0" customHeight="1" zeroHeight="1" x14ac:dyDescent="0.25"/>
  <cols>
    <col min="1" max="1" width="29.44140625" style="139" hidden="1" customWidth="1"/>
    <col min="2" max="3" width="8.88671875" style="139" hidden="1" customWidth="1"/>
    <col min="4" max="4" width="22.88671875" style="139" hidden="1" customWidth="1"/>
    <col min="5" max="8" width="8.88671875" style="139" hidden="1" customWidth="1"/>
    <col min="9" max="12" width="10.44140625" style="139" customWidth="1"/>
    <col min="13" max="13" width="13.33203125" style="139" customWidth="1"/>
    <col min="14" max="14" width="10.44140625" style="139" customWidth="1"/>
    <col min="15" max="15" width="12.44140625" style="139" customWidth="1"/>
    <col min="16" max="18" width="10.44140625" style="139" customWidth="1"/>
    <col min="19" max="19" width="3.5546875" style="111" customWidth="1"/>
    <col min="20" max="20" width="28.6640625" style="111" customWidth="1"/>
    <col min="21" max="21" width="13.33203125" style="111" customWidth="1"/>
    <col min="22" max="16384" width="8.88671875" style="111" hidden="1"/>
  </cols>
  <sheetData>
    <row r="1" spans="1:19" ht="15" hidden="1" customHeight="1" x14ac:dyDescent="0.25">
      <c r="E1" s="152" t="s">
        <v>133</v>
      </c>
      <c r="F1" s="152" t="s">
        <v>134</v>
      </c>
      <c r="G1" s="152" t="s">
        <v>135</v>
      </c>
      <c r="N1" s="153" t="e">
        <f ca="1">"Quadro de Composição do BDI "&amp;MID(CELL("nome.arquivo",N1),5+FIND("BDI (",CELL("nome.arquivo",N1)),1)</f>
        <v>#VALUE!</v>
      </c>
      <c r="Q1" s="154"/>
      <c r="R1" s="154"/>
    </row>
    <row r="2" spans="1:19" ht="14.4" hidden="1" x14ac:dyDescent="0.25">
      <c r="A2" s="139" t="s">
        <v>136</v>
      </c>
      <c r="B2" s="155" t="s">
        <v>137</v>
      </c>
      <c r="C2" s="139" t="str">
        <f>CONCATENATE(A2,"-",B2)</f>
        <v>Construção e Reforma de Edifícios-AC</v>
      </c>
      <c r="E2" s="156">
        <v>0.03</v>
      </c>
      <c r="F2" s="156">
        <v>0.04</v>
      </c>
      <c r="G2" s="156">
        <v>5.5E-2</v>
      </c>
      <c r="Q2" s="154"/>
      <c r="R2" s="154"/>
    </row>
    <row r="3" spans="1:19" ht="13.2" hidden="1" x14ac:dyDescent="0.25">
      <c r="A3" s="139" t="str">
        <f>A2</f>
        <v>Construção e Reforma de Edifícios</v>
      </c>
      <c r="B3" s="155" t="s">
        <v>138</v>
      </c>
      <c r="C3" s="139" t="str">
        <f>CONCATENATE(A3,"-",B3)</f>
        <v>Construção e Reforma de Edifícios-SG</v>
      </c>
      <c r="E3" s="156">
        <v>8.0000000000000002E-3</v>
      </c>
      <c r="F3" s="156">
        <v>8.0000000000000002E-3</v>
      </c>
      <c r="G3" s="156">
        <v>0.01</v>
      </c>
    </row>
    <row r="4" spans="1:19" ht="13.2" hidden="1" x14ac:dyDescent="0.25">
      <c r="A4" s="139" t="str">
        <f>A3</f>
        <v>Construção e Reforma de Edifícios</v>
      </c>
      <c r="B4" s="155" t="s">
        <v>139</v>
      </c>
      <c r="C4" s="139" t="str">
        <f>CONCATENATE(A4,"-",B4)</f>
        <v>Construção e Reforma de Edifícios-R</v>
      </c>
      <c r="E4" s="156">
        <v>9.7000000000000003E-3</v>
      </c>
      <c r="F4" s="156">
        <v>1.2699999999999999E-2</v>
      </c>
      <c r="G4" s="156">
        <v>1.2699999999999999E-2</v>
      </c>
      <c r="I4" s="216" t="s">
        <v>339</v>
      </c>
      <c r="J4" s="218"/>
      <c r="K4" s="216" t="s">
        <v>140</v>
      </c>
      <c r="L4" s="217"/>
      <c r="M4" s="217"/>
      <c r="N4" s="217"/>
      <c r="O4" s="217"/>
      <c r="P4" s="217"/>
      <c r="Q4" s="217"/>
      <c r="R4" s="218"/>
    </row>
    <row r="5" spans="1:19" ht="12.75" hidden="1" customHeight="1" x14ac:dyDescent="0.35">
      <c r="A5" s="139" t="str">
        <f>A4</f>
        <v>Construção e Reforma de Edifícios</v>
      </c>
      <c r="B5" s="155" t="s">
        <v>141</v>
      </c>
      <c r="C5" s="139" t="str">
        <f>CONCATENATE(A5,"-",B5)</f>
        <v>Construção e Reforma de Edifícios-DF</v>
      </c>
      <c r="E5" s="156">
        <v>5.8999999999999999E-3</v>
      </c>
      <c r="F5" s="156">
        <v>1.23E-2</v>
      </c>
      <c r="G5" s="156">
        <v>1.3899999999999999E-2</v>
      </c>
      <c r="I5" s="235" t="s">
        <v>340</v>
      </c>
      <c r="J5" s="236"/>
      <c r="K5" s="237" t="s">
        <v>341</v>
      </c>
      <c r="L5" s="238"/>
      <c r="M5" s="238"/>
      <c r="N5" s="238"/>
      <c r="O5" s="238"/>
      <c r="P5" s="238"/>
      <c r="Q5" s="238"/>
      <c r="R5" s="236"/>
      <c r="S5" s="158"/>
    </row>
    <row r="6" spans="1:19" ht="15.6" hidden="1" customHeight="1" x14ac:dyDescent="0.35">
      <c r="B6" s="155"/>
      <c r="E6" s="156"/>
      <c r="F6" s="156"/>
      <c r="G6" s="156"/>
      <c r="I6" s="239" t="s">
        <v>342</v>
      </c>
      <c r="J6" s="239"/>
      <c r="K6" s="239"/>
      <c r="L6" s="239"/>
      <c r="M6" s="239"/>
      <c r="N6" s="239"/>
      <c r="O6" s="239"/>
      <c r="P6" s="239"/>
      <c r="Q6" s="239"/>
      <c r="R6" s="239"/>
      <c r="S6" s="158"/>
    </row>
    <row r="7" spans="1:19" ht="15.6" hidden="1" customHeight="1" x14ac:dyDescent="0.25">
      <c r="A7" s="139" t="str">
        <f>A5</f>
        <v>Construção e Reforma de Edifícios</v>
      </c>
      <c r="B7" s="155" t="s">
        <v>142</v>
      </c>
      <c r="C7" s="139" t="str">
        <f t="shared" ref="C7:C27" si="0">CONCATENATE(A7,"-",B7)</f>
        <v>Construção e Reforma de Edifícios-L</v>
      </c>
      <c r="E7" s="156">
        <v>6.1600000000000002E-2</v>
      </c>
      <c r="F7" s="156">
        <v>7.400000000000001E-2</v>
      </c>
      <c r="G7" s="156">
        <v>8.9600000000000013E-2</v>
      </c>
      <c r="I7" s="159"/>
      <c r="J7" s="159"/>
      <c r="K7" s="159"/>
      <c r="L7" s="159"/>
      <c r="M7" s="159"/>
      <c r="N7" s="159"/>
      <c r="O7" s="159"/>
      <c r="P7" s="159"/>
      <c r="Q7" s="159"/>
      <c r="R7" s="159"/>
    </row>
    <row r="8" spans="1:19" ht="15.6" hidden="1" customHeight="1" x14ac:dyDescent="0.25">
      <c r="A8" s="139" t="str">
        <f>A7</f>
        <v>Construção e Reforma de Edifícios</v>
      </c>
      <c r="B8" s="160" t="s">
        <v>143</v>
      </c>
      <c r="C8" s="139" t="str">
        <f t="shared" si="0"/>
        <v>Construção e Reforma de Edifícios-BDI PAD</v>
      </c>
      <c r="E8" s="156">
        <v>0.2034</v>
      </c>
      <c r="F8" s="156">
        <v>0.22120000000000001</v>
      </c>
      <c r="G8" s="156">
        <v>0.25</v>
      </c>
      <c r="I8" s="216" t="s">
        <v>343</v>
      </c>
      <c r="J8" s="217"/>
      <c r="K8" s="217"/>
      <c r="L8" s="217"/>
      <c r="M8" s="217"/>
      <c r="N8" s="217"/>
      <c r="O8" s="217"/>
      <c r="P8" s="217"/>
      <c r="Q8" s="217"/>
      <c r="R8" s="218"/>
    </row>
    <row r="9" spans="1:19" ht="15.6" hidden="1" customHeight="1" x14ac:dyDescent="0.25">
      <c r="A9" s="139" t="s">
        <v>144</v>
      </c>
      <c r="B9" s="155" t="s">
        <v>137</v>
      </c>
      <c r="C9" s="139" t="str">
        <f t="shared" si="0"/>
        <v>Construção de Praças Urbanas, Rodovias, Ferrovias e recapeamento e pavimentação de vias urbanas-AC</v>
      </c>
      <c r="E9" s="156">
        <v>3.7999999999999999E-2</v>
      </c>
      <c r="F9" s="156">
        <v>4.0099999999999997E-2</v>
      </c>
      <c r="G9" s="156">
        <v>4.6699999999999998E-2</v>
      </c>
      <c r="I9" s="230" t="s">
        <v>344</v>
      </c>
      <c r="J9" s="231"/>
      <c r="K9" s="231"/>
      <c r="L9" s="231"/>
      <c r="M9" s="231"/>
      <c r="N9" s="231"/>
      <c r="O9" s="231"/>
      <c r="P9" s="231"/>
      <c r="Q9" s="231"/>
      <c r="R9" s="232"/>
    </row>
    <row r="10" spans="1:19" ht="6" customHeight="1" x14ac:dyDescent="0.25">
      <c r="A10" s="139" t="s">
        <v>144</v>
      </c>
      <c r="B10" s="155" t="s">
        <v>138</v>
      </c>
      <c r="C10" s="139" t="str">
        <f t="shared" si="0"/>
        <v>Construção de Praças Urbanas, Rodovias, Ferrovias e recapeamento e pavimentação de vias urbanas-SG</v>
      </c>
      <c r="E10" s="156">
        <v>3.2000000000000002E-3</v>
      </c>
      <c r="F10" s="156">
        <v>4.0000000000000001E-3</v>
      </c>
      <c r="G10" s="156">
        <v>7.4000000000000003E-3</v>
      </c>
      <c r="I10" s="159"/>
      <c r="J10" s="159"/>
      <c r="K10" s="159"/>
      <c r="L10" s="159"/>
      <c r="M10" s="159"/>
      <c r="N10" s="159"/>
      <c r="O10" s="159"/>
      <c r="P10" s="159"/>
      <c r="Q10" s="159"/>
      <c r="R10" s="159"/>
    </row>
    <row r="11" spans="1:19" ht="18.600000000000001" customHeight="1" x14ac:dyDescent="0.25">
      <c r="B11" s="155"/>
      <c r="E11" s="156"/>
      <c r="F11" s="156"/>
      <c r="G11" s="156"/>
      <c r="I11" s="233"/>
      <c r="J11" s="233"/>
      <c r="K11" s="233"/>
      <c r="L11" s="233"/>
      <c r="M11" s="233"/>
      <c r="N11" s="233"/>
      <c r="O11" s="233"/>
      <c r="P11" s="233"/>
      <c r="Q11" s="233"/>
      <c r="R11" s="233"/>
    </row>
    <row r="12" spans="1:19" ht="18.600000000000001" customHeight="1" x14ac:dyDescent="0.25">
      <c r="B12" s="155"/>
      <c r="E12" s="156"/>
      <c r="F12" s="156"/>
      <c r="G12" s="156"/>
      <c r="I12" s="215"/>
      <c r="J12" s="215"/>
      <c r="K12" s="215"/>
      <c r="L12" s="215"/>
      <c r="M12" s="215"/>
      <c r="N12" s="215"/>
      <c r="O12" s="215"/>
      <c r="P12" s="215"/>
      <c r="Q12" s="215"/>
      <c r="R12" s="215"/>
    </row>
    <row r="13" spans="1:19" ht="33" customHeight="1" x14ac:dyDescent="0.25">
      <c r="B13" s="155"/>
      <c r="E13" s="156"/>
      <c r="F13" s="156"/>
      <c r="G13" s="156"/>
      <c r="I13" s="234"/>
      <c r="J13" s="234"/>
      <c r="K13" s="234"/>
      <c r="L13" s="234"/>
      <c r="M13" s="234"/>
      <c r="N13" s="234"/>
      <c r="O13" s="234"/>
      <c r="P13" s="234"/>
      <c r="Q13" s="234"/>
      <c r="R13" s="161"/>
    </row>
    <row r="14" spans="1:19" ht="18.600000000000001" customHeight="1" x14ac:dyDescent="0.25">
      <c r="B14" s="155"/>
      <c r="E14" s="156"/>
      <c r="F14" s="156"/>
      <c r="G14" s="156"/>
      <c r="I14" s="162"/>
      <c r="J14" s="162"/>
      <c r="K14" s="162"/>
      <c r="L14" s="162"/>
      <c r="M14" s="162"/>
      <c r="N14" s="162"/>
      <c r="O14" s="162"/>
      <c r="P14" s="162"/>
      <c r="Q14" s="162"/>
      <c r="R14" s="162"/>
    </row>
    <row r="15" spans="1:19" ht="18.600000000000001" customHeight="1" x14ac:dyDescent="0.25">
      <c r="B15" s="155"/>
      <c r="E15" s="156"/>
      <c r="F15" s="156"/>
      <c r="G15" s="156"/>
      <c r="I15" s="228" t="s">
        <v>212</v>
      </c>
      <c r="J15" s="228"/>
      <c r="K15" s="228"/>
      <c r="L15" s="228"/>
      <c r="M15" s="228"/>
      <c r="N15" s="228" t="s">
        <v>213</v>
      </c>
      <c r="O15" s="228"/>
      <c r="P15" s="228"/>
      <c r="Q15" s="228"/>
      <c r="R15" s="228"/>
    </row>
    <row r="16" spans="1:19" ht="43.95" customHeight="1" x14ac:dyDescent="0.25">
      <c r="B16" s="155"/>
      <c r="E16" s="156"/>
      <c r="F16" s="156"/>
      <c r="G16" s="156"/>
      <c r="I16" s="225" t="str">
        <f>[6]DADOS!B4</f>
        <v>PREFEITURA MUNICIPAL DE SÃO FELIPE/BA</v>
      </c>
      <c r="J16" s="225"/>
      <c r="K16" s="225"/>
      <c r="L16" s="225"/>
      <c r="M16" s="225"/>
      <c r="N16" s="226" t="str">
        <f>DADOS!F16</f>
        <v>PAVIMENTAÇÃO E TRATAMENTO PRIMARIO DE ESTRADAS RURAIS NO MUNICÍPIO DE SÃO FELIPE/BA.</v>
      </c>
      <c r="O16" s="227"/>
      <c r="P16" s="227"/>
      <c r="Q16" s="227"/>
      <c r="R16" s="227"/>
    </row>
    <row r="17" spans="1:29" ht="18.600000000000001" customHeight="1" x14ac:dyDescent="0.25">
      <c r="B17" s="155"/>
      <c r="E17" s="156"/>
      <c r="F17" s="156"/>
      <c r="G17" s="156"/>
      <c r="I17" s="228" t="s">
        <v>214</v>
      </c>
      <c r="J17" s="228"/>
      <c r="K17" s="228"/>
      <c r="L17" s="228"/>
      <c r="M17" s="228"/>
      <c r="N17" s="228" t="s">
        <v>215</v>
      </c>
      <c r="O17" s="228"/>
      <c r="P17" s="228"/>
      <c r="Q17" s="228"/>
      <c r="R17" s="228"/>
    </row>
    <row r="18" spans="1:29" ht="18.600000000000001" customHeight="1" x14ac:dyDescent="0.25">
      <c r="B18" s="155"/>
      <c r="E18" s="156"/>
      <c r="F18" s="156"/>
      <c r="G18" s="156"/>
      <c r="I18" s="225" t="str">
        <f>[6]DADOS!B5</f>
        <v>SÃO FELIPE/BA</v>
      </c>
      <c r="J18" s="225"/>
      <c r="K18" s="225"/>
      <c r="L18" s="225"/>
      <c r="M18" s="225"/>
      <c r="N18" s="229">
        <f>[6]DADOS!B18</f>
        <v>45812</v>
      </c>
      <c r="O18" s="229"/>
      <c r="P18" s="229"/>
      <c r="Q18" s="229"/>
      <c r="R18" s="229"/>
    </row>
    <row r="19" spans="1:29" ht="10.95" customHeight="1" x14ac:dyDescent="0.25">
      <c r="B19" s="155"/>
      <c r="E19" s="156"/>
      <c r="F19" s="156"/>
      <c r="G19" s="156"/>
      <c r="I19" s="163"/>
      <c r="J19" s="163"/>
      <c r="K19" s="163"/>
      <c r="L19" s="163"/>
      <c r="M19" s="163"/>
      <c r="N19" s="164"/>
      <c r="O19" s="164"/>
      <c r="P19" s="164"/>
      <c r="Q19" s="164"/>
      <c r="R19" s="164"/>
    </row>
    <row r="20" spans="1:29" ht="18.600000000000001" customHeight="1" x14ac:dyDescent="0.25">
      <c r="B20" s="155"/>
      <c r="E20" s="156"/>
      <c r="F20" s="156"/>
      <c r="G20" s="156"/>
      <c r="I20" s="215" t="s">
        <v>342</v>
      </c>
      <c r="J20" s="215"/>
      <c r="K20" s="215"/>
      <c r="L20" s="215"/>
      <c r="M20" s="215"/>
      <c r="N20" s="215"/>
      <c r="O20" s="215"/>
      <c r="P20" s="215"/>
      <c r="Q20" s="215"/>
      <c r="R20" s="215"/>
    </row>
    <row r="21" spans="1:29" ht="7.95" customHeight="1" x14ac:dyDescent="0.25">
      <c r="B21" s="155"/>
      <c r="E21" s="156"/>
      <c r="F21" s="156"/>
      <c r="G21" s="156"/>
      <c r="I21" s="159"/>
      <c r="J21" s="159"/>
      <c r="K21" s="159"/>
      <c r="L21" s="159"/>
      <c r="M21" s="159"/>
      <c r="N21" s="159"/>
      <c r="O21" s="159"/>
      <c r="P21" s="159"/>
      <c r="Q21" s="159"/>
      <c r="R21" s="159"/>
    </row>
    <row r="22" spans="1:29" ht="13.2" x14ac:dyDescent="0.25">
      <c r="A22" s="139" t="s">
        <v>144</v>
      </c>
      <c r="B22" s="155" t="s">
        <v>139</v>
      </c>
      <c r="C22" s="139" t="str">
        <f t="shared" si="0"/>
        <v>Construção de Praças Urbanas, Rodovias, Ferrovias e recapeamento e pavimentação de vias urbanas-R</v>
      </c>
      <c r="E22" s="156">
        <v>5.0000000000000001E-3</v>
      </c>
      <c r="F22" s="156">
        <v>5.6000000000000008E-3</v>
      </c>
      <c r="G22" s="156">
        <v>9.7000000000000003E-3</v>
      </c>
      <c r="I22" s="216" t="s">
        <v>345</v>
      </c>
      <c r="J22" s="217"/>
      <c r="K22" s="217"/>
      <c r="L22" s="217"/>
      <c r="M22" s="217"/>
      <c r="N22" s="217"/>
      <c r="O22" s="217"/>
      <c r="P22" s="217"/>
      <c r="Q22" s="216" t="s">
        <v>346</v>
      </c>
      <c r="R22" s="218"/>
    </row>
    <row r="23" spans="1:29" ht="13.2" x14ac:dyDescent="0.25">
      <c r="A23" s="139" t="s">
        <v>144</v>
      </c>
      <c r="B23" s="155" t="s">
        <v>141</v>
      </c>
      <c r="C23" s="139" t="str">
        <f t="shared" si="0"/>
        <v>Construção de Praças Urbanas, Rodovias, Ferrovias e recapeamento e pavimentação de vias urbanas-DF</v>
      </c>
      <c r="E23" s="156">
        <v>1.0200000000000001E-2</v>
      </c>
      <c r="F23" s="156">
        <v>1.11E-2</v>
      </c>
      <c r="G23" s="156">
        <v>1.21E-2</v>
      </c>
      <c r="I23" s="219" t="s">
        <v>166</v>
      </c>
      <c r="J23" s="220"/>
      <c r="K23" s="220"/>
      <c r="L23" s="220"/>
      <c r="M23" s="220"/>
      <c r="N23" s="220"/>
      <c r="O23" s="220"/>
      <c r="P23" s="221"/>
      <c r="Q23" s="222" t="s">
        <v>347</v>
      </c>
      <c r="R23" s="223"/>
    </row>
    <row r="24" spans="1:29" ht="13.2" x14ac:dyDescent="0.25">
      <c r="A24" s="139" t="s">
        <v>144</v>
      </c>
      <c r="B24" s="155" t="s">
        <v>142</v>
      </c>
      <c r="C24" s="139" t="str">
        <f t="shared" si="0"/>
        <v>Construção de Praças Urbanas, Rodovias, Ferrovias e recapeamento e pavimentação de vias urbanas-L</v>
      </c>
      <c r="E24" s="156">
        <v>6.6400000000000001E-2</v>
      </c>
      <c r="F24" s="156">
        <v>7.2999999999999995E-2</v>
      </c>
      <c r="G24" s="156">
        <v>8.6899999999999991E-2</v>
      </c>
    </row>
    <row r="25" spans="1:29" ht="15" customHeight="1" x14ac:dyDescent="0.25">
      <c r="A25" s="139" t="s">
        <v>144</v>
      </c>
      <c r="B25" s="160" t="s">
        <v>143</v>
      </c>
      <c r="C25" s="139" t="str">
        <f t="shared" si="0"/>
        <v>Construção de Praças Urbanas, Rodovias, Ferrovias e recapeamento e pavimentação de vias urbanas-BDI PAD</v>
      </c>
      <c r="E25" s="156">
        <v>0.19600000000000001</v>
      </c>
      <c r="F25" s="156">
        <v>0.2097</v>
      </c>
      <c r="G25" s="156">
        <v>0.24230000000000002</v>
      </c>
      <c r="I25" s="224" t="s">
        <v>145</v>
      </c>
      <c r="J25" s="224"/>
      <c r="K25" s="224"/>
      <c r="L25" s="224"/>
      <c r="M25" s="224"/>
      <c r="N25" s="224"/>
      <c r="O25" s="224"/>
      <c r="P25" s="224"/>
      <c r="Q25" s="211">
        <v>0.5</v>
      </c>
      <c r="R25" s="211"/>
    </row>
    <row r="26" spans="1:29" ht="15" customHeight="1" x14ac:dyDescent="0.25">
      <c r="A26" s="139" t="s">
        <v>147</v>
      </c>
      <c r="B26" s="155" t="s">
        <v>137</v>
      </c>
      <c r="C26" s="139" t="str">
        <f t="shared" si="0"/>
        <v>Construção de Redes de Abastecimento de Água, Coleta de Esgoto-AC</v>
      </c>
      <c r="E26" s="156">
        <v>3.4300000000000004E-2</v>
      </c>
      <c r="F26" s="156">
        <v>4.9299999999999997E-2</v>
      </c>
      <c r="G26" s="156">
        <v>6.7099999999999993E-2</v>
      </c>
      <c r="I26" s="210" t="s">
        <v>146</v>
      </c>
      <c r="J26" s="210"/>
      <c r="K26" s="210"/>
      <c r="L26" s="210"/>
      <c r="M26" s="210"/>
      <c r="N26" s="210"/>
      <c r="O26" s="210"/>
      <c r="P26" s="210"/>
      <c r="Q26" s="211">
        <v>0.05</v>
      </c>
      <c r="R26" s="211"/>
    </row>
    <row r="27" spans="1:29" ht="13.2" x14ac:dyDescent="0.25">
      <c r="A27" s="139" t="str">
        <f>A26</f>
        <v>Construção de Redes de Abastecimento de Água, Coleta de Esgoto</v>
      </c>
      <c r="B27" s="155" t="s">
        <v>138</v>
      </c>
      <c r="C27" s="139" t="str">
        <f t="shared" si="0"/>
        <v>Construção de Redes de Abastecimento de Água, Coleta de Esgoto-SG</v>
      </c>
      <c r="E27" s="156">
        <v>2.8000000000000004E-3</v>
      </c>
      <c r="F27" s="156">
        <v>4.8999999999999998E-3</v>
      </c>
      <c r="G27" s="156">
        <v>7.4999999999999997E-3</v>
      </c>
    </row>
    <row r="28" spans="1:29" ht="12.75" customHeight="1" x14ac:dyDescent="0.25">
      <c r="B28" s="155"/>
      <c r="E28" s="156"/>
      <c r="F28" s="156"/>
      <c r="G28" s="156"/>
      <c r="I28" s="212" t="s">
        <v>148</v>
      </c>
      <c r="J28" s="212"/>
      <c r="K28" s="212"/>
      <c r="L28" s="212"/>
      <c r="M28" s="212" t="s">
        <v>149</v>
      </c>
      <c r="N28" s="213" t="s">
        <v>150</v>
      </c>
      <c r="O28" s="213" t="s">
        <v>151</v>
      </c>
      <c r="P28" s="212" t="s">
        <v>152</v>
      </c>
      <c r="Q28" s="212" t="s">
        <v>153</v>
      </c>
      <c r="R28" s="214" t="s">
        <v>154</v>
      </c>
      <c r="T28" s="208" t="str">
        <f>IF(V39,"Para BDI fora do intervalo estatístico, deve ser apresentado Relatório Técnico Circunstanciado justificando a adoção do percentual de cada parcela do BDI.","")</f>
        <v/>
      </c>
      <c r="U28" s="208"/>
      <c r="V28" s="166"/>
      <c r="W28" s="166"/>
      <c r="X28" s="166"/>
      <c r="Y28" s="166"/>
      <c r="Z28" s="166"/>
      <c r="AA28" s="166"/>
      <c r="AB28" s="166"/>
      <c r="AC28" s="166"/>
    </row>
    <row r="29" spans="1:29" ht="15.75" customHeight="1" x14ac:dyDescent="0.25">
      <c r="A29" s="139" t="str">
        <f>A27</f>
        <v>Construção de Redes de Abastecimento de Água, Coleta de Esgoto</v>
      </c>
      <c r="B29" s="155" t="s">
        <v>139</v>
      </c>
      <c r="C29" s="139" t="str">
        <f t="shared" ref="C29:C41" si="1">CONCATENATE(A29,"-",B29)</f>
        <v>Construção de Redes de Abastecimento de Água, Coleta de Esgoto-R</v>
      </c>
      <c r="E29" s="156">
        <v>0.01</v>
      </c>
      <c r="F29" s="156">
        <v>1.3899999999999999E-2</v>
      </c>
      <c r="G29" s="156">
        <v>1.7399999999999999E-2</v>
      </c>
      <c r="I29" s="212"/>
      <c r="J29" s="212"/>
      <c r="K29" s="212"/>
      <c r="L29" s="212"/>
      <c r="M29" s="212"/>
      <c r="N29" s="213"/>
      <c r="O29" s="213"/>
      <c r="P29" s="212"/>
      <c r="Q29" s="212"/>
      <c r="R29" s="214"/>
      <c r="T29" s="208"/>
      <c r="U29" s="208"/>
      <c r="V29" s="166"/>
      <c r="W29" s="166"/>
      <c r="X29" s="166"/>
      <c r="Y29" s="166"/>
      <c r="Z29" s="166"/>
      <c r="AA29" s="166"/>
      <c r="AB29" s="166"/>
      <c r="AC29" s="166"/>
    </row>
    <row r="30" spans="1:29" ht="26.25" customHeight="1" x14ac:dyDescent="0.25">
      <c r="A30" s="139" t="str">
        <f>A29</f>
        <v>Construção de Redes de Abastecimento de Água, Coleta de Esgoto</v>
      </c>
      <c r="B30" s="155" t="s">
        <v>141</v>
      </c>
      <c r="C30" s="139" t="str">
        <f t="shared" si="1"/>
        <v>Construção de Redes de Abastecimento de Água, Coleta de Esgoto-DF</v>
      </c>
      <c r="E30" s="156">
        <v>9.3999999999999986E-3</v>
      </c>
      <c r="F30" s="156">
        <v>9.8999999999999991E-3</v>
      </c>
      <c r="G30" s="156">
        <v>1.1699999999999999E-2</v>
      </c>
      <c r="I30" s="203" t="str">
        <f>IF($I$23=$A$71,"Encargos Sociais incidentes sobre a mão de obra","Administração Central")</f>
        <v>Administração Central</v>
      </c>
      <c r="J30" s="203"/>
      <c r="K30" s="203"/>
      <c r="L30" s="203"/>
      <c r="M30" s="167" t="str">
        <f>IF($I$23=$A$71,"K1","AC")</f>
        <v>AC</v>
      </c>
      <c r="N30" s="168">
        <v>1.4999999999999999E-2</v>
      </c>
      <c r="O30" s="169" t="s">
        <v>156</v>
      </c>
      <c r="P30" s="170">
        <f>VLOOKUP(CONCATENATE(I$23,"-",M30),$C$2:$G$61,3,FALSE)</f>
        <v>1.4999999999999999E-2</v>
      </c>
      <c r="Q30" s="170">
        <f>VLOOKUP(CONCATENATE(I$23,"-",M30),$C$2:$G$61,4,FALSE)</f>
        <v>3.4500000000000003E-2</v>
      </c>
      <c r="R30" s="170">
        <f>VLOOKUP(CONCATENATE(I$23,"-",M30),$C$2:$G$61,5,FALSE)</f>
        <v>4.4900000000000002E-2</v>
      </c>
      <c r="T30" s="208"/>
      <c r="U30" s="208"/>
      <c r="V30" s="166"/>
      <c r="W30" s="166"/>
      <c r="X30" s="166"/>
      <c r="Y30" s="166"/>
      <c r="Z30" s="166"/>
      <c r="AA30" s="166"/>
      <c r="AB30" s="166"/>
      <c r="AC30" s="166"/>
    </row>
    <row r="31" spans="1:29" ht="26.25" customHeight="1" x14ac:dyDescent="0.25">
      <c r="A31" s="139" t="str">
        <f>A30</f>
        <v>Construção de Redes de Abastecimento de Água, Coleta de Esgoto</v>
      </c>
      <c r="B31" s="155" t="s">
        <v>142</v>
      </c>
      <c r="C31" s="139" t="str">
        <f t="shared" si="1"/>
        <v>Construção de Redes de Abastecimento de Água, Coleta de Esgoto-L</v>
      </c>
      <c r="E31" s="156">
        <v>6.7400000000000002E-2</v>
      </c>
      <c r="F31" s="156">
        <v>8.0399999999999985E-2</v>
      </c>
      <c r="G31" s="156">
        <v>9.4E-2</v>
      </c>
      <c r="I31" s="203" t="str">
        <f>IF($I$23=$A$71,"Administração Central da empresa ou consultoria - overhead","Seguro e Garantia")</f>
        <v>Seguro e Garantia</v>
      </c>
      <c r="J31" s="203"/>
      <c r="K31" s="203"/>
      <c r="L31" s="203"/>
      <c r="M31" s="167" t="str">
        <f>IF($I$23=$A$71,"K2","SG")</f>
        <v>SG</v>
      </c>
      <c r="N31" s="168">
        <v>3.0000000000000001E-3</v>
      </c>
      <c r="O31" s="169" t="s">
        <v>156</v>
      </c>
      <c r="P31" s="170">
        <f>VLOOKUP(CONCATENATE(I$23,"-",M31),$C$2:$G$61,3,FALSE)</f>
        <v>3.0000000000000001E-3</v>
      </c>
      <c r="Q31" s="170">
        <f>VLOOKUP(CONCATENATE(I$23,"-",M31),$C$2:$G$61,4,FALSE)</f>
        <v>4.7999999999999996E-3</v>
      </c>
      <c r="R31" s="170">
        <f>VLOOKUP(CONCATENATE(I$23,"-",M31),$C$2:$G$61,5,FALSE)</f>
        <v>8.199999999999999E-3</v>
      </c>
      <c r="T31" s="208"/>
      <c r="U31" s="208"/>
      <c r="V31" s="166"/>
      <c r="W31" s="166"/>
      <c r="X31" s="166"/>
      <c r="Y31" s="166"/>
      <c r="Z31" s="166"/>
      <c r="AA31" s="166"/>
      <c r="AB31" s="166"/>
      <c r="AC31" s="166"/>
    </row>
    <row r="32" spans="1:29" ht="26.25" customHeight="1" x14ac:dyDescent="0.25">
      <c r="A32" s="139" t="str">
        <f>A31</f>
        <v>Construção de Redes de Abastecimento de Água, Coleta de Esgoto</v>
      </c>
      <c r="B32" s="160" t="s">
        <v>143</v>
      </c>
      <c r="C32" s="139" t="str">
        <f t="shared" si="1"/>
        <v>Construção de Redes de Abastecimento de Água, Coleta de Esgoto-BDI PAD</v>
      </c>
      <c r="E32" s="156">
        <v>0.20760000000000001</v>
      </c>
      <c r="F32" s="156">
        <v>0.24179999999999999</v>
      </c>
      <c r="G32" s="156">
        <v>0.26440000000000002</v>
      </c>
      <c r="I32" s="203" t="str">
        <f>IF($I$23=$A$71,"","Risco")</f>
        <v>Risco</v>
      </c>
      <c r="J32" s="203"/>
      <c r="K32" s="203"/>
      <c r="L32" s="203"/>
      <c r="M32" s="167" t="str">
        <f>IF($I$23=$A$71,"","R")</f>
        <v>R</v>
      </c>
      <c r="N32" s="168">
        <v>5.5999999999999999E-3</v>
      </c>
      <c r="O32" s="169" t="s">
        <v>156</v>
      </c>
      <c r="P32" s="170">
        <f>VLOOKUP(CONCATENATE(I$23,"-",M32),$C$2:$G$61,3,FALSE)</f>
        <v>5.6000000000000008E-3</v>
      </c>
      <c r="Q32" s="170">
        <f>VLOOKUP(CONCATENATE(I$23,"-",M32),$C$2:$G$61,4,FALSE)</f>
        <v>8.5000000000000006E-3</v>
      </c>
      <c r="R32" s="170">
        <f>VLOOKUP(CONCATENATE(I$23,"-",M32),$C$2:$G$61,5,FALSE)</f>
        <v>8.8999999999999999E-3</v>
      </c>
      <c r="T32" s="208"/>
      <c r="U32" s="208"/>
      <c r="V32" s="166"/>
      <c r="W32" s="166"/>
      <c r="X32" s="166"/>
      <c r="Y32" s="166"/>
      <c r="Z32" s="166"/>
      <c r="AA32" s="166"/>
      <c r="AB32" s="166"/>
      <c r="AC32" s="166"/>
    </row>
    <row r="33" spans="1:31" ht="26.25" customHeight="1" x14ac:dyDescent="0.25">
      <c r="A33" s="139" t="s">
        <v>155</v>
      </c>
      <c r="B33" s="155" t="s">
        <v>137</v>
      </c>
      <c r="C33" s="139" t="str">
        <f t="shared" si="1"/>
        <v>Construção e Manutenção de Estações e Redes de Distribuição de Energia Elétrica-AC</v>
      </c>
      <c r="E33" s="156">
        <v>5.2900000000000003E-2</v>
      </c>
      <c r="F33" s="156">
        <v>5.9200000000000003E-2</v>
      </c>
      <c r="G33" s="156">
        <v>7.9299999999999995E-2</v>
      </c>
      <c r="I33" s="203" t="str">
        <f>IF($I$23=$A$71,"","Despesas Financeiras")</f>
        <v>Despesas Financeiras</v>
      </c>
      <c r="J33" s="203"/>
      <c r="K33" s="203"/>
      <c r="L33" s="203"/>
      <c r="M33" s="167" t="str">
        <f>IF($I$23=$A$71,"","DF")</f>
        <v>DF</v>
      </c>
      <c r="N33" s="168">
        <v>8.5000000000000006E-3</v>
      </c>
      <c r="O33" s="169" t="s">
        <v>156</v>
      </c>
      <c r="P33" s="170">
        <f>VLOOKUP(CONCATENATE(I$23,"-",M33),$C$2:$G$61,3,FALSE)</f>
        <v>8.5000000000000006E-3</v>
      </c>
      <c r="Q33" s="170">
        <f>VLOOKUP(CONCATENATE(I$23,"-",M33),$C$2:$G$61,4,FALSE)</f>
        <v>8.5000000000000006E-3</v>
      </c>
      <c r="R33" s="170">
        <f>VLOOKUP(CONCATENATE(I$23,"-",M33),$C$2:$G$61,5,FALSE)</f>
        <v>1.11E-2</v>
      </c>
      <c r="T33" s="208"/>
      <c r="U33" s="208"/>
    </row>
    <row r="34" spans="1:31" ht="26.25" customHeight="1" x14ac:dyDescent="0.25">
      <c r="A34" s="139" t="str">
        <f>A33</f>
        <v>Construção e Manutenção de Estações e Redes de Distribuição de Energia Elétrica</v>
      </c>
      <c r="B34" s="155" t="s">
        <v>138</v>
      </c>
      <c r="C34" s="139" t="str">
        <f t="shared" si="1"/>
        <v>Construção e Manutenção de Estações e Redes de Distribuição de Energia Elétrica-SG</v>
      </c>
      <c r="E34" s="156">
        <v>2.5000000000000001E-3</v>
      </c>
      <c r="F34" s="156">
        <v>5.1000000000000004E-3</v>
      </c>
      <c r="G34" s="156">
        <v>5.6000000000000008E-3</v>
      </c>
      <c r="I34" s="203" t="str">
        <f>IF($I$23=$A$71,"Margem bruta da empresa de consultoria","Lucro")</f>
        <v>Lucro</v>
      </c>
      <c r="J34" s="203"/>
      <c r="K34" s="203"/>
      <c r="L34" s="203"/>
      <c r="M34" s="167" t="str">
        <f>IF($I$23=$A$71,"K3","L")</f>
        <v>L</v>
      </c>
      <c r="N34" s="168">
        <v>3.5000000000000003E-2</v>
      </c>
      <c r="O34" s="169" t="s">
        <v>156</v>
      </c>
      <c r="P34" s="170">
        <f>VLOOKUP(CONCATENATE(I$23,"-",M34),$C$2:$G$61,3,FALSE)</f>
        <v>3.5000000000000003E-2</v>
      </c>
      <c r="Q34" s="170">
        <f>VLOOKUP(CONCATENATE(I$23,"-",M34),$C$2:$G$61,4,FALSE)</f>
        <v>5.1100000000000007E-2</v>
      </c>
      <c r="R34" s="170">
        <f>VLOOKUP(CONCATENATE(I$23,"-",M34),$C$2:$G$61,5,FALSE)</f>
        <v>6.2199999999999998E-2</v>
      </c>
      <c r="T34" s="208"/>
      <c r="U34" s="208"/>
    </row>
    <row r="35" spans="1:31" ht="26.25" customHeight="1" x14ac:dyDescent="0.25">
      <c r="A35" s="139" t="str">
        <f>A34</f>
        <v>Construção e Manutenção de Estações e Redes de Distribuição de Energia Elétrica</v>
      </c>
      <c r="B35" s="155" t="s">
        <v>139</v>
      </c>
      <c r="C35" s="139" t="str">
        <f t="shared" si="1"/>
        <v>Construção e Manutenção de Estações e Redes de Distribuição de Energia Elétrica-R</v>
      </c>
      <c r="E35" s="156">
        <v>0.01</v>
      </c>
      <c r="F35" s="156">
        <v>1.4800000000000001E-2</v>
      </c>
      <c r="G35" s="156">
        <v>1.9699999999999999E-2</v>
      </c>
      <c r="I35" s="209" t="s">
        <v>158</v>
      </c>
      <c r="J35" s="209"/>
      <c r="K35" s="209"/>
      <c r="L35" s="209"/>
      <c r="M35" s="167" t="s">
        <v>159</v>
      </c>
      <c r="N35" s="168">
        <v>3.6499999999999998E-2</v>
      </c>
      <c r="O35" s="169" t="s">
        <v>156</v>
      </c>
      <c r="P35" s="170">
        <v>3.6499999999999998E-2</v>
      </c>
      <c r="Q35" s="170">
        <v>3.6499999999999998E-2</v>
      </c>
      <c r="R35" s="170">
        <v>3.6499999999999998E-2</v>
      </c>
      <c r="T35" s="208"/>
      <c r="U35" s="208"/>
    </row>
    <row r="36" spans="1:31" ht="26.25" customHeight="1" x14ac:dyDescent="0.25">
      <c r="A36" s="139" t="str">
        <f>A35</f>
        <v>Construção e Manutenção de Estações e Redes de Distribuição de Energia Elétrica</v>
      </c>
      <c r="B36" s="155" t="s">
        <v>141</v>
      </c>
      <c r="C36" s="139" t="str">
        <f t="shared" si="1"/>
        <v>Construção e Manutenção de Estações e Redes de Distribuição de Energia Elétrica-DF</v>
      </c>
      <c r="E36" s="156">
        <v>1.01E-2</v>
      </c>
      <c r="F36" s="156">
        <v>1.0700000000000001E-2</v>
      </c>
      <c r="G36" s="156">
        <v>1.11E-2</v>
      </c>
      <c r="I36" s="203" t="s">
        <v>160</v>
      </c>
      <c r="J36" s="203"/>
      <c r="K36" s="203"/>
      <c r="L36" s="203"/>
      <c r="M36" s="167" t="s">
        <v>161</v>
      </c>
      <c r="N36" s="170">
        <f>IF($I$23&lt;&gt;$A$70,Q26*Q25,0)</f>
        <v>2.5000000000000001E-2</v>
      </c>
      <c r="O36" s="169" t="s">
        <v>156</v>
      </c>
      <c r="P36" s="170">
        <v>0</v>
      </c>
      <c r="Q36" s="170">
        <v>2.5000000000000001E-2</v>
      </c>
      <c r="R36" s="170">
        <v>0.05</v>
      </c>
      <c r="T36" s="208"/>
      <c r="U36" s="208"/>
    </row>
    <row r="37" spans="1:31" ht="26.25" customHeight="1" x14ac:dyDescent="0.25">
      <c r="A37" s="139" t="str">
        <f>A36</f>
        <v>Construção e Manutenção de Estações e Redes de Distribuição de Energia Elétrica</v>
      </c>
      <c r="B37" s="155" t="s">
        <v>142</v>
      </c>
      <c r="C37" s="139" t="str">
        <f t="shared" si="1"/>
        <v>Construção e Manutenção de Estações e Redes de Distribuição de Energia Elétrica-L</v>
      </c>
      <c r="E37" s="156">
        <v>0.08</v>
      </c>
      <c r="F37" s="156">
        <v>8.3100000000000007E-2</v>
      </c>
      <c r="G37" s="156">
        <v>9.5100000000000004E-2</v>
      </c>
      <c r="I37" s="203" t="s">
        <v>162</v>
      </c>
      <c r="J37" s="203"/>
      <c r="K37" s="203"/>
      <c r="L37" s="203"/>
      <c r="M37" s="167" t="s">
        <v>163</v>
      </c>
      <c r="N37" s="170">
        <f>IF(AND($I$23&lt;&gt;$A$70,Q23="Sim"),4.5%,0%)</f>
        <v>0</v>
      </c>
      <c r="O37" s="169" t="str">
        <f>IF(AND(N37&gt;=P37, N37&lt;=R37), "OK", "Não OK")</f>
        <v>OK</v>
      </c>
      <c r="P37" s="171">
        <v>0</v>
      </c>
      <c r="Q37" s="171">
        <v>4.4999999999999998E-2</v>
      </c>
      <c r="R37" s="171">
        <v>4.4999999999999998E-2</v>
      </c>
    </row>
    <row r="38" spans="1:31" ht="30.75" customHeight="1" x14ac:dyDescent="0.3">
      <c r="A38" s="139" t="str">
        <f>A37</f>
        <v>Construção e Manutenção de Estações e Redes de Distribuição de Energia Elétrica</v>
      </c>
      <c r="B38" s="160" t="s">
        <v>143</v>
      </c>
      <c r="C38" s="139" t="str">
        <f t="shared" si="1"/>
        <v>Construção e Manutenção de Estações e Redes de Distribuição de Energia Elétrica-BDI PAD</v>
      </c>
      <c r="E38" s="156">
        <v>0.24</v>
      </c>
      <c r="F38" s="156">
        <v>0.25840000000000002</v>
      </c>
      <c r="G38" s="156">
        <v>0.27860000000000001</v>
      </c>
      <c r="I38" s="203" t="s">
        <v>348</v>
      </c>
      <c r="J38" s="203"/>
      <c r="K38" s="203"/>
      <c r="L38" s="203"/>
      <c r="M38" s="172" t="s">
        <v>143</v>
      </c>
      <c r="N38" s="170">
        <f>IF($I$23=$A$70,0,ROUND((((1+N30+N31+N32)*(1+N33)*(1+N34)/(1-(N35+N36)))-1),4))</f>
        <v>0.1384</v>
      </c>
      <c r="O38" s="165" t="str">
        <f>IF(OR($I$23=$A$71,$I$23=$A$70,AND(N38&gt;=P38, N38&lt;=R38)), "OK", "FORA DO INTERVALO")</f>
        <v>OK</v>
      </c>
      <c r="P38" s="170">
        <f>IF($I$23=$A$70,0,VLOOKUP(CONCATENATE($I$23,"-",$M38),$C$2:$G$61,3,FALSE))</f>
        <v>0.111</v>
      </c>
      <c r="Q38" s="170">
        <f>IF($I$23=$A$70,0,VLOOKUP(CONCATENATE($I$23,"-",$M38),$C$2:$G$61,4,FALSE))</f>
        <v>0.14019999999999999</v>
      </c>
      <c r="R38" s="170">
        <f>IF($I$23=$A$70,0,VLOOKUP(CONCATENATE($I$23,"-",$M38),$C$2:$G$61,5,FALSE))</f>
        <v>0.16800000000000001</v>
      </c>
      <c r="T38" s="173"/>
      <c r="V38" s="166"/>
      <c r="W38" s="166"/>
      <c r="X38" s="166"/>
      <c r="Y38" s="166"/>
      <c r="Z38" s="166"/>
      <c r="AA38" s="166"/>
      <c r="AB38" s="166"/>
      <c r="AC38" s="166"/>
      <c r="AD38" s="166"/>
      <c r="AE38" s="166"/>
    </row>
    <row r="39" spans="1:31" ht="30" customHeight="1" x14ac:dyDescent="0.3">
      <c r="A39" s="139" t="s">
        <v>157</v>
      </c>
      <c r="B39" s="155" t="s">
        <v>137</v>
      </c>
      <c r="C39" s="139" t="str">
        <f t="shared" si="1"/>
        <v>Obras Portuárias, Marítimas e Fluviais-AC</v>
      </c>
      <c r="E39" s="156">
        <v>0.04</v>
      </c>
      <c r="F39" s="156">
        <v>5.5199999999999999E-2</v>
      </c>
      <c r="G39" s="156">
        <v>7.85E-2</v>
      </c>
      <c r="I39" s="204" t="s">
        <v>164</v>
      </c>
      <c r="J39" s="204"/>
      <c r="K39" s="204"/>
      <c r="L39" s="204"/>
      <c r="M39" s="174" t="s">
        <v>165</v>
      </c>
      <c r="N39" s="175">
        <f>IF($I$23=$A$70,0,ROUND((((1+N30+N31+N32)*(1+N33)*(1+N34)/(1-(N35+N36+N37)))-1),4))</f>
        <v>0.1384</v>
      </c>
      <c r="O39" s="176" t="str">
        <f>IF(Q23&lt;&gt;"Sim","",O38)</f>
        <v/>
      </c>
      <c r="P39" s="205"/>
      <c r="Q39" s="205"/>
      <c r="R39" s="205"/>
      <c r="T39" s="173"/>
      <c r="V39" s="177" t="b">
        <f>AND(COUNTA(N30:N35)=6,O38&lt;&gt;"ok",NOT(V41))</f>
        <v>0</v>
      </c>
      <c r="W39" s="111" t="s">
        <v>349</v>
      </c>
    </row>
    <row r="40" spans="1:31" ht="7.5" customHeight="1" x14ac:dyDescent="0.25">
      <c r="A40" s="139" t="str">
        <f>A39</f>
        <v>Obras Portuárias, Marítimas e Fluviais</v>
      </c>
      <c r="B40" s="155" t="s">
        <v>138</v>
      </c>
      <c r="C40" s="139" t="str">
        <f t="shared" si="1"/>
        <v>Obras Portuárias, Marítimas e Fluviais-SG</v>
      </c>
      <c r="E40" s="156">
        <v>8.1000000000000013E-3</v>
      </c>
      <c r="F40" s="156">
        <v>1.2199999999999999E-2</v>
      </c>
      <c r="G40" s="156">
        <v>1.9900000000000001E-2</v>
      </c>
      <c r="V40" s="177"/>
    </row>
    <row r="41" spans="1:31" ht="21.75" customHeight="1" x14ac:dyDescent="0.25">
      <c r="A41" s="139" t="str">
        <f>A40</f>
        <v>Obras Portuárias, Marítimas e Fluviais</v>
      </c>
      <c r="B41" s="155" t="s">
        <v>139</v>
      </c>
      <c r="C41" s="139" t="str">
        <f t="shared" si="1"/>
        <v>Obras Portuárias, Marítimas e Fluviais-R</v>
      </c>
      <c r="E41" s="156">
        <v>1.46E-2</v>
      </c>
      <c r="F41" s="156">
        <v>2.3199999999999998E-2</v>
      </c>
      <c r="G41" s="156">
        <v>3.1600000000000003E-2</v>
      </c>
      <c r="I41" s="178" t="str">
        <f>IF(V41,"X","")</f>
        <v/>
      </c>
      <c r="J41" s="206" t="s">
        <v>350</v>
      </c>
      <c r="K41" s="206"/>
      <c r="L41" s="206"/>
      <c r="M41" s="206"/>
      <c r="N41" s="206"/>
      <c r="O41" s="206"/>
      <c r="P41" s="206"/>
      <c r="Q41" s="206"/>
      <c r="R41" s="206"/>
      <c r="V41" s="177" t="b">
        <v>0</v>
      </c>
      <c r="W41" s="111" t="s">
        <v>351</v>
      </c>
    </row>
    <row r="42" spans="1:31" ht="7.5" customHeight="1" x14ac:dyDescent="0.25">
      <c r="B42" s="155"/>
      <c r="E42" s="156"/>
      <c r="F42" s="156"/>
      <c r="G42" s="156"/>
      <c r="V42" s="177"/>
    </row>
    <row r="43" spans="1:31" ht="18.75" customHeight="1" x14ac:dyDescent="0.25">
      <c r="B43" s="155"/>
      <c r="E43" s="156"/>
      <c r="F43" s="156"/>
      <c r="G43" s="156"/>
      <c r="I43" s="207" t="s">
        <v>167</v>
      </c>
      <c r="J43" s="207"/>
      <c r="K43" s="207"/>
      <c r="L43" s="207"/>
      <c r="M43" s="207"/>
      <c r="N43" s="207"/>
      <c r="O43" s="207"/>
      <c r="P43" s="207"/>
      <c r="Q43" s="207"/>
      <c r="R43" s="207"/>
    </row>
    <row r="44" spans="1:31" ht="30" customHeight="1" x14ac:dyDescent="0.25">
      <c r="A44" s="139" t="str">
        <f>A41</f>
        <v>Obras Portuárias, Marítimas e Fluviais</v>
      </c>
      <c r="B44" s="155" t="s">
        <v>141</v>
      </c>
      <c r="C44" s="139" t="str">
        <f>CONCATENATE(A44,"-",B44)</f>
        <v>Obras Portuárias, Marítimas e Fluviais-DF</v>
      </c>
      <c r="E44" s="156">
        <v>9.3999999999999986E-3</v>
      </c>
      <c r="F44" s="156">
        <v>1.0200000000000001E-2</v>
      </c>
      <c r="G44" s="156">
        <v>1.3300000000000001E-2</v>
      </c>
      <c r="I44" s="179"/>
      <c r="J44" s="179"/>
      <c r="K44" s="179"/>
      <c r="L44" s="197" t="str">
        <f>IF(Q23="Sim","BDI.DES =","BDI.PAD =")</f>
        <v>BDI.PAD =</v>
      </c>
      <c r="M44" s="198" t="str">
        <f>IF($I$23=$A$71,"(1+K1+K2)*(1+K3)","(1+AC + S + R + G)*(1 + DF)*(1+L)")</f>
        <v>(1+AC + S + R + G)*(1 + DF)*(1+L)</v>
      </c>
      <c r="N44" s="198"/>
      <c r="O44" s="198"/>
      <c r="P44" s="199" t="s">
        <v>168</v>
      </c>
      <c r="Q44" s="179"/>
      <c r="R44" s="179"/>
    </row>
    <row r="45" spans="1:31" ht="27" customHeight="1" x14ac:dyDescent="0.25">
      <c r="A45" s="139" t="str">
        <f>A44</f>
        <v>Obras Portuárias, Marítimas e Fluviais</v>
      </c>
      <c r="B45" s="155" t="s">
        <v>142</v>
      </c>
      <c r="C45" s="139" t="str">
        <f>CONCATENATE(A45,"-",B45)</f>
        <v>Obras Portuárias, Marítimas e Fluviais-L</v>
      </c>
      <c r="E45" s="156">
        <v>7.1399999999999991E-2</v>
      </c>
      <c r="F45" s="156">
        <v>8.4000000000000005E-2</v>
      </c>
      <c r="G45" s="156">
        <v>0.1043</v>
      </c>
      <c r="I45" s="179"/>
      <c r="J45" s="179"/>
      <c r="K45" s="179"/>
      <c r="L45" s="197"/>
      <c r="M45" s="201" t="str">
        <f>IF(Q23="Sim","(1-CP-ISS-CRPB)","(1-CP-ISS)")</f>
        <v>(1-CP-ISS)</v>
      </c>
      <c r="N45" s="201"/>
      <c r="O45" s="201"/>
      <c r="P45" s="200"/>
      <c r="Q45" s="179"/>
      <c r="R45" s="179"/>
    </row>
    <row r="46" spans="1:31" ht="7.5" customHeight="1" x14ac:dyDescent="0.25">
      <c r="A46" s="139" t="str">
        <f>A45</f>
        <v>Obras Portuárias, Marítimas e Fluviais</v>
      </c>
      <c r="B46" s="160" t="s">
        <v>143</v>
      </c>
      <c r="C46" s="139" t="str">
        <f>CONCATENATE(A46,"-",B46)</f>
        <v>Obras Portuárias, Marítimas e Fluviais-BDI PAD</v>
      </c>
      <c r="E46" s="156">
        <v>0.22800000000000001</v>
      </c>
      <c r="F46" s="156">
        <v>0.27479999999999999</v>
      </c>
      <c r="G46" s="156">
        <v>0.3095</v>
      </c>
      <c r="I46" s="180"/>
      <c r="J46" s="180"/>
      <c r="K46" s="180"/>
      <c r="L46" s="180"/>
      <c r="M46" s="180"/>
      <c r="N46" s="180"/>
      <c r="O46" s="180"/>
      <c r="P46" s="180"/>
      <c r="Q46" s="180"/>
      <c r="R46" s="180"/>
    </row>
    <row r="47" spans="1:31" ht="45" customHeight="1" x14ac:dyDescent="0.25">
      <c r="B47" s="160"/>
      <c r="E47" s="156"/>
      <c r="F47" s="156"/>
      <c r="G47" s="156"/>
      <c r="I47" s="202" t="str">
        <f>CONCATENATE("Declaro para os devidos fins que, conforme legislação tributária municipal, a base de cálculo para ",I23,", é de ",Q25*100,"%, com a respectiva alíquota de ",Q26*100,"%.")</f>
        <v>Declaro para os devidos fins que, conforme legislação tributária municipal, a base de cálculo para Fornecimento de Materiais e Equipamentos (aquisição indireta - em conjunto com licitação de obras), é de 50%, com a respectiva alíquota de 5%.</v>
      </c>
      <c r="J47" s="202"/>
      <c r="K47" s="202"/>
      <c r="L47" s="202"/>
      <c r="M47" s="202"/>
      <c r="N47" s="202"/>
      <c r="O47" s="202"/>
      <c r="P47" s="202"/>
      <c r="Q47" s="202"/>
      <c r="R47" s="202"/>
    </row>
    <row r="48" spans="1:31" ht="11.25" customHeight="1" x14ac:dyDescent="0.25">
      <c r="B48" s="160"/>
      <c r="E48" s="156"/>
      <c r="F48" s="156"/>
      <c r="G48" s="156"/>
    </row>
    <row r="49" spans="1:18" ht="52.5" customHeight="1" x14ac:dyDescent="0.25">
      <c r="B49" s="160"/>
      <c r="E49" s="156"/>
      <c r="F49" s="156"/>
      <c r="G49" s="156"/>
      <c r="I49" s="202" t="str">
        <f>CONCATENATE("Declaro para os devidos fins que o regime de Contribuição Previdenciária sobre a Receita Bruta adotado para elaboração do orçamento foi ",IF(Q23="Sim","COM","SEM"),"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49" s="202"/>
      <c r="K49" s="202"/>
      <c r="L49" s="202"/>
      <c r="M49" s="202"/>
      <c r="N49" s="202"/>
      <c r="O49" s="202"/>
      <c r="P49" s="202"/>
      <c r="Q49" s="202"/>
      <c r="R49" s="202"/>
    </row>
    <row r="50" spans="1:18" ht="18" customHeight="1" x14ac:dyDescent="0.25">
      <c r="A50" s="139" t="s">
        <v>166</v>
      </c>
      <c r="B50" s="155" t="s">
        <v>137</v>
      </c>
      <c r="C50" s="139" t="str">
        <f t="shared" ref="C50:C61" si="2">CONCATENATE(A50,"-",B50)</f>
        <v>Fornecimento de Materiais e Equipamentos (aquisição indireta - em conjunto com licitação de obras)-AC</v>
      </c>
      <c r="E50" s="156">
        <v>1.4999999999999999E-2</v>
      </c>
      <c r="F50" s="156">
        <v>3.4500000000000003E-2</v>
      </c>
      <c r="G50" s="156">
        <v>4.4900000000000002E-2</v>
      </c>
    </row>
    <row r="51" spans="1:18" ht="13.2" x14ac:dyDescent="0.25">
      <c r="A51" s="139" t="str">
        <f>A50</f>
        <v>Fornecimento de Materiais e Equipamentos (aquisição indireta - em conjunto com licitação de obras)</v>
      </c>
      <c r="B51" s="155" t="s">
        <v>138</v>
      </c>
      <c r="C51" s="139" t="str">
        <f t="shared" si="2"/>
        <v>Fornecimento de Materiais e Equipamentos (aquisição indireta - em conjunto com licitação de obras)-SG</v>
      </c>
      <c r="E51" s="156">
        <v>3.0000000000000001E-3</v>
      </c>
      <c r="F51" s="156">
        <v>4.7999999999999996E-3</v>
      </c>
      <c r="G51" s="156">
        <v>8.199999999999999E-3</v>
      </c>
      <c r="I51" s="139" t="s">
        <v>174</v>
      </c>
    </row>
    <row r="52" spans="1:18" ht="42.75" customHeight="1" x14ac:dyDescent="0.25">
      <c r="A52" s="139" t="str">
        <f>A51</f>
        <v>Fornecimento de Materiais e Equipamentos (aquisição indireta - em conjunto com licitação de obras)</v>
      </c>
      <c r="B52" s="155" t="s">
        <v>139</v>
      </c>
      <c r="C52" s="139" t="str">
        <f t="shared" si="2"/>
        <v>Fornecimento de Materiais e Equipamentos (aquisição indireta - em conjunto com licitação de obras)-R</v>
      </c>
      <c r="E52" s="156">
        <v>5.6000000000000008E-3</v>
      </c>
      <c r="F52" s="156">
        <v>8.5000000000000006E-3</v>
      </c>
      <c r="G52" s="156">
        <v>8.8999999999999999E-3</v>
      </c>
      <c r="I52" s="189"/>
      <c r="J52" s="190"/>
      <c r="K52" s="190"/>
      <c r="L52" s="190"/>
      <c r="M52" s="190"/>
      <c r="N52" s="190"/>
      <c r="O52" s="190"/>
      <c r="P52" s="190"/>
      <c r="Q52" s="190"/>
      <c r="R52" s="191"/>
    </row>
    <row r="53" spans="1:18" ht="16.5" customHeight="1" x14ac:dyDescent="0.25">
      <c r="A53" s="139" t="str">
        <f>A52</f>
        <v>Fornecimento de Materiais e Equipamentos (aquisição indireta - em conjunto com licitação de obras)</v>
      </c>
      <c r="B53" s="155" t="s">
        <v>141</v>
      </c>
      <c r="C53" s="139" t="str">
        <f t="shared" si="2"/>
        <v>Fornecimento de Materiais e Equipamentos (aquisição indireta - em conjunto com licitação de obras)-DF</v>
      </c>
      <c r="E53" s="156">
        <v>8.5000000000000006E-3</v>
      </c>
      <c r="F53" s="156">
        <v>8.5000000000000006E-3</v>
      </c>
      <c r="G53" s="156">
        <v>1.11E-2</v>
      </c>
    </row>
    <row r="54" spans="1:18" ht="13.2" x14ac:dyDescent="0.25">
      <c r="A54" s="139" t="str">
        <f>A53</f>
        <v>Fornecimento de Materiais e Equipamentos (aquisição indireta - em conjunto com licitação de obras)</v>
      </c>
      <c r="B54" s="155" t="s">
        <v>142</v>
      </c>
      <c r="C54" s="139" t="str">
        <f t="shared" si="2"/>
        <v>Fornecimento de Materiais e Equipamentos (aquisição indireta - em conjunto com licitação de obras)-L</v>
      </c>
      <c r="E54" s="156">
        <v>3.5000000000000003E-2</v>
      </c>
      <c r="F54" s="156">
        <v>5.1100000000000007E-2</v>
      </c>
      <c r="G54" s="156">
        <v>6.2199999999999998E-2</v>
      </c>
      <c r="I54" s="192" t="str">
        <f>[6]DADOS!B5</f>
        <v>SÃO FELIPE/BA</v>
      </c>
      <c r="J54" s="192"/>
      <c r="K54" s="192"/>
      <c r="L54" s="192"/>
      <c r="O54" s="193">
        <f>[6]DADOS!B18</f>
        <v>45812</v>
      </c>
      <c r="P54" s="193"/>
      <c r="Q54" s="193"/>
      <c r="R54" s="193"/>
    </row>
    <row r="55" spans="1:18" ht="15" customHeight="1" x14ac:dyDescent="0.25">
      <c r="A55" s="139" t="str">
        <f>A54</f>
        <v>Fornecimento de Materiais e Equipamentos (aquisição indireta - em conjunto com licitação de obras)</v>
      </c>
      <c r="B55" s="160" t="s">
        <v>143</v>
      </c>
      <c r="C55" s="139" t="str">
        <f t="shared" si="2"/>
        <v>Fornecimento de Materiais e Equipamentos (aquisição indireta - em conjunto com licitação de obras)-BDI PAD</v>
      </c>
      <c r="E55" s="156">
        <v>0.111</v>
      </c>
      <c r="F55" s="156">
        <v>0.14019999999999999</v>
      </c>
      <c r="G55" s="156">
        <v>0.16800000000000001</v>
      </c>
      <c r="I55" s="194" t="s">
        <v>175</v>
      </c>
      <c r="J55" s="194"/>
      <c r="K55" s="194"/>
      <c r="L55" s="194"/>
      <c r="N55" s="181"/>
      <c r="O55" s="182" t="s">
        <v>176</v>
      </c>
      <c r="P55" s="183"/>
      <c r="Q55" s="183"/>
      <c r="R55" s="183"/>
    </row>
    <row r="56" spans="1:18" ht="13.2" x14ac:dyDescent="0.25">
      <c r="A56" s="139" t="s">
        <v>170</v>
      </c>
      <c r="B56" s="155" t="s">
        <v>171</v>
      </c>
      <c r="C56" s="139" t="str">
        <f t="shared" si="2"/>
        <v>Estudos e Projetos, Planos e Gerenciamento e outros correlatos-K1</v>
      </c>
      <c r="E56" s="156" t="s">
        <v>156</v>
      </c>
      <c r="F56" s="156" t="s">
        <v>156</v>
      </c>
      <c r="G56" s="156" t="s">
        <v>156</v>
      </c>
    </row>
    <row r="57" spans="1:18" ht="30" customHeight="1" x14ac:dyDescent="0.25">
      <c r="A57" s="139" t="str">
        <f>A56</f>
        <v>Estudos e Projetos, Planos e Gerenciamento e outros correlatos</v>
      </c>
      <c r="B57" s="155" t="s">
        <v>172</v>
      </c>
      <c r="C57" s="139" t="str">
        <f t="shared" si="2"/>
        <v>Estudos e Projetos, Planos e Gerenciamento e outros correlatos-K2</v>
      </c>
      <c r="E57" s="156" t="s">
        <v>156</v>
      </c>
      <c r="F57" s="156">
        <v>0.2</v>
      </c>
      <c r="G57" s="156" t="s">
        <v>156</v>
      </c>
      <c r="I57" s="195"/>
      <c r="J57" s="195"/>
      <c r="K57" s="195"/>
      <c r="L57" s="195"/>
      <c r="M57" s="184"/>
      <c r="N57" s="184"/>
      <c r="O57" s="185"/>
      <c r="P57" s="185"/>
      <c r="Q57" s="185"/>
      <c r="R57" s="185"/>
    </row>
    <row r="58" spans="1:18" ht="13.2" x14ac:dyDescent="0.25">
      <c r="A58" s="139" t="str">
        <f>A57</f>
        <v>Estudos e Projetos, Planos e Gerenciamento e outros correlatos</v>
      </c>
      <c r="B58" s="155" t="s">
        <v>352</v>
      </c>
      <c r="C58" s="139" t="str">
        <f t="shared" si="2"/>
        <v>Estudos e Projetos, Planos e Gerenciamento e outros correlatos-</v>
      </c>
      <c r="E58" s="156" t="s">
        <v>156</v>
      </c>
      <c r="F58" s="156" t="s">
        <v>156</v>
      </c>
      <c r="G58" s="156" t="s">
        <v>156</v>
      </c>
      <c r="I58" s="196" t="s">
        <v>177</v>
      </c>
      <c r="J58" s="196"/>
      <c r="K58" s="196"/>
      <c r="L58" s="196"/>
    </row>
    <row r="59" spans="1:18" ht="13.8" x14ac:dyDescent="0.25">
      <c r="A59" s="139" t="str">
        <f>A58</f>
        <v>Estudos e Projetos, Planos e Gerenciamento e outros correlatos</v>
      </c>
      <c r="B59" s="155" t="s">
        <v>352</v>
      </c>
      <c r="C59" s="139" t="str">
        <f t="shared" si="2"/>
        <v>Estudos e Projetos, Planos e Gerenciamento e outros correlatos-</v>
      </c>
      <c r="E59" s="156" t="s">
        <v>156</v>
      </c>
      <c r="F59" s="156" t="s">
        <v>156</v>
      </c>
      <c r="G59" s="156" t="s">
        <v>156</v>
      </c>
      <c r="I59" s="157" t="s">
        <v>108</v>
      </c>
      <c r="J59" s="188" t="str">
        <f>[6]DADOS!B15</f>
        <v>Eliabe Vitória Souza</v>
      </c>
      <c r="K59" s="188"/>
      <c r="L59" s="188"/>
      <c r="M59" s="184"/>
      <c r="N59" s="184"/>
    </row>
    <row r="60" spans="1:18" ht="13.8" x14ac:dyDescent="0.25">
      <c r="A60" s="139" t="str">
        <f>A59</f>
        <v>Estudos e Projetos, Planos e Gerenciamento e outros correlatos</v>
      </c>
      <c r="B60" s="155" t="s">
        <v>173</v>
      </c>
      <c r="C60" s="139" t="str">
        <f t="shared" si="2"/>
        <v>Estudos e Projetos, Planos e Gerenciamento e outros correlatos-K3</v>
      </c>
      <c r="E60" s="156" t="s">
        <v>156</v>
      </c>
      <c r="F60" s="156">
        <v>0.12</v>
      </c>
      <c r="G60" s="156" t="s">
        <v>156</v>
      </c>
      <c r="I60" s="157" t="s">
        <v>272</v>
      </c>
      <c r="J60" s="188" t="str">
        <f>[6]DADOS!B16</f>
        <v>Engenheiro Civil</v>
      </c>
      <c r="K60" s="188"/>
      <c r="L60" s="188"/>
      <c r="M60" s="184"/>
      <c r="N60" s="184"/>
    </row>
    <row r="61" spans="1:18" ht="13.8" x14ac:dyDescent="0.25">
      <c r="A61" s="139" t="str">
        <f>A60</f>
        <v>Estudos e Projetos, Planos e Gerenciamento e outros correlatos</v>
      </c>
      <c r="B61" s="160" t="s">
        <v>143</v>
      </c>
      <c r="C61" s="139" t="str">
        <f t="shared" si="2"/>
        <v>Estudos e Projetos, Planos e Gerenciamento e outros correlatos-BDI PAD</v>
      </c>
      <c r="E61" s="156" t="s">
        <v>156</v>
      </c>
      <c r="F61" s="156" t="s">
        <v>156</v>
      </c>
      <c r="G61" s="156" t="s">
        <v>156</v>
      </c>
      <c r="I61" s="157" t="s">
        <v>109</v>
      </c>
      <c r="J61" s="188" t="str">
        <f>[6]DADOS!B17</f>
        <v>CREA/BA:051487735-9</v>
      </c>
      <c r="K61" s="188"/>
      <c r="L61" s="188"/>
      <c r="M61" s="184"/>
      <c r="N61" s="184"/>
    </row>
    <row r="62" spans="1:18" ht="13.2" x14ac:dyDescent="0.25">
      <c r="I62" s="157"/>
      <c r="J62" s="188">
        <v>0</v>
      </c>
      <c r="K62" s="188"/>
      <c r="L62" s="188"/>
    </row>
    <row r="63" spans="1:18" ht="13.2" x14ac:dyDescent="0.25"/>
    <row r="64" spans="1:18" ht="13.2" hidden="1" x14ac:dyDescent="0.25">
      <c r="A64" s="139" t="s">
        <v>136</v>
      </c>
    </row>
    <row r="65" spans="1:7" ht="13.2" hidden="1" x14ac:dyDescent="0.25">
      <c r="A65" s="139" t="s">
        <v>144</v>
      </c>
    </row>
    <row r="66" spans="1:7" ht="13.2" hidden="1" x14ac:dyDescent="0.25">
      <c r="A66" s="139" t="s">
        <v>147</v>
      </c>
    </row>
    <row r="67" spans="1:7" ht="13.2" hidden="1" x14ac:dyDescent="0.25">
      <c r="A67" s="139" t="s">
        <v>155</v>
      </c>
    </row>
    <row r="68" spans="1:7" ht="13.2" hidden="1" x14ac:dyDescent="0.25">
      <c r="A68" s="139" t="s">
        <v>157</v>
      </c>
    </row>
    <row r="69" spans="1:7" ht="13.2" hidden="1" x14ac:dyDescent="0.25">
      <c r="A69" s="139" t="s">
        <v>166</v>
      </c>
    </row>
    <row r="70" spans="1:7" ht="13.2" hidden="1" x14ac:dyDescent="0.25">
      <c r="A70" s="139" t="s">
        <v>169</v>
      </c>
    </row>
    <row r="71" spans="1:7" ht="13.2" hidden="1" x14ac:dyDescent="0.25">
      <c r="A71" s="139" t="s">
        <v>170</v>
      </c>
    </row>
    <row r="72" spans="1:7" ht="13.8" hidden="1" x14ac:dyDescent="0.25">
      <c r="A72" s="184"/>
      <c r="B72" s="184"/>
      <c r="C72" s="184"/>
      <c r="D72" s="184"/>
      <c r="E72" s="184"/>
      <c r="F72" s="184"/>
      <c r="G72" s="184"/>
    </row>
  </sheetData>
  <mergeCells count="64">
    <mergeCell ref="I8:R8"/>
    <mergeCell ref="I4:J4"/>
    <mergeCell ref="K4:R4"/>
    <mergeCell ref="I5:J5"/>
    <mergeCell ref="K5:R5"/>
    <mergeCell ref="I6:R6"/>
    <mergeCell ref="I9:R9"/>
    <mergeCell ref="I11:R11"/>
    <mergeCell ref="I12:R12"/>
    <mergeCell ref="I13:Q13"/>
    <mergeCell ref="I15:M15"/>
    <mergeCell ref="N15:R15"/>
    <mergeCell ref="I25:P25"/>
    <mergeCell ref="Q25:R25"/>
    <mergeCell ref="I16:M16"/>
    <mergeCell ref="N16:R16"/>
    <mergeCell ref="I17:M17"/>
    <mergeCell ref="N17:R17"/>
    <mergeCell ref="I18:M18"/>
    <mergeCell ref="N18:R18"/>
    <mergeCell ref="I20:R20"/>
    <mergeCell ref="I22:P22"/>
    <mergeCell ref="Q22:R22"/>
    <mergeCell ref="I23:P23"/>
    <mergeCell ref="Q23:R23"/>
    <mergeCell ref="I26:P26"/>
    <mergeCell ref="Q26:R26"/>
    <mergeCell ref="I28:L29"/>
    <mergeCell ref="M28:M29"/>
    <mergeCell ref="N28:N29"/>
    <mergeCell ref="O28:O29"/>
    <mergeCell ref="P28:P29"/>
    <mergeCell ref="Q28:Q29"/>
    <mergeCell ref="R28:R29"/>
    <mergeCell ref="T28:U36"/>
    <mergeCell ref="I30:L30"/>
    <mergeCell ref="I31:L31"/>
    <mergeCell ref="I32:L32"/>
    <mergeCell ref="I33:L33"/>
    <mergeCell ref="I34:L34"/>
    <mergeCell ref="I35:L35"/>
    <mergeCell ref="I36:L36"/>
    <mergeCell ref="I49:R49"/>
    <mergeCell ref="I37:L37"/>
    <mergeCell ref="I38:L38"/>
    <mergeCell ref="I39:L39"/>
    <mergeCell ref="P39:R39"/>
    <mergeCell ref="J41:R41"/>
    <mergeCell ref="I43:R43"/>
    <mergeCell ref="L44:L45"/>
    <mergeCell ref="M44:O44"/>
    <mergeCell ref="P44:P45"/>
    <mergeCell ref="M45:O45"/>
    <mergeCell ref="I47:R47"/>
    <mergeCell ref="J59:L59"/>
    <mergeCell ref="J60:L60"/>
    <mergeCell ref="J61:L61"/>
    <mergeCell ref="J62:L62"/>
    <mergeCell ref="I52:R52"/>
    <mergeCell ref="I54:L54"/>
    <mergeCell ref="O54:R54"/>
    <mergeCell ref="I55:L55"/>
    <mergeCell ref="I57:L57"/>
    <mergeCell ref="I58:L58"/>
  </mergeCells>
  <conditionalFormatting sqref="I38:N38">
    <cfRule type="expression" dxfId="13" priority="6" stopIfTrue="1">
      <formula>$Q$23="Não"</formula>
    </cfRule>
  </conditionalFormatting>
  <conditionalFormatting sqref="I39:N39">
    <cfRule type="expression" dxfId="12" priority="5" stopIfTrue="1">
      <formula>$Q$23="sim"</formula>
    </cfRule>
  </conditionalFormatting>
  <conditionalFormatting sqref="I41:R41">
    <cfRule type="expression" dxfId="11" priority="2" stopIfTrue="1">
      <formula>AND(NOT($V$39),NOT($V$41))</formula>
    </cfRule>
  </conditionalFormatting>
  <conditionalFormatting sqref="O30:O39">
    <cfRule type="expression" dxfId="10" priority="7" stopIfTrue="1">
      <formula>AND(O30&lt;&gt;"OK",O30&lt;&gt;"-",O30&lt;&gt;"")</formula>
    </cfRule>
    <cfRule type="cellIs" dxfId="9" priority="8" stopIfTrue="1" operator="equal">
      <formula>"OK"</formula>
    </cfRule>
  </conditionalFormatting>
  <conditionalFormatting sqref="O54">
    <cfRule type="expression" dxfId="8" priority="3" stopIfTrue="1">
      <formula>$O$54=""</formula>
    </cfRule>
  </conditionalFormatting>
  <conditionalFormatting sqref="P30:R38">
    <cfRule type="expression" dxfId="7" priority="1" stopIfTrue="1">
      <formula>$I$23=$A$70</formula>
    </cfRule>
  </conditionalFormatting>
  <conditionalFormatting sqref="P39:R39">
    <cfRule type="expression" dxfId="6" priority="4" stopIfTrue="1">
      <formula>$Q$23="sim"</formula>
    </cfRule>
  </conditionalFormatting>
  <dataValidations disablePrompts="1" count="6">
    <dataValidation type="list" allowBlank="1" showInputMessage="1" showErrorMessage="1" sqref="I23:P23" xr:uid="{8643F9BE-F4F2-4567-9632-372533929639}">
      <formula1>$A$64:$A$71</formula1>
    </dataValidation>
    <dataValidation operator="greaterThanOrEqual" allowBlank="1" showInputMessage="1" showErrorMessage="1" errorTitle="Erro de valores" error="Digite um valor igual a 0% ou 2%." sqref="N37" xr:uid="{983690B9-F814-4199-AA99-37B2B6C1E09A}"/>
    <dataValidation type="decimal" allowBlank="1" showInputMessage="1" showErrorMessage="1" errorTitle="Erro de valores" error="Digite um valor maior do que 0." sqref="N36" xr:uid="{116A5D56-365C-414F-BC00-A99F1E29902B}">
      <formula1>0</formula1>
      <formula2>1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25:R25" xr:uid="{9C36D792-E373-43C6-947D-BC6C775CC056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26:R26" xr:uid="{8EA7C737-5AE0-4814-84B4-2B9DDB37EA10}">
      <formula1>0</formula1>
    </dataValidation>
    <dataValidation type="decimal" allowBlank="1" showInputMessage="1" showErrorMessage="1" errorTitle="Erro de valores" error="Digite um valor entre 0% e 100%" sqref="N30:N35" xr:uid="{BEA32C97-C70B-4763-B7CC-791B29789A7C}">
      <formula1>0</formula1>
      <formula2>1</formula2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7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09C37-E97F-4EE2-BD83-1E0B857C645B}">
  <sheetPr>
    <tabColor rgb="FF00B050"/>
    <pageSetUpPr fitToPage="1"/>
  </sheetPr>
  <dimension ref="A1:U241"/>
  <sheetViews>
    <sheetView showGridLines="0" tabSelected="1" view="pageBreakPreview" topLeftCell="A92" zoomScaleNormal="100" zoomScaleSheetLayoutView="100" workbookViewId="0">
      <selection activeCell="M81" sqref="M81"/>
    </sheetView>
  </sheetViews>
  <sheetFormatPr defaultColWidth="9.109375" defaultRowHeight="14.4" x14ac:dyDescent="0.3"/>
  <cols>
    <col min="1" max="2" width="7.6640625" style="68" bestFit="1" customWidth="1"/>
    <col min="3" max="3" width="38.44140625" style="68" customWidth="1"/>
    <col min="4" max="4" width="8.6640625" style="68" bestFit="1" customWidth="1"/>
    <col min="5" max="5" width="10.44140625" style="68" bestFit="1" customWidth="1"/>
    <col min="6" max="6" width="10.5546875" style="68" customWidth="1"/>
    <col min="7" max="7" width="11.6640625" style="68" customWidth="1"/>
    <col min="8" max="8" width="13" style="68" bestFit="1" customWidth="1"/>
    <col min="9" max="9" width="12.33203125" style="68" customWidth="1"/>
    <col min="10" max="10" width="12.88671875" style="68" bestFit="1" customWidth="1"/>
    <col min="11" max="11" width="13.5546875" style="68" customWidth="1"/>
    <col min="12" max="13" width="18" style="68" customWidth="1"/>
    <col min="14" max="14" width="13.109375" style="69" customWidth="1"/>
    <col min="15" max="16" width="12" style="69" customWidth="1"/>
    <col min="17" max="17" width="9.44140625" style="69" bestFit="1" customWidth="1"/>
    <col min="18" max="16384" width="9.109375" style="69"/>
  </cols>
  <sheetData>
    <row r="1" spans="1:14" customFormat="1" ht="30" customHeight="1" x14ac:dyDescent="0.25">
      <c r="A1" s="251"/>
      <c r="B1" s="251"/>
      <c r="C1" s="251"/>
      <c r="D1" s="251"/>
      <c r="E1" s="251"/>
      <c r="F1" s="251"/>
      <c r="G1" s="133"/>
      <c r="H1" s="1"/>
      <c r="I1" s="1"/>
      <c r="J1" s="1"/>
      <c r="K1" s="1"/>
    </row>
    <row r="2" spans="1:14" customFormat="1" ht="13.5" customHeight="1" x14ac:dyDescent="0.25">
      <c r="A2" s="252"/>
      <c r="B2" s="252"/>
      <c r="C2" s="252"/>
      <c r="D2" s="252"/>
      <c r="E2" s="252"/>
      <c r="F2" s="252"/>
      <c r="G2" s="133"/>
      <c r="H2" s="1"/>
      <c r="I2" s="1"/>
      <c r="J2" s="1"/>
      <c r="K2" s="1"/>
    </row>
    <row r="3" spans="1:14" customFormat="1" ht="27.75" customHeight="1" x14ac:dyDescent="0.25">
      <c r="A3" s="253"/>
      <c r="B3" s="253"/>
      <c r="C3" s="253"/>
      <c r="D3" s="253"/>
      <c r="E3" s="253"/>
      <c r="F3" s="253"/>
      <c r="G3" s="134"/>
      <c r="H3" s="1"/>
      <c r="I3" s="1"/>
      <c r="J3" s="1"/>
      <c r="K3" s="1"/>
    </row>
    <row r="4" spans="1:14" customFormat="1" ht="14.25" customHeight="1" x14ac:dyDescent="0.25">
      <c r="A4" s="135"/>
      <c r="B4" s="135"/>
      <c r="C4" s="135"/>
      <c r="D4" s="136"/>
      <c r="E4" s="135"/>
      <c r="F4" s="135"/>
      <c r="G4" s="135"/>
      <c r="H4" s="135"/>
      <c r="I4" s="135"/>
      <c r="J4" s="1"/>
      <c r="K4" s="1"/>
    </row>
    <row r="5" spans="1:14" s="111" customFormat="1" ht="13.2" x14ac:dyDescent="0.25">
      <c r="A5" s="250" t="s">
        <v>212</v>
      </c>
      <c r="B5" s="250"/>
      <c r="C5" s="250"/>
      <c r="D5" s="250"/>
      <c r="E5" s="250" t="s">
        <v>213</v>
      </c>
      <c r="F5" s="250"/>
      <c r="G5" s="250"/>
      <c r="H5" s="250"/>
      <c r="I5" s="250"/>
      <c r="J5" s="137"/>
      <c r="K5" s="138"/>
      <c r="L5" s="139"/>
    </row>
    <row r="6" spans="1:14" s="111" customFormat="1" ht="25.8" customHeight="1" x14ac:dyDescent="0.25">
      <c r="A6" s="242" t="str">
        <f>DADOS!F5</f>
        <v>PREFEITURA MUNICIPAL DE SÃO FELIPE/BA</v>
      </c>
      <c r="B6" s="243"/>
      <c r="C6" s="243"/>
      <c r="D6" s="243"/>
      <c r="E6" s="248" t="str">
        <f>DADOS!F16</f>
        <v>PAVIMENTAÇÃO E TRATAMENTO PRIMARIO DE ESTRADAS RURAIS NO MUNICÍPIO DE SÃO FELIPE/BA.</v>
      </c>
      <c r="F6" s="249"/>
      <c r="G6" s="249"/>
      <c r="H6" s="249"/>
      <c r="I6" s="249"/>
      <c r="J6" s="249"/>
      <c r="L6" s="139"/>
    </row>
    <row r="7" spans="1:14" s="111" customFormat="1" ht="13.2" x14ac:dyDescent="0.25">
      <c r="A7" s="250" t="s">
        <v>214</v>
      </c>
      <c r="B7" s="250"/>
      <c r="C7" s="250"/>
      <c r="D7" s="250"/>
      <c r="E7" s="250" t="s">
        <v>215</v>
      </c>
      <c r="F7" s="250"/>
      <c r="G7" s="250"/>
      <c r="H7" s="250"/>
      <c r="I7" s="250" t="s">
        <v>329</v>
      </c>
      <c r="J7" s="250"/>
      <c r="K7" s="138"/>
      <c r="L7" s="139"/>
    </row>
    <row r="8" spans="1:14" s="111" customFormat="1" ht="13.2" x14ac:dyDescent="0.25">
      <c r="A8" s="242" t="str">
        <f>DADOS!F6</f>
        <v>SÃO FELIPE/BA</v>
      </c>
      <c r="B8" s="243"/>
      <c r="C8" s="243"/>
      <c r="D8" s="243"/>
      <c r="E8" s="244">
        <f>DADOS!F25</f>
        <v>45734</v>
      </c>
      <c r="F8" s="244"/>
      <c r="G8" s="245"/>
      <c r="H8" s="245"/>
      <c r="I8" s="246" t="e">
        <f>#REF!</f>
        <v>#REF!</v>
      </c>
      <c r="J8" s="246"/>
      <c r="L8" s="139"/>
    </row>
    <row r="9" spans="1:14" s="111" customFormat="1" ht="13.2" customHeight="1" x14ac:dyDescent="0.25">
      <c r="A9" s="140"/>
      <c r="B9" s="140"/>
      <c r="C9" s="140"/>
      <c r="D9" s="140"/>
      <c r="E9" s="141"/>
      <c r="F9" s="141"/>
      <c r="G9" s="142"/>
      <c r="H9" s="142"/>
      <c r="I9" s="143"/>
      <c r="J9" s="143"/>
      <c r="L9" s="139"/>
    </row>
    <row r="10" spans="1:14" s="111" customFormat="1" ht="13.8" x14ac:dyDescent="0.25">
      <c r="A10" s="247" t="s">
        <v>330</v>
      </c>
      <c r="B10" s="247"/>
      <c r="C10" s="247"/>
      <c r="D10" s="247"/>
      <c r="E10" s="247"/>
      <c r="F10" s="247"/>
      <c r="G10" s="247"/>
      <c r="H10" s="247"/>
      <c r="I10" s="247"/>
      <c r="J10" s="247"/>
      <c r="K10" s="247"/>
      <c r="L10" s="139"/>
    </row>
    <row r="11" spans="1:14" s="111" customFormat="1" ht="13.2" x14ac:dyDescent="0.25">
      <c r="A11" s="144"/>
      <c r="B11" s="145"/>
      <c r="C11" s="144"/>
      <c r="D11" s="146"/>
      <c r="E11" s="144"/>
      <c r="F11" s="147"/>
      <c r="G11" s="144"/>
      <c r="H11" s="148"/>
      <c r="I11" s="148"/>
      <c r="J11" s="148"/>
      <c r="K11" s="138"/>
      <c r="L11" s="139"/>
    </row>
    <row r="12" spans="1:14" ht="10.5" customHeight="1" x14ac:dyDescent="0.3">
      <c r="A12" s="72"/>
      <c r="B12" s="72"/>
      <c r="C12" s="72"/>
      <c r="D12" s="72"/>
      <c r="E12" s="73"/>
      <c r="F12" s="73"/>
      <c r="G12" s="74"/>
      <c r="H12" s="74"/>
      <c r="I12" s="75"/>
    </row>
    <row r="13" spans="1:14" ht="20.25" customHeight="1" thickBot="1" x14ac:dyDescent="0.35">
      <c r="A13" s="263" t="s">
        <v>216</v>
      </c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</row>
    <row r="14" spans="1:14" ht="24" customHeight="1" thickBot="1" x14ac:dyDescent="0.35">
      <c r="A14" s="129" t="s">
        <v>217</v>
      </c>
      <c r="B14" s="130" t="s">
        <v>218</v>
      </c>
      <c r="C14" s="130" t="s">
        <v>219</v>
      </c>
      <c r="D14" s="130" t="s">
        <v>220</v>
      </c>
      <c r="E14" s="259" t="s">
        <v>221</v>
      </c>
      <c r="F14" s="259"/>
      <c r="G14" s="259"/>
      <c r="H14" s="259"/>
      <c r="I14" s="259"/>
      <c r="J14" s="259"/>
      <c r="K14" s="259"/>
      <c r="L14" s="131" t="s">
        <v>222</v>
      </c>
      <c r="M14" s="69"/>
    </row>
    <row r="15" spans="1:14" ht="15" customHeight="1" thickBot="1" x14ac:dyDescent="0.35">
      <c r="A15" s="260" t="s">
        <v>223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2"/>
      <c r="M15" s="69"/>
    </row>
    <row r="16" spans="1:14" s="85" customFormat="1" ht="20.399999999999999" x14ac:dyDescent="0.3">
      <c r="A16" s="76" t="s">
        <v>180</v>
      </c>
      <c r="B16" s="77" t="s">
        <v>198</v>
      </c>
      <c r="C16" s="78" t="s">
        <v>224</v>
      </c>
      <c r="D16" s="79" t="s">
        <v>234</v>
      </c>
      <c r="E16" s="80" t="s">
        <v>178</v>
      </c>
      <c r="F16" s="81" t="s">
        <v>225</v>
      </c>
      <c r="G16" s="81" t="s">
        <v>226</v>
      </c>
      <c r="H16" s="81" t="s">
        <v>227</v>
      </c>
      <c r="I16" s="81" t="s">
        <v>179</v>
      </c>
      <c r="J16" s="81" t="s">
        <v>228</v>
      </c>
      <c r="K16" s="83" t="s">
        <v>229</v>
      </c>
      <c r="L16" s="254" t="s">
        <v>230</v>
      </c>
      <c r="M16" s="69"/>
      <c r="N16" s="84"/>
    </row>
    <row r="17" spans="1:13" s="91" customFormat="1" x14ac:dyDescent="0.3">
      <c r="A17" s="86"/>
      <c r="B17" s="87"/>
      <c r="C17" s="88"/>
      <c r="D17" s="87"/>
      <c r="E17" s="87"/>
      <c r="F17" s="89">
        <v>12</v>
      </c>
      <c r="G17" s="89">
        <v>24</v>
      </c>
      <c r="H17" s="89">
        <v>4</v>
      </c>
      <c r="I17" s="89"/>
      <c r="J17" s="89"/>
      <c r="K17" s="90">
        <f>F17*G17*H17</f>
        <v>1152</v>
      </c>
      <c r="L17" s="255"/>
      <c r="M17" s="69"/>
    </row>
    <row r="18" spans="1:13" s="91" customFormat="1" ht="15" thickBot="1" x14ac:dyDescent="0.35">
      <c r="A18" s="257"/>
      <c r="B18" s="258"/>
      <c r="C18" s="258"/>
      <c r="D18" s="92"/>
      <c r="E18" s="92"/>
      <c r="F18" s="93"/>
      <c r="G18" s="93"/>
      <c r="H18" s="94"/>
      <c r="I18" s="95"/>
      <c r="J18" s="95">
        <f>SUM(K17)</f>
        <v>1152</v>
      </c>
      <c r="K18" s="96" t="str">
        <f>D16</f>
        <v>H</v>
      </c>
      <c r="L18" s="256"/>
      <c r="M18" s="69"/>
    </row>
    <row r="19" spans="1:13" s="85" customFormat="1" ht="20.399999999999999" x14ac:dyDescent="0.3">
      <c r="A19" s="97" t="s">
        <v>180</v>
      </c>
      <c r="B19" s="98" t="s">
        <v>199</v>
      </c>
      <c r="C19" s="99" t="s">
        <v>273</v>
      </c>
      <c r="D19" s="100" t="s">
        <v>234</v>
      </c>
      <c r="E19" s="101" t="s">
        <v>178</v>
      </c>
      <c r="F19" s="81" t="s">
        <v>225</v>
      </c>
      <c r="G19" s="81" t="s">
        <v>226</v>
      </c>
      <c r="H19" s="81" t="s">
        <v>227</v>
      </c>
      <c r="I19" s="102" t="s">
        <v>233</v>
      </c>
      <c r="J19" s="102" t="s">
        <v>228</v>
      </c>
      <c r="K19" s="104" t="s">
        <v>229</v>
      </c>
      <c r="L19" s="254" t="s">
        <v>230</v>
      </c>
      <c r="M19" s="69"/>
    </row>
    <row r="20" spans="1:13" s="91" customFormat="1" x14ac:dyDescent="0.3">
      <c r="A20" s="86"/>
      <c r="B20" s="87"/>
      <c r="C20" s="88"/>
      <c r="D20" s="87"/>
      <c r="E20" s="87"/>
      <c r="F20" s="89">
        <f>F17</f>
        <v>12</v>
      </c>
      <c r="G20" s="89">
        <v>24</v>
      </c>
      <c r="H20" s="89">
        <v>8</v>
      </c>
      <c r="I20" s="89"/>
      <c r="J20" s="89"/>
      <c r="K20" s="90">
        <f>F20*G20*H20</f>
        <v>2304</v>
      </c>
      <c r="L20" s="255"/>
      <c r="M20" s="69"/>
    </row>
    <row r="21" spans="1:13" s="91" customFormat="1" ht="15" thickBot="1" x14ac:dyDescent="0.35">
      <c r="A21" s="257"/>
      <c r="B21" s="258"/>
      <c r="C21" s="258"/>
      <c r="D21" s="92"/>
      <c r="E21" s="92"/>
      <c r="F21" s="93"/>
      <c r="G21" s="93"/>
      <c r="H21" s="94"/>
      <c r="I21" s="95"/>
      <c r="J21" s="95">
        <f>SUM(K20)</f>
        <v>2304</v>
      </c>
      <c r="K21" s="96" t="str">
        <f>D19</f>
        <v>H</v>
      </c>
      <c r="L21" s="256"/>
      <c r="M21" s="69"/>
    </row>
    <row r="22" spans="1:13" ht="15" thickBot="1" x14ac:dyDescent="0.35">
      <c r="A22" s="260" t="s">
        <v>200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2"/>
      <c r="M22" s="69"/>
    </row>
    <row r="23" spans="1:13" s="85" customFormat="1" ht="41.4" hidden="1" thickBot="1" x14ac:dyDescent="0.35">
      <c r="A23" s="97" t="s">
        <v>201</v>
      </c>
      <c r="B23" s="98" t="s">
        <v>202</v>
      </c>
      <c r="C23" s="99" t="s">
        <v>274</v>
      </c>
      <c r="D23" s="100" t="s">
        <v>275</v>
      </c>
      <c r="E23" s="101" t="s">
        <v>178</v>
      </c>
      <c r="F23" s="81" t="s">
        <v>225</v>
      </c>
      <c r="G23" s="102" t="s">
        <v>231</v>
      </c>
      <c r="H23" s="103" t="s">
        <v>232</v>
      </c>
      <c r="I23" s="102" t="s">
        <v>236</v>
      </c>
      <c r="J23" s="102" t="s">
        <v>228</v>
      </c>
      <c r="K23" s="104" t="s">
        <v>229</v>
      </c>
      <c r="L23" s="254" t="s">
        <v>283</v>
      </c>
      <c r="M23" s="69"/>
    </row>
    <row r="24" spans="1:13" s="91" customFormat="1" ht="15" hidden="1" thickBot="1" x14ac:dyDescent="0.35">
      <c r="A24" s="86"/>
      <c r="B24" s="87"/>
      <c r="C24" s="88"/>
      <c r="D24" s="87"/>
      <c r="E24" s="87"/>
      <c r="F24" s="89">
        <f>F17</f>
        <v>12</v>
      </c>
      <c r="G24" s="89"/>
      <c r="H24" s="89"/>
      <c r="I24" s="89"/>
      <c r="J24" s="89"/>
      <c r="K24" s="90">
        <f>F24</f>
        <v>12</v>
      </c>
      <c r="L24" s="255"/>
      <c r="M24" s="69"/>
    </row>
    <row r="25" spans="1:13" s="91" customFormat="1" ht="15" hidden="1" thickBot="1" x14ac:dyDescent="0.35">
      <c r="A25" s="257"/>
      <c r="B25" s="258"/>
      <c r="C25" s="258"/>
      <c r="D25" s="92"/>
      <c r="E25" s="92"/>
      <c r="F25" s="93"/>
      <c r="G25" s="93"/>
      <c r="H25" s="94"/>
      <c r="I25" s="95"/>
      <c r="J25" s="95">
        <f>SUM(K24)</f>
        <v>12</v>
      </c>
      <c r="K25" s="96" t="str">
        <f>D23</f>
        <v xml:space="preserve">MES   </v>
      </c>
      <c r="L25" s="256"/>
      <c r="M25" s="69"/>
    </row>
    <row r="26" spans="1:13" s="85" customFormat="1" ht="41.4" hidden="1" thickBot="1" x14ac:dyDescent="0.35">
      <c r="A26" s="97" t="s">
        <v>201</v>
      </c>
      <c r="B26" s="98" t="s">
        <v>301</v>
      </c>
      <c r="C26" s="99" t="s">
        <v>302</v>
      </c>
      <c r="D26" s="100" t="s">
        <v>275</v>
      </c>
      <c r="E26" s="101" t="s">
        <v>178</v>
      </c>
      <c r="F26" s="81" t="s">
        <v>225</v>
      </c>
      <c r="G26" s="102" t="s">
        <v>231</v>
      </c>
      <c r="H26" s="103" t="s">
        <v>232</v>
      </c>
      <c r="I26" s="102" t="s">
        <v>236</v>
      </c>
      <c r="J26" s="102" t="s">
        <v>228</v>
      </c>
      <c r="K26" s="104" t="s">
        <v>229</v>
      </c>
      <c r="L26" s="254" t="s">
        <v>283</v>
      </c>
      <c r="M26" s="69"/>
    </row>
    <row r="27" spans="1:13" s="91" customFormat="1" ht="15" hidden="1" thickBot="1" x14ac:dyDescent="0.35">
      <c r="A27" s="86"/>
      <c r="B27" s="87"/>
      <c r="C27" s="88"/>
      <c r="D27" s="87"/>
      <c r="E27" s="87"/>
      <c r="F27" s="89">
        <f>F20</f>
        <v>12</v>
      </c>
      <c r="G27" s="89"/>
      <c r="H27" s="89"/>
      <c r="I27" s="89"/>
      <c r="J27" s="89"/>
      <c r="K27" s="90">
        <f>F27</f>
        <v>12</v>
      </c>
      <c r="L27" s="255"/>
      <c r="M27" s="69"/>
    </row>
    <row r="28" spans="1:13" s="91" customFormat="1" ht="15" hidden="1" thickBot="1" x14ac:dyDescent="0.35">
      <c r="A28" s="257"/>
      <c r="B28" s="258"/>
      <c r="C28" s="258"/>
      <c r="D28" s="92"/>
      <c r="E28" s="92"/>
      <c r="F28" s="93"/>
      <c r="G28" s="93"/>
      <c r="H28" s="94"/>
      <c r="I28" s="95"/>
      <c r="J28" s="95">
        <f>SUM(K27)</f>
        <v>12</v>
      </c>
      <c r="K28" s="96" t="str">
        <f>D26</f>
        <v xml:space="preserve">MES   </v>
      </c>
      <c r="L28" s="256"/>
      <c r="M28" s="69"/>
    </row>
    <row r="29" spans="1:13" s="85" customFormat="1" ht="30.6" x14ac:dyDescent="0.3">
      <c r="A29" s="97" t="s">
        <v>180</v>
      </c>
      <c r="B29" s="98" t="s">
        <v>203</v>
      </c>
      <c r="C29" s="99" t="s">
        <v>276</v>
      </c>
      <c r="D29" s="100" t="s">
        <v>277</v>
      </c>
      <c r="E29" s="101" t="s">
        <v>178</v>
      </c>
      <c r="F29" s="102" t="s">
        <v>235</v>
      </c>
      <c r="G29" s="102" t="s">
        <v>231</v>
      </c>
      <c r="H29" s="103" t="s">
        <v>179</v>
      </c>
      <c r="I29" s="102" t="s">
        <v>236</v>
      </c>
      <c r="J29" s="102" t="s">
        <v>228</v>
      </c>
      <c r="K29" s="104" t="s">
        <v>229</v>
      </c>
      <c r="L29" s="254" t="s">
        <v>237</v>
      </c>
      <c r="M29" s="69"/>
    </row>
    <row r="30" spans="1:13" s="91" customFormat="1" x14ac:dyDescent="0.3">
      <c r="A30" s="86"/>
      <c r="B30" s="87"/>
      <c r="C30" s="88"/>
      <c r="D30" s="87"/>
      <c r="E30" s="87"/>
      <c r="F30" s="89"/>
      <c r="G30" s="89">
        <v>3</v>
      </c>
      <c r="H30" s="89">
        <v>1.5</v>
      </c>
      <c r="I30" s="89">
        <v>10</v>
      </c>
      <c r="J30" s="89"/>
      <c r="K30" s="90">
        <f>G30*H30*I30</f>
        <v>45</v>
      </c>
      <c r="L30" s="255"/>
      <c r="M30" s="69"/>
    </row>
    <row r="31" spans="1:13" s="91" customFormat="1" ht="15" thickBot="1" x14ac:dyDescent="0.35">
      <c r="A31" s="257"/>
      <c r="B31" s="258"/>
      <c r="C31" s="258"/>
      <c r="D31" s="92"/>
      <c r="E31" s="92"/>
      <c r="F31" s="93"/>
      <c r="G31" s="93"/>
      <c r="H31" s="94"/>
      <c r="I31" s="95"/>
      <c r="J31" s="95">
        <f>SUM(K30)</f>
        <v>45</v>
      </c>
      <c r="K31" s="96" t="str">
        <f>D29</f>
        <v>M2</v>
      </c>
      <c r="L31" s="256"/>
      <c r="M31" s="69"/>
    </row>
    <row r="32" spans="1:13" s="91" customFormat="1" ht="30.6" x14ac:dyDescent="0.3">
      <c r="A32" s="97" t="s">
        <v>327</v>
      </c>
      <c r="B32" s="98" t="s">
        <v>326</v>
      </c>
      <c r="C32" s="99" t="s">
        <v>325</v>
      </c>
      <c r="D32" s="100" t="s">
        <v>277</v>
      </c>
      <c r="E32" s="101" t="s">
        <v>178</v>
      </c>
      <c r="F32" s="102" t="s">
        <v>235</v>
      </c>
      <c r="G32" s="81" t="s">
        <v>231</v>
      </c>
      <c r="H32" s="82" t="s">
        <v>232</v>
      </c>
      <c r="I32" s="102" t="s">
        <v>236</v>
      </c>
      <c r="J32" s="102" t="s">
        <v>228</v>
      </c>
      <c r="K32" s="104" t="s">
        <v>229</v>
      </c>
      <c r="L32" s="254" t="s">
        <v>337</v>
      </c>
      <c r="M32" s="69"/>
    </row>
    <row r="33" spans="1:21" s="91" customFormat="1" x14ac:dyDescent="0.3">
      <c r="A33" s="86"/>
      <c r="B33" s="87"/>
      <c r="C33" s="88"/>
      <c r="D33" s="87"/>
      <c r="E33" s="87"/>
      <c r="F33" s="89"/>
      <c r="G33" s="112">
        <v>6</v>
      </c>
      <c r="H33" s="113">
        <f>I37</f>
        <v>64000</v>
      </c>
      <c r="I33" s="89"/>
      <c r="J33" s="89"/>
      <c r="K33" s="90">
        <f>G33*H33</f>
        <v>384000</v>
      </c>
      <c r="L33" s="255"/>
      <c r="M33" s="69"/>
    </row>
    <row r="34" spans="1:21" s="91" customFormat="1" ht="15" thickBot="1" x14ac:dyDescent="0.35">
      <c r="A34" s="257"/>
      <c r="B34" s="258"/>
      <c r="C34" s="258"/>
      <c r="D34" s="92"/>
      <c r="E34" s="92"/>
      <c r="F34" s="93"/>
      <c r="G34" s="93"/>
      <c r="H34" s="94"/>
      <c r="I34" s="95"/>
      <c r="J34" s="95">
        <f>SUM(K33)</f>
        <v>384000</v>
      </c>
      <c r="K34" s="96" t="str">
        <f>D32</f>
        <v>M2</v>
      </c>
      <c r="L34" s="256"/>
      <c r="M34" s="69"/>
    </row>
    <row r="35" spans="1:21" ht="15" thickBot="1" x14ac:dyDescent="0.35">
      <c r="A35" s="260" t="s">
        <v>316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2"/>
      <c r="M35" s="69"/>
    </row>
    <row r="36" spans="1:21" s="111" customFormat="1" ht="30.6" x14ac:dyDescent="0.3">
      <c r="A36" s="97"/>
      <c r="B36" s="98"/>
      <c r="C36" s="99" t="s">
        <v>238</v>
      </c>
      <c r="D36" s="100" t="s">
        <v>239</v>
      </c>
      <c r="E36" s="106" t="s">
        <v>240</v>
      </c>
      <c r="F36" s="106" t="s">
        <v>242</v>
      </c>
      <c r="G36" s="106" t="s">
        <v>241</v>
      </c>
      <c r="H36" s="106" t="s">
        <v>242</v>
      </c>
      <c r="I36" s="107" t="s">
        <v>232</v>
      </c>
      <c r="J36" s="108" t="s">
        <v>228</v>
      </c>
      <c r="K36" s="109" t="s">
        <v>229</v>
      </c>
      <c r="L36" s="264" t="s">
        <v>294</v>
      </c>
      <c r="M36" s="69"/>
      <c r="N36" s="110" t="s">
        <v>243</v>
      </c>
      <c r="O36" s="110" t="s">
        <v>231</v>
      </c>
    </row>
    <row r="37" spans="1:21" s="111" customFormat="1" x14ac:dyDescent="0.3">
      <c r="A37" s="86"/>
      <c r="B37" s="87"/>
      <c r="C37" s="88" t="s">
        <v>334</v>
      </c>
      <c r="D37" s="87"/>
      <c r="E37" s="87"/>
      <c r="F37" s="112"/>
      <c r="G37" s="112"/>
      <c r="H37" s="112"/>
      <c r="I37" s="151">
        <v>64000</v>
      </c>
      <c r="J37" s="112"/>
      <c r="K37" s="114">
        <f>I37</f>
        <v>64000</v>
      </c>
      <c r="L37" s="265"/>
      <c r="M37" s="69"/>
      <c r="N37" s="125">
        <f>I37*6</f>
        <v>384000</v>
      </c>
      <c r="O37" s="126">
        <f t="shared" ref="O37:O43" si="0">ROUND(N37/K37,2)</f>
        <v>6</v>
      </c>
      <c r="P37" s="121"/>
    </row>
    <row r="38" spans="1:21" s="111" customFormat="1" hidden="1" x14ac:dyDescent="0.3">
      <c r="A38" s="86"/>
      <c r="B38" s="87"/>
      <c r="C38" s="88"/>
      <c r="D38" s="87"/>
      <c r="E38" s="87"/>
      <c r="F38" s="112"/>
      <c r="G38" s="112"/>
      <c r="H38" s="113"/>
      <c r="I38" s="113"/>
      <c r="J38" s="112"/>
      <c r="K38" s="114">
        <f>I38</f>
        <v>0</v>
      </c>
      <c r="L38" s="265"/>
      <c r="M38" s="69"/>
      <c r="N38" s="125">
        <v>17713.89</v>
      </c>
      <c r="O38" s="126" t="e">
        <f t="shared" si="0"/>
        <v>#DIV/0!</v>
      </c>
      <c r="P38" s="121"/>
      <c r="Q38" s="121"/>
    </row>
    <row r="39" spans="1:21" s="111" customFormat="1" hidden="1" x14ac:dyDescent="0.3">
      <c r="A39" s="86"/>
      <c r="B39" s="87"/>
      <c r="C39" s="88"/>
      <c r="D39" s="87"/>
      <c r="E39" s="87"/>
      <c r="F39" s="112"/>
      <c r="G39" s="112"/>
      <c r="H39" s="113"/>
      <c r="I39" s="113"/>
      <c r="J39" s="112"/>
      <c r="K39" s="114">
        <f>I39</f>
        <v>0</v>
      </c>
      <c r="L39" s="265"/>
      <c r="M39" s="69"/>
      <c r="N39" s="125">
        <v>21173.940000000002</v>
      </c>
      <c r="O39" s="126" t="e">
        <f t="shared" si="0"/>
        <v>#DIV/0!</v>
      </c>
      <c r="P39" s="121"/>
    </row>
    <row r="40" spans="1:21" s="111" customFormat="1" hidden="1" x14ac:dyDescent="0.3">
      <c r="A40" s="86"/>
      <c r="B40" s="87"/>
      <c r="C40" s="88"/>
      <c r="D40" s="87"/>
      <c r="E40" s="87"/>
      <c r="F40" s="112"/>
      <c r="G40" s="112"/>
      <c r="H40" s="113"/>
      <c r="I40" s="113"/>
      <c r="J40" s="112"/>
      <c r="K40" s="114">
        <f t="shared" ref="K40:K43" si="1">I40</f>
        <v>0</v>
      </c>
      <c r="L40" s="265"/>
      <c r="M40" s="69"/>
      <c r="N40" s="125">
        <v>29939.87</v>
      </c>
      <c r="O40" s="126" t="e">
        <f t="shared" si="0"/>
        <v>#DIV/0!</v>
      </c>
      <c r="P40" s="121"/>
    </row>
    <row r="41" spans="1:21" s="111" customFormat="1" hidden="1" x14ac:dyDescent="0.3">
      <c r="A41" s="86"/>
      <c r="B41" s="87"/>
      <c r="C41" s="88"/>
      <c r="D41" s="87"/>
      <c r="E41" s="87"/>
      <c r="F41" s="112"/>
      <c r="G41" s="112"/>
      <c r="H41" s="113"/>
      <c r="I41" s="113"/>
      <c r="J41" s="112"/>
      <c r="K41" s="114">
        <f t="shared" si="1"/>
        <v>0</v>
      </c>
      <c r="L41" s="265"/>
      <c r="M41" s="69"/>
      <c r="N41" s="125">
        <v>5638.93</v>
      </c>
      <c r="O41" s="126" t="e">
        <f t="shared" si="0"/>
        <v>#DIV/0!</v>
      </c>
      <c r="P41" s="121"/>
    </row>
    <row r="42" spans="1:21" s="111" customFormat="1" hidden="1" x14ac:dyDescent="0.3">
      <c r="A42" s="86"/>
      <c r="B42" s="87"/>
      <c r="C42" s="88"/>
      <c r="D42" s="87"/>
      <c r="E42" s="87"/>
      <c r="F42" s="112"/>
      <c r="G42" s="112"/>
      <c r="H42" s="113"/>
      <c r="I42" s="113"/>
      <c r="J42" s="112"/>
      <c r="K42" s="114">
        <f t="shared" si="1"/>
        <v>0</v>
      </c>
      <c r="L42" s="265"/>
      <c r="M42" s="69"/>
      <c r="N42" s="125">
        <v>69638.36</v>
      </c>
      <c r="O42" s="126" t="e">
        <f t="shared" si="0"/>
        <v>#DIV/0!</v>
      </c>
      <c r="P42" s="121"/>
    </row>
    <row r="43" spans="1:21" s="111" customFormat="1" hidden="1" x14ac:dyDescent="0.3">
      <c r="A43" s="86"/>
      <c r="B43" s="87"/>
      <c r="C43" s="88"/>
      <c r="D43" s="87"/>
      <c r="E43" s="87"/>
      <c r="F43" s="112"/>
      <c r="G43" s="112"/>
      <c r="H43" s="113"/>
      <c r="I43" s="113"/>
      <c r="J43" s="112"/>
      <c r="K43" s="114">
        <f t="shared" si="1"/>
        <v>0</v>
      </c>
      <c r="L43" s="265"/>
      <c r="M43" s="69"/>
      <c r="N43" s="125">
        <f>8800+158.81</f>
        <v>8958.81</v>
      </c>
      <c r="O43" s="126" t="e">
        <f t="shared" si="0"/>
        <v>#DIV/0!</v>
      </c>
      <c r="P43" s="121"/>
      <c r="Q43" s="121"/>
    </row>
    <row r="44" spans="1:21" s="111" customFormat="1" ht="15" thickBot="1" x14ac:dyDescent="0.35">
      <c r="A44" s="267"/>
      <c r="B44" s="268"/>
      <c r="C44" s="269"/>
      <c r="D44" s="92"/>
      <c r="E44" s="92"/>
      <c r="F44" s="115"/>
      <c r="G44" s="115"/>
      <c r="H44" s="116"/>
      <c r="I44" s="117"/>
      <c r="J44" s="117">
        <f>SUM(K37:K43)</f>
        <v>64000</v>
      </c>
      <c r="K44" s="118" t="str">
        <f>D36</f>
        <v>M</v>
      </c>
      <c r="L44" s="266"/>
      <c r="M44" s="69"/>
      <c r="P44" s="121"/>
    </row>
    <row r="45" spans="1:21" s="85" customFormat="1" ht="40.799999999999997" x14ac:dyDescent="0.3">
      <c r="A45" s="76" t="s">
        <v>180</v>
      </c>
      <c r="B45" s="77">
        <v>98525</v>
      </c>
      <c r="C45" s="128" t="s">
        <v>320</v>
      </c>
      <c r="D45" s="100" t="s">
        <v>277</v>
      </c>
      <c r="E45" s="80" t="s">
        <v>178</v>
      </c>
      <c r="F45" s="81" t="s">
        <v>235</v>
      </c>
      <c r="G45" s="81" t="s">
        <v>284</v>
      </c>
      <c r="H45" s="82" t="s">
        <v>232</v>
      </c>
      <c r="I45" s="119" t="s">
        <v>244</v>
      </c>
      <c r="J45" s="81" t="s">
        <v>321</v>
      </c>
      <c r="K45" s="83" t="s">
        <v>229</v>
      </c>
      <c r="L45" s="254" t="s">
        <v>338</v>
      </c>
      <c r="M45" s="69"/>
      <c r="N45" s="91"/>
      <c r="O45" s="91"/>
      <c r="P45" s="91"/>
      <c r="Q45" s="91"/>
      <c r="R45" s="91"/>
      <c r="S45" s="91"/>
      <c r="T45" s="91"/>
      <c r="U45" s="91"/>
    </row>
    <row r="46" spans="1:21" s="111" customFormat="1" x14ac:dyDescent="0.3">
      <c r="A46" s="86"/>
      <c r="B46" s="87"/>
      <c r="C46" s="88" t="str">
        <f t="shared" ref="C46:C52" si="2">C37</f>
        <v xml:space="preserve">DIVERSOS TRECHOS </v>
      </c>
      <c r="D46" s="87"/>
      <c r="E46" s="87"/>
      <c r="F46" s="112"/>
      <c r="G46" s="112"/>
      <c r="H46" s="113">
        <f>J44</f>
        <v>64000</v>
      </c>
      <c r="I46" s="112"/>
      <c r="J46" s="112">
        <v>1.2</v>
      </c>
      <c r="K46" s="114">
        <f>ROUND((J46*H46),2)</f>
        <v>76800</v>
      </c>
      <c r="L46" s="255"/>
      <c r="M46" s="69"/>
      <c r="N46" s="91"/>
      <c r="O46" s="91"/>
      <c r="P46" s="91"/>
      <c r="Q46" s="91"/>
      <c r="R46" s="91"/>
      <c r="S46" s="91"/>
      <c r="T46" s="91"/>
      <c r="U46" s="91"/>
    </row>
    <row r="47" spans="1:21" s="111" customFormat="1" hidden="1" x14ac:dyDescent="0.3">
      <c r="A47" s="86"/>
      <c r="B47" s="87"/>
      <c r="C47" s="88">
        <f t="shared" si="2"/>
        <v>0</v>
      </c>
      <c r="D47" s="87"/>
      <c r="E47" s="87"/>
      <c r="F47" s="112"/>
      <c r="G47" s="112"/>
      <c r="H47" s="113"/>
      <c r="I47" s="112"/>
      <c r="J47" s="112"/>
      <c r="K47" s="114">
        <f t="shared" ref="K47:K52" si="3">G47</f>
        <v>0</v>
      </c>
      <c r="L47" s="255"/>
      <c r="M47" s="69"/>
      <c r="N47" s="91"/>
      <c r="O47" s="91"/>
      <c r="P47" s="91"/>
      <c r="Q47" s="91"/>
      <c r="R47" s="91"/>
      <c r="S47" s="91"/>
      <c r="T47" s="91"/>
      <c r="U47" s="91"/>
    </row>
    <row r="48" spans="1:21" s="111" customFormat="1" hidden="1" x14ac:dyDescent="0.3">
      <c r="A48" s="86"/>
      <c r="B48" s="87"/>
      <c r="C48" s="88">
        <f t="shared" si="2"/>
        <v>0</v>
      </c>
      <c r="D48" s="87"/>
      <c r="E48" s="87"/>
      <c r="F48" s="112"/>
      <c r="G48" s="112"/>
      <c r="H48" s="113"/>
      <c r="I48" s="112"/>
      <c r="J48" s="112"/>
      <c r="K48" s="114">
        <f t="shared" si="3"/>
        <v>0</v>
      </c>
      <c r="L48" s="255"/>
      <c r="M48" s="69"/>
      <c r="N48" s="91"/>
      <c r="O48" s="91"/>
      <c r="P48" s="91"/>
      <c r="Q48" s="91"/>
      <c r="R48" s="91"/>
      <c r="S48" s="91"/>
      <c r="T48" s="91"/>
      <c r="U48" s="91"/>
    </row>
    <row r="49" spans="1:21" s="111" customFormat="1" hidden="1" x14ac:dyDescent="0.3">
      <c r="A49" s="86"/>
      <c r="B49" s="87"/>
      <c r="C49" s="88">
        <f t="shared" si="2"/>
        <v>0</v>
      </c>
      <c r="D49" s="87"/>
      <c r="E49" s="87"/>
      <c r="F49" s="112"/>
      <c r="G49" s="112"/>
      <c r="H49" s="113"/>
      <c r="I49" s="112"/>
      <c r="J49" s="112"/>
      <c r="K49" s="114">
        <f t="shared" si="3"/>
        <v>0</v>
      </c>
      <c r="L49" s="255"/>
      <c r="M49" s="69"/>
      <c r="N49" s="91"/>
      <c r="O49" s="91"/>
      <c r="P49" s="91"/>
      <c r="Q49" s="91"/>
      <c r="R49" s="91"/>
      <c r="S49" s="91"/>
      <c r="T49" s="91"/>
      <c r="U49" s="91"/>
    </row>
    <row r="50" spans="1:21" s="111" customFormat="1" hidden="1" x14ac:dyDescent="0.3">
      <c r="A50" s="86"/>
      <c r="B50" s="87"/>
      <c r="C50" s="88">
        <f t="shared" si="2"/>
        <v>0</v>
      </c>
      <c r="D50" s="87"/>
      <c r="E50" s="87"/>
      <c r="F50" s="112"/>
      <c r="G50" s="112"/>
      <c r="H50" s="113"/>
      <c r="I50" s="112"/>
      <c r="J50" s="112"/>
      <c r="K50" s="114">
        <f t="shared" si="3"/>
        <v>0</v>
      </c>
      <c r="L50" s="255"/>
      <c r="M50" s="69"/>
      <c r="N50" s="91"/>
      <c r="O50" s="91"/>
      <c r="P50" s="91"/>
      <c r="Q50" s="91"/>
      <c r="R50" s="91"/>
      <c r="S50" s="91"/>
      <c r="T50" s="91"/>
      <c r="U50" s="91"/>
    </row>
    <row r="51" spans="1:21" s="111" customFormat="1" hidden="1" x14ac:dyDescent="0.3">
      <c r="A51" s="86"/>
      <c r="B51" s="87"/>
      <c r="C51" s="88">
        <f t="shared" si="2"/>
        <v>0</v>
      </c>
      <c r="D51" s="87"/>
      <c r="E51" s="87"/>
      <c r="F51" s="112"/>
      <c r="G51" s="112"/>
      <c r="H51" s="113"/>
      <c r="I51" s="112"/>
      <c r="J51" s="112"/>
      <c r="K51" s="114">
        <f t="shared" si="3"/>
        <v>0</v>
      </c>
      <c r="L51" s="255"/>
      <c r="M51" s="69"/>
      <c r="N51" s="91"/>
      <c r="O51" s="91"/>
      <c r="P51" s="91"/>
      <c r="Q51" s="91"/>
      <c r="R51" s="91"/>
      <c r="S51" s="91"/>
      <c r="T51" s="91"/>
      <c r="U51" s="91"/>
    </row>
    <row r="52" spans="1:21" s="111" customFormat="1" hidden="1" x14ac:dyDescent="0.3">
      <c r="A52" s="86"/>
      <c r="B52" s="87"/>
      <c r="C52" s="88">
        <f t="shared" si="2"/>
        <v>0</v>
      </c>
      <c r="D52" s="87"/>
      <c r="E52" s="87"/>
      <c r="F52" s="112"/>
      <c r="G52" s="112"/>
      <c r="H52" s="113"/>
      <c r="I52" s="112"/>
      <c r="J52" s="112"/>
      <c r="K52" s="114">
        <f t="shared" si="3"/>
        <v>0</v>
      </c>
      <c r="L52" s="255"/>
      <c r="M52" s="69"/>
      <c r="N52" s="91"/>
      <c r="O52" s="91"/>
      <c r="P52" s="91"/>
      <c r="Q52" s="91"/>
      <c r="R52" s="91"/>
      <c r="S52" s="91"/>
      <c r="T52" s="91"/>
      <c r="U52" s="91"/>
    </row>
    <row r="53" spans="1:21" s="85" customFormat="1" ht="15" thickBot="1" x14ac:dyDescent="0.35">
      <c r="A53" s="257"/>
      <c r="B53" s="258"/>
      <c r="C53" s="258"/>
      <c r="D53" s="92"/>
      <c r="E53" s="92"/>
      <c r="F53" s="93"/>
      <c r="G53" s="93"/>
      <c r="H53" s="94"/>
      <c r="I53" s="95"/>
      <c r="J53" s="95">
        <f>SUM(K46:K52)</f>
        <v>76800</v>
      </c>
      <c r="K53" s="96" t="str">
        <f>D45</f>
        <v>M2</v>
      </c>
      <c r="L53" s="256"/>
      <c r="M53" s="69"/>
      <c r="N53" s="91"/>
      <c r="O53" s="91"/>
      <c r="P53" s="91"/>
      <c r="Q53" s="91"/>
      <c r="R53" s="91"/>
      <c r="S53" s="91"/>
      <c r="T53" s="91"/>
      <c r="U53" s="91"/>
    </row>
    <row r="54" spans="1:21" s="85" customFormat="1" ht="40.799999999999997" x14ac:dyDescent="0.3">
      <c r="A54" s="76" t="s">
        <v>180</v>
      </c>
      <c r="B54" s="77" t="s">
        <v>204</v>
      </c>
      <c r="C54" s="78" t="s">
        <v>278</v>
      </c>
      <c r="D54" s="79" t="s">
        <v>279</v>
      </c>
      <c r="E54" s="80" t="s">
        <v>178</v>
      </c>
      <c r="F54" s="81" t="s">
        <v>235</v>
      </c>
      <c r="G54" s="81" t="s">
        <v>231</v>
      </c>
      <c r="H54" s="82" t="s">
        <v>232</v>
      </c>
      <c r="I54" s="119" t="s">
        <v>244</v>
      </c>
      <c r="J54" s="81" t="s">
        <v>179</v>
      </c>
      <c r="K54" s="83" t="s">
        <v>229</v>
      </c>
      <c r="L54" s="254" t="s">
        <v>245</v>
      </c>
      <c r="M54" s="69"/>
      <c r="N54" s="110" t="s">
        <v>246</v>
      </c>
      <c r="O54" s="110" t="s">
        <v>247</v>
      </c>
      <c r="P54" s="110" t="s">
        <v>248</v>
      </c>
      <c r="Q54" s="110" t="s">
        <v>249</v>
      </c>
    </row>
    <row r="55" spans="1:21" s="111" customFormat="1" x14ac:dyDescent="0.3">
      <c r="A55" s="86"/>
      <c r="B55" s="87"/>
      <c r="C55" s="88" t="str">
        <f t="shared" ref="C55:C61" si="4">C46</f>
        <v xml:space="preserve">DIVERSOS TRECHOS </v>
      </c>
      <c r="D55" s="87"/>
      <c r="E55" s="87"/>
      <c r="F55" s="112"/>
      <c r="G55" s="112">
        <v>6</v>
      </c>
      <c r="H55" s="113">
        <f t="shared" ref="H55:H61" si="5">K37</f>
        <v>64000</v>
      </c>
      <c r="I55" s="112"/>
      <c r="J55" s="112">
        <v>0.05</v>
      </c>
      <c r="K55" s="114">
        <f t="shared" ref="K55:K61" si="6">ROUND((G55*H55+I55)*J55,2)</f>
        <v>19200</v>
      </c>
      <c r="L55" s="255"/>
      <c r="M55" s="69"/>
      <c r="N55" s="125">
        <f>ROUND(G55*H55,2)</f>
        <v>384000</v>
      </c>
      <c r="O55" s="125">
        <f t="shared" ref="O55:O61" si="7">ROUND(G55*H55+P55,2)</f>
        <v>384000</v>
      </c>
      <c r="P55" s="125">
        <f>N37-N55</f>
        <v>0</v>
      </c>
      <c r="Q55" s="120">
        <f t="shared" ref="Q55:Q61" si="8">O55-N37</f>
        <v>0</v>
      </c>
      <c r="S55" s="85"/>
      <c r="T55" s="85"/>
    </row>
    <row r="56" spans="1:21" s="111" customFormat="1" hidden="1" x14ac:dyDescent="0.3">
      <c r="A56" s="86"/>
      <c r="B56" s="87"/>
      <c r="C56" s="88">
        <f t="shared" si="4"/>
        <v>0</v>
      </c>
      <c r="D56" s="87"/>
      <c r="E56" s="87"/>
      <c r="F56" s="112"/>
      <c r="G56" s="112"/>
      <c r="H56" s="113">
        <f t="shared" si="5"/>
        <v>0</v>
      </c>
      <c r="I56" s="112">
        <f>P56</f>
        <v>17713.89</v>
      </c>
      <c r="J56" s="112">
        <f>J55</f>
        <v>0.05</v>
      </c>
      <c r="K56" s="114">
        <f t="shared" si="6"/>
        <v>885.69</v>
      </c>
      <c r="L56" s="255"/>
      <c r="M56" s="69"/>
      <c r="N56" s="125">
        <f t="shared" ref="N56:N61" si="9">ROUND(G56*H56,2)</f>
        <v>0</v>
      </c>
      <c r="O56" s="125">
        <f t="shared" si="7"/>
        <v>17713.89</v>
      </c>
      <c r="P56" s="125">
        <f>N38-N56</f>
        <v>17713.89</v>
      </c>
      <c r="Q56" s="120">
        <f t="shared" si="8"/>
        <v>0</v>
      </c>
      <c r="S56" s="85"/>
      <c r="T56" s="85"/>
    </row>
    <row r="57" spans="1:21" s="111" customFormat="1" hidden="1" x14ac:dyDescent="0.3">
      <c r="A57" s="86"/>
      <c r="B57" s="87"/>
      <c r="C57" s="88">
        <f t="shared" si="4"/>
        <v>0</v>
      </c>
      <c r="D57" s="87"/>
      <c r="E57" s="87"/>
      <c r="F57" s="112"/>
      <c r="G57" s="112"/>
      <c r="H57" s="113">
        <f t="shared" si="5"/>
        <v>0</v>
      </c>
      <c r="I57" s="112">
        <f t="shared" ref="I57:I61" si="10">P57</f>
        <v>21173.940000000002</v>
      </c>
      <c r="J57" s="112">
        <f t="shared" ref="J57:J61" si="11">J56</f>
        <v>0.05</v>
      </c>
      <c r="K57" s="114">
        <f t="shared" si="6"/>
        <v>1058.7</v>
      </c>
      <c r="L57" s="255"/>
      <c r="M57" s="69"/>
      <c r="N57" s="125">
        <f t="shared" si="9"/>
        <v>0</v>
      </c>
      <c r="O57" s="125">
        <f t="shared" si="7"/>
        <v>21173.94</v>
      </c>
      <c r="P57" s="125">
        <f>N39-N57</f>
        <v>21173.940000000002</v>
      </c>
      <c r="Q57" s="120">
        <f t="shared" si="8"/>
        <v>0</v>
      </c>
      <c r="S57" s="85"/>
      <c r="T57" s="85"/>
    </row>
    <row r="58" spans="1:21" s="111" customFormat="1" hidden="1" x14ac:dyDescent="0.3">
      <c r="A58" s="86"/>
      <c r="B58" s="87"/>
      <c r="C58" s="88">
        <f t="shared" si="4"/>
        <v>0</v>
      </c>
      <c r="D58" s="87"/>
      <c r="E58" s="87"/>
      <c r="F58" s="112"/>
      <c r="G58" s="112"/>
      <c r="H58" s="113">
        <f t="shared" si="5"/>
        <v>0</v>
      </c>
      <c r="I58" s="112">
        <f>P58</f>
        <v>29939.87</v>
      </c>
      <c r="J58" s="112">
        <f t="shared" si="11"/>
        <v>0.05</v>
      </c>
      <c r="K58" s="114">
        <f>ROUND((G58*H58+I58)*J58,2)</f>
        <v>1496.99</v>
      </c>
      <c r="L58" s="255"/>
      <c r="M58" s="69"/>
      <c r="N58" s="125">
        <f t="shared" si="9"/>
        <v>0</v>
      </c>
      <c r="O58" s="125">
        <f t="shared" si="7"/>
        <v>29939.87</v>
      </c>
      <c r="P58" s="125">
        <f>N40-N58</f>
        <v>29939.87</v>
      </c>
      <c r="Q58" s="120">
        <f t="shared" si="8"/>
        <v>0</v>
      </c>
      <c r="S58" s="85"/>
      <c r="T58" s="85"/>
    </row>
    <row r="59" spans="1:21" s="111" customFormat="1" hidden="1" x14ac:dyDescent="0.3">
      <c r="A59" s="86"/>
      <c r="B59" s="87"/>
      <c r="C59" s="88">
        <f t="shared" si="4"/>
        <v>0</v>
      </c>
      <c r="D59" s="87"/>
      <c r="E59" s="87"/>
      <c r="F59" s="112"/>
      <c r="G59" s="112"/>
      <c r="H59" s="113">
        <f t="shared" si="5"/>
        <v>0</v>
      </c>
      <c r="I59" s="112">
        <f>P59</f>
        <v>5638.93</v>
      </c>
      <c r="J59" s="112">
        <f t="shared" si="11"/>
        <v>0.05</v>
      </c>
      <c r="K59" s="114">
        <f t="shared" si="6"/>
        <v>281.95</v>
      </c>
      <c r="L59" s="255"/>
      <c r="M59" s="69"/>
      <c r="N59" s="125">
        <f t="shared" si="9"/>
        <v>0</v>
      </c>
      <c r="O59" s="125">
        <f>ROUND(G59*H59,2)+P59</f>
        <v>5638.93</v>
      </c>
      <c r="P59" s="125">
        <f>ROUND(N41-N59,2)</f>
        <v>5638.93</v>
      </c>
      <c r="Q59" s="120">
        <f t="shared" si="8"/>
        <v>0</v>
      </c>
      <c r="S59" s="85"/>
      <c r="T59" s="85"/>
    </row>
    <row r="60" spans="1:21" s="111" customFormat="1" hidden="1" x14ac:dyDescent="0.3">
      <c r="A60" s="86"/>
      <c r="B60" s="87"/>
      <c r="C60" s="88">
        <f t="shared" si="4"/>
        <v>0</v>
      </c>
      <c r="D60" s="87"/>
      <c r="E60" s="87"/>
      <c r="F60" s="112"/>
      <c r="G60" s="112"/>
      <c r="H60" s="113">
        <f>K42</f>
        <v>0</v>
      </c>
      <c r="I60" s="112">
        <f t="shared" si="10"/>
        <v>69638.36</v>
      </c>
      <c r="J60" s="112">
        <f t="shared" si="11"/>
        <v>0.05</v>
      </c>
      <c r="K60" s="114">
        <f t="shared" si="6"/>
        <v>3481.92</v>
      </c>
      <c r="L60" s="255"/>
      <c r="M60" s="69"/>
      <c r="N60" s="125">
        <f>ROUND(G60*H60,2)</f>
        <v>0</v>
      </c>
      <c r="O60" s="125">
        <f t="shared" si="7"/>
        <v>69638.36</v>
      </c>
      <c r="P60" s="125">
        <f>N42-N60</f>
        <v>69638.36</v>
      </c>
      <c r="Q60" s="120">
        <f t="shared" si="8"/>
        <v>0</v>
      </c>
      <c r="S60" s="85"/>
      <c r="T60" s="85"/>
    </row>
    <row r="61" spans="1:21" s="111" customFormat="1" hidden="1" x14ac:dyDescent="0.3">
      <c r="A61" s="86"/>
      <c r="B61" s="87"/>
      <c r="C61" s="88">
        <f t="shared" si="4"/>
        <v>0</v>
      </c>
      <c r="D61" s="87"/>
      <c r="E61" s="87"/>
      <c r="F61" s="112"/>
      <c r="G61" s="112"/>
      <c r="H61" s="113">
        <f t="shared" si="5"/>
        <v>0</v>
      </c>
      <c r="I61" s="112">
        <f t="shared" si="10"/>
        <v>8958.81</v>
      </c>
      <c r="J61" s="112">
        <f t="shared" si="11"/>
        <v>0.05</v>
      </c>
      <c r="K61" s="114">
        <f t="shared" si="6"/>
        <v>447.94</v>
      </c>
      <c r="L61" s="255"/>
      <c r="M61" s="69"/>
      <c r="N61" s="125">
        <f t="shared" si="9"/>
        <v>0</v>
      </c>
      <c r="O61" s="125">
        <f t="shared" si="7"/>
        <v>8958.81</v>
      </c>
      <c r="P61" s="125">
        <f>N43-N61</f>
        <v>8958.81</v>
      </c>
      <c r="Q61" s="120">
        <f t="shared" si="8"/>
        <v>0</v>
      </c>
      <c r="S61" s="85"/>
      <c r="T61" s="85"/>
    </row>
    <row r="62" spans="1:21" s="85" customFormat="1" ht="15" thickBot="1" x14ac:dyDescent="0.35">
      <c r="A62" s="257"/>
      <c r="B62" s="258"/>
      <c r="C62" s="258"/>
      <c r="D62" s="92"/>
      <c r="E62" s="92"/>
      <c r="F62" s="93"/>
      <c r="G62" s="93"/>
      <c r="H62" s="94"/>
      <c r="I62" s="95"/>
      <c r="J62" s="95">
        <f>SUM(K55:K61)</f>
        <v>26853.19</v>
      </c>
      <c r="K62" s="96" t="str">
        <f>D54</f>
        <v>M3</v>
      </c>
      <c r="L62" s="256"/>
      <c r="M62" s="69"/>
    </row>
    <row r="63" spans="1:21" s="85" customFormat="1" ht="22.5" hidden="1" customHeight="1" x14ac:dyDescent="0.3">
      <c r="A63" s="76" t="s">
        <v>206</v>
      </c>
      <c r="B63" s="77" t="s">
        <v>207</v>
      </c>
      <c r="C63" s="78" t="s">
        <v>259</v>
      </c>
      <c r="D63" s="79" t="s">
        <v>53</v>
      </c>
      <c r="E63" s="80" t="s">
        <v>178</v>
      </c>
      <c r="F63" s="81" t="s">
        <v>235</v>
      </c>
      <c r="G63" s="81" t="s">
        <v>284</v>
      </c>
      <c r="H63" s="82" t="s">
        <v>232</v>
      </c>
      <c r="I63" s="119" t="s">
        <v>244</v>
      </c>
      <c r="J63" s="81" t="s">
        <v>179</v>
      </c>
      <c r="K63" s="83" t="s">
        <v>229</v>
      </c>
      <c r="L63" s="254" t="s">
        <v>285</v>
      </c>
      <c r="M63" s="69"/>
      <c r="N63" s="91"/>
      <c r="O63" s="91"/>
      <c r="P63" s="91"/>
      <c r="Q63" s="91"/>
      <c r="R63" s="91"/>
      <c r="S63" s="91"/>
      <c r="T63" s="91"/>
      <c r="U63" s="91"/>
    </row>
    <row r="64" spans="1:21" s="111" customFormat="1" hidden="1" x14ac:dyDescent="0.3">
      <c r="A64" s="86"/>
      <c r="B64" s="87"/>
      <c r="C64" s="88" t="str">
        <f t="shared" ref="C64:C70" si="12">C46</f>
        <v xml:space="preserve">DIVERSOS TRECHOS </v>
      </c>
      <c r="D64" s="87"/>
      <c r="E64" s="87"/>
      <c r="F64" s="112"/>
      <c r="G64" s="112">
        <v>0</v>
      </c>
      <c r="H64" s="113"/>
      <c r="I64" s="112"/>
      <c r="J64" s="112"/>
      <c r="K64" s="114">
        <f>G64</f>
        <v>0</v>
      </c>
      <c r="L64" s="255"/>
      <c r="M64" s="69"/>
      <c r="N64" s="91"/>
      <c r="O64" s="91"/>
      <c r="P64" s="91"/>
      <c r="Q64" s="91"/>
      <c r="R64" s="91"/>
      <c r="S64" s="91"/>
      <c r="T64" s="91"/>
      <c r="U64" s="91"/>
    </row>
    <row r="65" spans="1:21" s="111" customFormat="1" hidden="1" x14ac:dyDescent="0.3">
      <c r="A65" s="86"/>
      <c r="B65" s="87"/>
      <c r="C65" s="88">
        <f t="shared" si="12"/>
        <v>0</v>
      </c>
      <c r="D65" s="87"/>
      <c r="E65" s="87"/>
      <c r="F65" s="112"/>
      <c r="G65" s="112"/>
      <c r="H65" s="113"/>
      <c r="I65" s="112"/>
      <c r="J65" s="112"/>
      <c r="K65" s="114">
        <f t="shared" ref="K65:K70" si="13">G65</f>
        <v>0</v>
      </c>
      <c r="L65" s="255"/>
      <c r="M65" s="69"/>
      <c r="N65" s="91"/>
      <c r="O65" s="91"/>
      <c r="P65" s="91"/>
      <c r="Q65" s="91"/>
      <c r="R65" s="91"/>
      <c r="S65" s="91"/>
      <c r="T65" s="91"/>
      <c r="U65" s="91"/>
    </row>
    <row r="66" spans="1:21" s="111" customFormat="1" hidden="1" x14ac:dyDescent="0.3">
      <c r="A66" s="86"/>
      <c r="B66" s="87"/>
      <c r="C66" s="88">
        <f t="shared" si="12"/>
        <v>0</v>
      </c>
      <c r="D66" s="87"/>
      <c r="E66" s="87"/>
      <c r="F66" s="112"/>
      <c r="G66" s="112"/>
      <c r="H66" s="113"/>
      <c r="I66" s="112"/>
      <c r="J66" s="112"/>
      <c r="K66" s="114">
        <f t="shared" si="13"/>
        <v>0</v>
      </c>
      <c r="L66" s="255"/>
      <c r="M66" s="69"/>
      <c r="N66" s="91"/>
      <c r="O66" s="91"/>
      <c r="P66" s="91"/>
      <c r="Q66" s="91"/>
      <c r="R66" s="91"/>
      <c r="S66" s="91"/>
      <c r="T66" s="91"/>
      <c r="U66" s="91"/>
    </row>
    <row r="67" spans="1:21" s="111" customFormat="1" hidden="1" x14ac:dyDescent="0.3">
      <c r="A67" s="86"/>
      <c r="B67" s="87"/>
      <c r="C67" s="88">
        <f t="shared" si="12"/>
        <v>0</v>
      </c>
      <c r="D67" s="87"/>
      <c r="E67" s="87"/>
      <c r="F67" s="112"/>
      <c r="G67" s="112"/>
      <c r="H67" s="113"/>
      <c r="I67" s="112"/>
      <c r="J67" s="112"/>
      <c r="K67" s="114">
        <f t="shared" si="13"/>
        <v>0</v>
      </c>
      <c r="L67" s="255"/>
      <c r="M67" s="69"/>
      <c r="N67" s="91"/>
      <c r="O67" s="91"/>
      <c r="P67" s="91"/>
      <c r="Q67" s="91"/>
      <c r="R67" s="91"/>
      <c r="S67" s="91"/>
      <c r="T67" s="91"/>
      <c r="U67" s="91"/>
    </row>
    <row r="68" spans="1:21" s="111" customFormat="1" hidden="1" x14ac:dyDescent="0.3">
      <c r="A68" s="86"/>
      <c r="B68" s="87"/>
      <c r="C68" s="88">
        <f t="shared" si="12"/>
        <v>0</v>
      </c>
      <c r="D68" s="87"/>
      <c r="E68" s="87"/>
      <c r="F68" s="112"/>
      <c r="G68" s="112"/>
      <c r="H68" s="113"/>
      <c r="I68" s="112"/>
      <c r="J68" s="112"/>
      <c r="K68" s="114">
        <f t="shared" si="13"/>
        <v>0</v>
      </c>
      <c r="L68" s="255"/>
      <c r="M68" s="69"/>
      <c r="N68" s="91"/>
      <c r="O68" s="91"/>
      <c r="P68" s="91"/>
      <c r="Q68" s="91"/>
      <c r="R68" s="91"/>
      <c r="S68" s="91"/>
      <c r="T68" s="91"/>
      <c r="U68" s="91"/>
    </row>
    <row r="69" spans="1:21" s="111" customFormat="1" hidden="1" x14ac:dyDescent="0.3">
      <c r="A69" s="86"/>
      <c r="B69" s="87"/>
      <c r="C69" s="88">
        <f t="shared" si="12"/>
        <v>0</v>
      </c>
      <c r="D69" s="87"/>
      <c r="E69" s="87"/>
      <c r="F69" s="112"/>
      <c r="G69" s="112"/>
      <c r="H69" s="113"/>
      <c r="I69" s="112"/>
      <c r="J69" s="112"/>
      <c r="K69" s="114">
        <f t="shared" si="13"/>
        <v>0</v>
      </c>
      <c r="L69" s="255"/>
      <c r="M69" s="69"/>
      <c r="N69" s="91"/>
      <c r="O69" s="91"/>
      <c r="P69" s="91"/>
      <c r="Q69" s="91"/>
      <c r="R69" s="91"/>
      <c r="S69" s="91"/>
      <c r="T69" s="91"/>
      <c r="U69" s="91"/>
    </row>
    <row r="70" spans="1:21" s="111" customFormat="1" hidden="1" x14ac:dyDescent="0.3">
      <c r="A70" s="86"/>
      <c r="B70" s="87"/>
      <c r="C70" s="88">
        <f t="shared" si="12"/>
        <v>0</v>
      </c>
      <c r="D70" s="87"/>
      <c r="E70" s="87"/>
      <c r="F70" s="112"/>
      <c r="G70" s="112"/>
      <c r="H70" s="113"/>
      <c r="I70" s="112"/>
      <c r="J70" s="112"/>
      <c r="K70" s="114">
        <f t="shared" si="13"/>
        <v>0</v>
      </c>
      <c r="L70" s="255"/>
      <c r="M70" s="69"/>
      <c r="N70" s="91"/>
      <c r="O70" s="91"/>
      <c r="P70" s="91"/>
      <c r="Q70" s="91"/>
      <c r="R70" s="91"/>
      <c r="S70" s="91"/>
      <c r="T70" s="91"/>
      <c r="U70" s="91"/>
    </row>
    <row r="71" spans="1:21" s="85" customFormat="1" ht="15" hidden="1" thickBot="1" x14ac:dyDescent="0.35">
      <c r="A71" s="257"/>
      <c r="B71" s="258"/>
      <c r="C71" s="258"/>
      <c r="D71" s="92"/>
      <c r="E71" s="92"/>
      <c r="F71" s="93"/>
      <c r="G71" s="93"/>
      <c r="H71" s="94"/>
      <c r="I71" s="95"/>
      <c r="J71" s="95">
        <f>SUM(K64:K70)</f>
        <v>0</v>
      </c>
      <c r="K71" s="96" t="str">
        <f>D63</f>
        <v>m³</v>
      </c>
      <c r="L71" s="256"/>
      <c r="M71" s="69"/>
      <c r="N71" s="91"/>
      <c r="O71" s="91"/>
      <c r="P71" s="91"/>
      <c r="Q71" s="91"/>
      <c r="R71" s="91"/>
      <c r="S71" s="91"/>
      <c r="T71" s="91"/>
      <c r="U71" s="91"/>
    </row>
    <row r="72" spans="1:21" s="91" customFormat="1" ht="51" x14ac:dyDescent="0.3">
      <c r="A72" s="97" t="s">
        <v>180</v>
      </c>
      <c r="B72" s="98" t="s">
        <v>304</v>
      </c>
      <c r="C72" s="78" t="s">
        <v>305</v>
      </c>
      <c r="D72" s="79" t="s">
        <v>279</v>
      </c>
      <c r="E72" s="80" t="s">
        <v>178</v>
      </c>
      <c r="F72" s="81" t="s">
        <v>286</v>
      </c>
      <c r="G72" s="122" t="s">
        <v>322</v>
      </c>
      <c r="H72" s="122" t="s">
        <v>287</v>
      </c>
      <c r="I72" s="81" t="s">
        <v>251</v>
      </c>
      <c r="J72" s="81" t="s">
        <v>228</v>
      </c>
      <c r="K72" s="83" t="s">
        <v>229</v>
      </c>
      <c r="L72" s="254" t="s">
        <v>288</v>
      </c>
      <c r="M72" s="69"/>
    </row>
    <row r="73" spans="1:21" s="91" customFormat="1" ht="14.4" customHeight="1" x14ac:dyDescent="0.3">
      <c r="A73" s="86"/>
      <c r="B73" s="87"/>
      <c r="C73" s="88" t="str">
        <f t="shared" ref="C73:C79" si="14">C55</f>
        <v xml:space="preserve">DIVERSOS TRECHOS </v>
      </c>
      <c r="D73" s="87"/>
      <c r="E73" s="87"/>
      <c r="F73" s="89">
        <f t="shared" ref="F73" si="15">K64</f>
        <v>0</v>
      </c>
      <c r="G73" s="89">
        <f>K46*0.05</f>
        <v>3840</v>
      </c>
      <c r="H73" s="89">
        <f t="shared" ref="H73" si="16">K55</f>
        <v>19200</v>
      </c>
      <c r="I73" s="89">
        <v>1.25</v>
      </c>
      <c r="J73" s="89"/>
      <c r="K73" s="90">
        <f>ROUND((H73+G73-F73)*I73,2)</f>
        <v>28800</v>
      </c>
      <c r="L73" s="255"/>
      <c r="M73" s="69"/>
    </row>
    <row r="74" spans="1:21" s="91" customFormat="1" ht="14.4" hidden="1" customHeight="1" x14ac:dyDescent="0.3">
      <c r="A74" s="86"/>
      <c r="B74" s="87"/>
      <c r="C74" s="88">
        <f t="shared" si="14"/>
        <v>0</v>
      </c>
      <c r="D74" s="87"/>
      <c r="E74" s="87"/>
      <c r="F74" s="89"/>
      <c r="G74" s="89">
        <f t="shared" ref="G74:G79" si="17">K47</f>
        <v>0</v>
      </c>
      <c r="H74" s="89"/>
      <c r="I74" s="89">
        <f>I73</f>
        <v>1.25</v>
      </c>
      <c r="J74" s="89"/>
      <c r="K74" s="90">
        <f t="shared" ref="K74:K79" si="18">ROUND((H74+G74-F74)*I74,2)</f>
        <v>0</v>
      </c>
      <c r="L74" s="255"/>
      <c r="M74" s="69"/>
    </row>
    <row r="75" spans="1:21" s="91" customFormat="1" ht="14.4" hidden="1" customHeight="1" x14ac:dyDescent="0.3">
      <c r="A75" s="86"/>
      <c r="B75" s="87"/>
      <c r="C75" s="88">
        <f t="shared" si="14"/>
        <v>0</v>
      </c>
      <c r="D75" s="87"/>
      <c r="E75" s="87"/>
      <c r="F75" s="89"/>
      <c r="G75" s="89">
        <f t="shared" si="17"/>
        <v>0</v>
      </c>
      <c r="H75" s="89"/>
      <c r="I75" s="89">
        <f t="shared" ref="I75:I79" si="19">I74</f>
        <v>1.25</v>
      </c>
      <c r="J75" s="89"/>
      <c r="K75" s="90">
        <f t="shared" si="18"/>
        <v>0</v>
      </c>
      <c r="L75" s="255"/>
      <c r="M75" s="69"/>
    </row>
    <row r="76" spans="1:21" s="91" customFormat="1" ht="14.4" hidden="1" customHeight="1" x14ac:dyDescent="0.3">
      <c r="A76" s="86"/>
      <c r="B76" s="87"/>
      <c r="C76" s="88">
        <f t="shared" si="14"/>
        <v>0</v>
      </c>
      <c r="D76" s="87"/>
      <c r="E76" s="87"/>
      <c r="F76" s="89"/>
      <c r="G76" s="89">
        <f t="shared" si="17"/>
        <v>0</v>
      </c>
      <c r="H76" s="89"/>
      <c r="I76" s="89">
        <f t="shared" si="19"/>
        <v>1.25</v>
      </c>
      <c r="J76" s="89"/>
      <c r="K76" s="90">
        <f t="shared" si="18"/>
        <v>0</v>
      </c>
      <c r="L76" s="255"/>
      <c r="M76" s="69"/>
    </row>
    <row r="77" spans="1:21" s="91" customFormat="1" ht="14.4" hidden="1" customHeight="1" x14ac:dyDescent="0.3">
      <c r="A77" s="86"/>
      <c r="B77" s="87"/>
      <c r="C77" s="88">
        <f t="shared" si="14"/>
        <v>0</v>
      </c>
      <c r="D77" s="87"/>
      <c r="E77" s="87"/>
      <c r="F77" s="89"/>
      <c r="G77" s="89">
        <f t="shared" si="17"/>
        <v>0</v>
      </c>
      <c r="H77" s="89"/>
      <c r="I77" s="89">
        <f t="shared" si="19"/>
        <v>1.25</v>
      </c>
      <c r="J77" s="89"/>
      <c r="K77" s="90">
        <f t="shared" si="18"/>
        <v>0</v>
      </c>
      <c r="L77" s="255"/>
      <c r="M77" s="69"/>
    </row>
    <row r="78" spans="1:21" s="91" customFormat="1" ht="14.4" hidden="1" customHeight="1" x14ac:dyDescent="0.3">
      <c r="A78" s="86"/>
      <c r="B78" s="87"/>
      <c r="C78" s="88">
        <f t="shared" si="14"/>
        <v>0</v>
      </c>
      <c r="D78" s="87"/>
      <c r="E78" s="87"/>
      <c r="F78" s="89"/>
      <c r="G78" s="89">
        <f t="shared" si="17"/>
        <v>0</v>
      </c>
      <c r="H78" s="89"/>
      <c r="I78" s="89">
        <f t="shared" si="19"/>
        <v>1.25</v>
      </c>
      <c r="J78" s="89"/>
      <c r="K78" s="90">
        <f t="shared" si="18"/>
        <v>0</v>
      </c>
      <c r="L78" s="255"/>
      <c r="M78" s="69"/>
    </row>
    <row r="79" spans="1:21" s="91" customFormat="1" ht="14.4" hidden="1" customHeight="1" x14ac:dyDescent="0.3">
      <c r="A79" s="86"/>
      <c r="B79" s="87"/>
      <c r="C79" s="88">
        <f t="shared" si="14"/>
        <v>0</v>
      </c>
      <c r="D79" s="87"/>
      <c r="E79" s="87"/>
      <c r="F79" s="89"/>
      <c r="G79" s="89">
        <f t="shared" si="17"/>
        <v>0</v>
      </c>
      <c r="H79" s="89"/>
      <c r="I79" s="89">
        <f t="shared" si="19"/>
        <v>1.25</v>
      </c>
      <c r="J79" s="89"/>
      <c r="K79" s="90">
        <f t="shared" si="18"/>
        <v>0</v>
      </c>
      <c r="L79" s="255"/>
      <c r="M79" s="69"/>
    </row>
    <row r="80" spans="1:21" s="91" customFormat="1" ht="15" thickBot="1" x14ac:dyDescent="0.35">
      <c r="A80" s="257"/>
      <c r="B80" s="258"/>
      <c r="C80" s="258"/>
      <c r="D80" s="92"/>
      <c r="E80" s="92"/>
      <c r="F80" s="93"/>
      <c r="G80" s="93"/>
      <c r="H80" s="94"/>
      <c r="I80" s="95"/>
      <c r="J80" s="95">
        <f>SUM(K73:K79)</f>
        <v>28800</v>
      </c>
      <c r="K80" s="96" t="str">
        <f>D72</f>
        <v>M3</v>
      </c>
      <c r="L80" s="256"/>
      <c r="M80" s="69"/>
    </row>
    <row r="81" spans="1:13" s="91" customFormat="1" ht="30.6" x14ac:dyDescent="0.3">
      <c r="A81" s="97" t="s">
        <v>180</v>
      </c>
      <c r="B81" s="98" t="s">
        <v>313</v>
      </c>
      <c r="C81" s="78" t="s">
        <v>314</v>
      </c>
      <c r="D81" s="79" t="s">
        <v>303</v>
      </c>
      <c r="E81" s="101" t="s">
        <v>178</v>
      </c>
      <c r="F81" s="102" t="s">
        <v>235</v>
      </c>
      <c r="G81" s="102" t="s">
        <v>231</v>
      </c>
      <c r="H81" s="122" t="s">
        <v>252</v>
      </c>
      <c r="I81" s="102" t="s">
        <v>253</v>
      </c>
      <c r="J81" s="102" t="s">
        <v>298</v>
      </c>
      <c r="K81" s="104" t="s">
        <v>229</v>
      </c>
      <c r="L81" s="254" t="s">
        <v>312</v>
      </c>
      <c r="M81" s="69"/>
    </row>
    <row r="82" spans="1:13" s="91" customFormat="1" x14ac:dyDescent="0.3">
      <c r="A82" s="86"/>
      <c r="B82" s="87"/>
      <c r="C82" s="88" t="str">
        <f t="shared" ref="C82:C88" si="20">C73</f>
        <v xml:space="preserve">DIVERSOS TRECHOS </v>
      </c>
      <c r="D82" s="87"/>
      <c r="E82" s="87"/>
      <c r="F82" s="89"/>
      <c r="G82" s="89"/>
      <c r="H82" s="89">
        <f>K73</f>
        <v>28800</v>
      </c>
      <c r="I82" s="89">
        <v>5</v>
      </c>
      <c r="J82" s="89"/>
      <c r="K82" s="90">
        <f>ROUND(H82*I82,2)</f>
        <v>144000</v>
      </c>
      <c r="L82" s="255"/>
      <c r="M82" s="69"/>
    </row>
    <row r="83" spans="1:13" s="91" customFormat="1" hidden="1" x14ac:dyDescent="0.3">
      <c r="A83" s="86"/>
      <c r="B83" s="87"/>
      <c r="C83" s="88">
        <f t="shared" si="20"/>
        <v>0</v>
      </c>
      <c r="D83" s="87"/>
      <c r="E83" s="87"/>
      <c r="F83" s="89"/>
      <c r="G83" s="89"/>
      <c r="H83" s="89">
        <f t="shared" ref="H83:H88" si="21">K74</f>
        <v>0</v>
      </c>
      <c r="I83" s="89">
        <f>I82</f>
        <v>5</v>
      </c>
      <c r="J83" s="89"/>
      <c r="K83" s="90">
        <f t="shared" ref="K83:K88" si="22">ROUND(H83*I83,2)</f>
        <v>0</v>
      </c>
      <c r="L83" s="255"/>
      <c r="M83" s="69"/>
    </row>
    <row r="84" spans="1:13" s="91" customFormat="1" hidden="1" x14ac:dyDescent="0.3">
      <c r="A84" s="86"/>
      <c r="B84" s="87"/>
      <c r="C84" s="88">
        <f t="shared" si="20"/>
        <v>0</v>
      </c>
      <c r="D84" s="87"/>
      <c r="E84" s="87"/>
      <c r="F84" s="89"/>
      <c r="G84" s="89"/>
      <c r="H84" s="89">
        <f t="shared" si="21"/>
        <v>0</v>
      </c>
      <c r="I84" s="89">
        <f t="shared" ref="I84:I88" si="23">I83</f>
        <v>5</v>
      </c>
      <c r="J84" s="89"/>
      <c r="K84" s="90">
        <f t="shared" si="22"/>
        <v>0</v>
      </c>
      <c r="L84" s="255"/>
      <c r="M84" s="69"/>
    </row>
    <row r="85" spans="1:13" s="91" customFormat="1" hidden="1" x14ac:dyDescent="0.3">
      <c r="A85" s="86"/>
      <c r="B85" s="87"/>
      <c r="C85" s="88">
        <f t="shared" si="20"/>
        <v>0</v>
      </c>
      <c r="D85" s="87"/>
      <c r="E85" s="87"/>
      <c r="F85" s="89"/>
      <c r="G85" s="89"/>
      <c r="H85" s="89">
        <f t="shared" si="21"/>
        <v>0</v>
      </c>
      <c r="I85" s="89">
        <f t="shared" si="23"/>
        <v>5</v>
      </c>
      <c r="J85" s="89"/>
      <c r="K85" s="90">
        <f t="shared" si="22"/>
        <v>0</v>
      </c>
      <c r="L85" s="255"/>
      <c r="M85" s="69"/>
    </row>
    <row r="86" spans="1:13" s="91" customFormat="1" hidden="1" x14ac:dyDescent="0.3">
      <c r="A86" s="86"/>
      <c r="B86" s="87"/>
      <c r="C86" s="88">
        <f t="shared" si="20"/>
        <v>0</v>
      </c>
      <c r="D86" s="87"/>
      <c r="E86" s="87"/>
      <c r="F86" s="89"/>
      <c r="G86" s="89"/>
      <c r="H86" s="89">
        <f t="shared" si="21"/>
        <v>0</v>
      </c>
      <c r="I86" s="89">
        <f t="shared" si="23"/>
        <v>5</v>
      </c>
      <c r="J86" s="89"/>
      <c r="K86" s="90">
        <f t="shared" si="22"/>
        <v>0</v>
      </c>
      <c r="L86" s="255"/>
      <c r="M86" s="69"/>
    </row>
    <row r="87" spans="1:13" s="91" customFormat="1" hidden="1" x14ac:dyDescent="0.3">
      <c r="A87" s="86"/>
      <c r="B87" s="87"/>
      <c r="C87" s="88">
        <f t="shared" si="20"/>
        <v>0</v>
      </c>
      <c r="D87" s="87"/>
      <c r="E87" s="87"/>
      <c r="F87" s="89"/>
      <c r="G87" s="89"/>
      <c r="H87" s="89">
        <f t="shared" si="21"/>
        <v>0</v>
      </c>
      <c r="I87" s="89">
        <f t="shared" si="23"/>
        <v>5</v>
      </c>
      <c r="J87" s="89"/>
      <c r="K87" s="90">
        <f t="shared" si="22"/>
        <v>0</v>
      </c>
      <c r="L87" s="255"/>
      <c r="M87" s="69"/>
    </row>
    <row r="88" spans="1:13" s="91" customFormat="1" hidden="1" x14ac:dyDescent="0.3">
      <c r="A88" s="86"/>
      <c r="B88" s="87"/>
      <c r="C88" s="88">
        <f t="shared" si="20"/>
        <v>0</v>
      </c>
      <c r="D88" s="87"/>
      <c r="E88" s="87"/>
      <c r="F88" s="89"/>
      <c r="G88" s="89"/>
      <c r="H88" s="89">
        <f t="shared" si="21"/>
        <v>0</v>
      </c>
      <c r="I88" s="89">
        <f t="shared" si="23"/>
        <v>5</v>
      </c>
      <c r="J88" s="89"/>
      <c r="K88" s="90">
        <f t="shared" si="22"/>
        <v>0</v>
      </c>
      <c r="L88" s="255"/>
      <c r="M88" s="69"/>
    </row>
    <row r="89" spans="1:13" s="85" customFormat="1" ht="15" thickBot="1" x14ac:dyDescent="0.35">
      <c r="A89" s="257"/>
      <c r="B89" s="258"/>
      <c r="C89" s="258"/>
      <c r="D89" s="92"/>
      <c r="E89" s="92"/>
      <c r="F89" s="93"/>
      <c r="G89" s="93"/>
      <c r="H89" s="94"/>
      <c r="I89" s="95"/>
      <c r="J89" s="95">
        <f>SUM(K82:K88)</f>
        <v>144000</v>
      </c>
      <c r="K89" s="96" t="str">
        <f>D81</f>
        <v>M3XKM</v>
      </c>
      <c r="L89" s="256"/>
      <c r="M89" s="69"/>
    </row>
    <row r="90" spans="1:13" ht="15" thickBot="1" x14ac:dyDescent="0.35">
      <c r="A90" s="260" t="s">
        <v>315</v>
      </c>
      <c r="B90" s="261"/>
      <c r="C90" s="261"/>
      <c r="D90" s="261"/>
      <c r="E90" s="261"/>
      <c r="F90" s="261"/>
      <c r="G90" s="261"/>
      <c r="H90" s="261"/>
      <c r="I90" s="261"/>
      <c r="J90" s="261"/>
      <c r="K90" s="261"/>
      <c r="L90" s="262"/>
      <c r="M90" s="69"/>
    </row>
    <row r="91" spans="1:13" s="91" customFormat="1" x14ac:dyDescent="0.3">
      <c r="A91" s="97" t="s">
        <v>317</v>
      </c>
      <c r="B91" s="98" t="s">
        <v>318</v>
      </c>
      <c r="C91" s="78" t="s">
        <v>319</v>
      </c>
      <c r="D91" s="79" t="s">
        <v>53</v>
      </c>
      <c r="E91" s="101" t="s">
        <v>178</v>
      </c>
      <c r="F91" s="102" t="s">
        <v>235</v>
      </c>
      <c r="G91" s="102" t="s">
        <v>231</v>
      </c>
      <c r="H91" s="122" t="s">
        <v>232</v>
      </c>
      <c r="I91" s="102" t="s">
        <v>179</v>
      </c>
      <c r="J91" s="102" t="s">
        <v>228</v>
      </c>
      <c r="K91" s="104" t="s">
        <v>229</v>
      </c>
      <c r="L91" s="254" t="s">
        <v>254</v>
      </c>
      <c r="M91" s="69"/>
    </row>
    <row r="92" spans="1:13" s="91" customFormat="1" x14ac:dyDescent="0.3">
      <c r="A92" s="86"/>
      <c r="B92" s="87"/>
      <c r="C92" s="88" t="str">
        <f t="shared" ref="C92:C98" si="24">C82</f>
        <v xml:space="preserve">DIVERSOS TRECHOS </v>
      </c>
      <c r="D92" s="87"/>
      <c r="E92" s="87"/>
      <c r="F92" s="89">
        <f t="shared" ref="F92" si="25">N37</f>
        <v>384000</v>
      </c>
      <c r="G92" s="89"/>
      <c r="H92" s="89"/>
      <c r="I92" s="89">
        <v>0.12</v>
      </c>
      <c r="J92" s="89"/>
      <c r="K92" s="90">
        <f>ROUND(F92*I92,2)</f>
        <v>46080</v>
      </c>
      <c r="L92" s="255"/>
      <c r="M92" s="69"/>
    </row>
    <row r="93" spans="1:13" s="91" customFormat="1" hidden="1" x14ac:dyDescent="0.3">
      <c r="A93" s="86"/>
      <c r="B93" s="87"/>
      <c r="C93" s="88">
        <f t="shared" si="24"/>
        <v>0</v>
      </c>
      <c r="D93" s="87"/>
      <c r="E93" s="87"/>
      <c r="F93" s="89"/>
      <c r="G93" s="89"/>
      <c r="H93" s="89"/>
      <c r="I93" s="89">
        <f>I92</f>
        <v>0.12</v>
      </c>
      <c r="J93" s="89"/>
      <c r="K93" s="90">
        <f t="shared" ref="K93:K98" si="26">ROUND(F93*I93,2)</f>
        <v>0</v>
      </c>
      <c r="L93" s="255"/>
      <c r="M93" s="69"/>
    </row>
    <row r="94" spans="1:13" s="91" customFormat="1" hidden="1" x14ac:dyDescent="0.3">
      <c r="A94" s="86"/>
      <c r="B94" s="87"/>
      <c r="C94" s="88">
        <f t="shared" si="24"/>
        <v>0</v>
      </c>
      <c r="D94" s="87"/>
      <c r="E94" s="87"/>
      <c r="F94" s="89"/>
      <c r="G94" s="89"/>
      <c r="H94" s="89"/>
      <c r="I94" s="89">
        <f t="shared" ref="I94:I98" si="27">I93</f>
        <v>0.12</v>
      </c>
      <c r="J94" s="89"/>
      <c r="K94" s="90">
        <f t="shared" si="26"/>
        <v>0</v>
      </c>
      <c r="L94" s="255"/>
      <c r="M94" s="69"/>
    </row>
    <row r="95" spans="1:13" s="91" customFormat="1" hidden="1" x14ac:dyDescent="0.3">
      <c r="A95" s="86"/>
      <c r="B95" s="87"/>
      <c r="C95" s="88">
        <f t="shared" si="24"/>
        <v>0</v>
      </c>
      <c r="D95" s="87"/>
      <c r="E95" s="87"/>
      <c r="F95" s="89"/>
      <c r="G95" s="89"/>
      <c r="H95" s="89"/>
      <c r="I95" s="89">
        <f t="shared" si="27"/>
        <v>0.12</v>
      </c>
      <c r="J95" s="89"/>
      <c r="K95" s="90">
        <f t="shared" si="26"/>
        <v>0</v>
      </c>
      <c r="L95" s="255"/>
      <c r="M95" s="69"/>
    </row>
    <row r="96" spans="1:13" s="91" customFormat="1" hidden="1" x14ac:dyDescent="0.3">
      <c r="A96" s="86"/>
      <c r="B96" s="87"/>
      <c r="C96" s="88">
        <f t="shared" si="24"/>
        <v>0</v>
      </c>
      <c r="D96" s="87"/>
      <c r="E96" s="87"/>
      <c r="F96" s="89"/>
      <c r="G96" s="89"/>
      <c r="H96" s="89"/>
      <c r="I96" s="89">
        <f t="shared" si="27"/>
        <v>0.12</v>
      </c>
      <c r="J96" s="89"/>
      <c r="K96" s="90">
        <f t="shared" si="26"/>
        <v>0</v>
      </c>
      <c r="L96" s="255"/>
      <c r="M96" s="69"/>
    </row>
    <row r="97" spans="1:13" s="91" customFormat="1" hidden="1" x14ac:dyDescent="0.3">
      <c r="A97" s="86"/>
      <c r="B97" s="87"/>
      <c r="C97" s="88">
        <f t="shared" si="24"/>
        <v>0</v>
      </c>
      <c r="D97" s="87"/>
      <c r="E97" s="87"/>
      <c r="F97" s="89"/>
      <c r="G97" s="89"/>
      <c r="H97" s="89"/>
      <c r="I97" s="89">
        <f t="shared" si="27"/>
        <v>0.12</v>
      </c>
      <c r="J97" s="89"/>
      <c r="K97" s="90">
        <f t="shared" si="26"/>
        <v>0</v>
      </c>
      <c r="L97" s="255"/>
      <c r="M97" s="69"/>
    </row>
    <row r="98" spans="1:13" s="91" customFormat="1" hidden="1" x14ac:dyDescent="0.3">
      <c r="A98" s="86"/>
      <c r="B98" s="87"/>
      <c r="C98" s="88">
        <f t="shared" si="24"/>
        <v>0</v>
      </c>
      <c r="D98" s="87"/>
      <c r="E98" s="87"/>
      <c r="F98" s="89"/>
      <c r="G98" s="89"/>
      <c r="H98" s="89"/>
      <c r="I98" s="89">
        <f t="shared" si="27"/>
        <v>0.12</v>
      </c>
      <c r="J98" s="89"/>
      <c r="K98" s="90">
        <f t="shared" si="26"/>
        <v>0</v>
      </c>
      <c r="L98" s="255"/>
      <c r="M98" s="69"/>
    </row>
    <row r="99" spans="1:13" s="85" customFormat="1" ht="15" thickBot="1" x14ac:dyDescent="0.35">
      <c r="A99" s="267"/>
      <c r="B99" s="268"/>
      <c r="C99" s="269"/>
      <c r="D99" s="92"/>
      <c r="E99" s="92"/>
      <c r="F99" s="93"/>
      <c r="G99" s="93"/>
      <c r="H99" s="94"/>
      <c r="I99" s="95"/>
      <c r="J99" s="95">
        <f>SUM(K92:K98)</f>
        <v>46080</v>
      </c>
      <c r="K99" s="96" t="str">
        <f>D91</f>
        <v>m³</v>
      </c>
      <c r="L99" s="256"/>
      <c r="M99" s="132">
        <f>J99/2</f>
        <v>23040</v>
      </c>
    </row>
    <row r="100" spans="1:13" s="91" customFormat="1" ht="30.6" x14ac:dyDescent="0.3">
      <c r="A100" s="97" t="s">
        <v>180</v>
      </c>
      <c r="B100" s="98" t="s">
        <v>307</v>
      </c>
      <c r="C100" s="78" t="s">
        <v>309</v>
      </c>
      <c r="D100" s="79" t="s">
        <v>303</v>
      </c>
      <c r="E100" s="101" t="s">
        <v>178</v>
      </c>
      <c r="F100" s="102" t="s">
        <v>235</v>
      </c>
      <c r="G100" s="102" t="s">
        <v>255</v>
      </c>
      <c r="H100" s="102" t="s">
        <v>298</v>
      </c>
      <c r="I100" s="102" t="s">
        <v>253</v>
      </c>
      <c r="J100" s="102" t="s">
        <v>299</v>
      </c>
      <c r="K100" s="104" t="s">
        <v>229</v>
      </c>
      <c r="L100" s="254" t="s">
        <v>311</v>
      </c>
      <c r="M100" s="69"/>
    </row>
    <row r="101" spans="1:13" s="91" customFormat="1" x14ac:dyDescent="0.3">
      <c r="A101" s="86"/>
      <c r="B101" s="87"/>
      <c r="C101" s="88" t="str">
        <f t="shared" ref="C101:C107" si="28">C92</f>
        <v xml:space="preserve">DIVERSOS TRECHOS </v>
      </c>
      <c r="D101" s="87"/>
      <c r="E101" s="87"/>
      <c r="F101" s="89"/>
      <c r="G101" s="89">
        <f>K92</f>
        <v>46080</v>
      </c>
      <c r="H101" s="127"/>
      <c r="I101" s="89">
        <v>20</v>
      </c>
      <c r="J101" s="127">
        <f>I73</f>
        <v>1.25</v>
      </c>
      <c r="K101" s="90">
        <f>ROUND(G101*I101*J101,2)</f>
        <v>1152000</v>
      </c>
      <c r="L101" s="255"/>
      <c r="M101" s="69"/>
    </row>
    <row r="102" spans="1:13" s="91" customFormat="1" hidden="1" x14ac:dyDescent="0.3">
      <c r="A102" s="86"/>
      <c r="B102" s="87"/>
      <c r="C102" s="88">
        <f t="shared" si="28"/>
        <v>0</v>
      </c>
      <c r="D102" s="87"/>
      <c r="E102" s="87"/>
      <c r="F102" s="89"/>
      <c r="G102" s="89"/>
      <c r="H102" s="127"/>
      <c r="I102" s="89">
        <f>I101</f>
        <v>20</v>
      </c>
      <c r="J102" s="127">
        <f>J101</f>
        <v>1.25</v>
      </c>
      <c r="K102" s="90">
        <f t="shared" ref="K102:K107" si="29">ROUND(G102*I102*J102,2)</f>
        <v>0</v>
      </c>
      <c r="L102" s="255"/>
      <c r="M102" s="69"/>
    </row>
    <row r="103" spans="1:13" s="91" customFormat="1" hidden="1" x14ac:dyDescent="0.3">
      <c r="A103" s="86"/>
      <c r="B103" s="87"/>
      <c r="C103" s="88">
        <f t="shared" si="28"/>
        <v>0</v>
      </c>
      <c r="D103" s="87"/>
      <c r="E103" s="87"/>
      <c r="F103" s="89"/>
      <c r="G103" s="89"/>
      <c r="H103" s="127"/>
      <c r="I103" s="89">
        <f t="shared" ref="I103:I107" si="30">I102</f>
        <v>20</v>
      </c>
      <c r="J103" s="127">
        <f t="shared" ref="J103:J107" si="31">J102</f>
        <v>1.25</v>
      </c>
      <c r="K103" s="90">
        <f t="shared" si="29"/>
        <v>0</v>
      </c>
      <c r="L103" s="255"/>
      <c r="M103" s="69"/>
    </row>
    <row r="104" spans="1:13" s="91" customFormat="1" hidden="1" x14ac:dyDescent="0.3">
      <c r="A104" s="86"/>
      <c r="B104" s="87"/>
      <c r="C104" s="88">
        <f t="shared" si="28"/>
        <v>0</v>
      </c>
      <c r="D104" s="87"/>
      <c r="E104" s="87"/>
      <c r="F104" s="89"/>
      <c r="G104" s="89"/>
      <c r="H104" s="127"/>
      <c r="I104" s="89">
        <f t="shared" si="30"/>
        <v>20</v>
      </c>
      <c r="J104" s="127">
        <f t="shared" si="31"/>
        <v>1.25</v>
      </c>
      <c r="K104" s="90">
        <f t="shared" si="29"/>
        <v>0</v>
      </c>
      <c r="L104" s="255"/>
      <c r="M104" s="69"/>
    </row>
    <row r="105" spans="1:13" s="91" customFormat="1" hidden="1" x14ac:dyDescent="0.3">
      <c r="A105" s="86"/>
      <c r="B105" s="87"/>
      <c r="C105" s="88">
        <f t="shared" si="28"/>
        <v>0</v>
      </c>
      <c r="D105" s="87"/>
      <c r="E105" s="87"/>
      <c r="F105" s="89"/>
      <c r="G105" s="89"/>
      <c r="H105" s="127"/>
      <c r="I105" s="89">
        <f t="shared" si="30"/>
        <v>20</v>
      </c>
      <c r="J105" s="127">
        <f t="shared" si="31"/>
        <v>1.25</v>
      </c>
      <c r="K105" s="90">
        <f t="shared" si="29"/>
        <v>0</v>
      </c>
      <c r="L105" s="255"/>
      <c r="M105" s="69"/>
    </row>
    <row r="106" spans="1:13" s="91" customFormat="1" hidden="1" x14ac:dyDescent="0.3">
      <c r="A106" s="86"/>
      <c r="B106" s="87"/>
      <c r="C106" s="88">
        <f t="shared" si="28"/>
        <v>0</v>
      </c>
      <c r="D106" s="87"/>
      <c r="E106" s="87"/>
      <c r="F106" s="89"/>
      <c r="G106" s="89"/>
      <c r="H106" s="127"/>
      <c r="I106" s="89">
        <f t="shared" si="30"/>
        <v>20</v>
      </c>
      <c r="J106" s="127">
        <f t="shared" si="31"/>
        <v>1.25</v>
      </c>
      <c r="K106" s="90">
        <f t="shared" si="29"/>
        <v>0</v>
      </c>
      <c r="L106" s="255"/>
      <c r="M106" s="69"/>
    </row>
    <row r="107" spans="1:13" s="91" customFormat="1" hidden="1" x14ac:dyDescent="0.3">
      <c r="A107" s="86"/>
      <c r="B107" s="87"/>
      <c r="C107" s="88">
        <f t="shared" si="28"/>
        <v>0</v>
      </c>
      <c r="D107" s="87"/>
      <c r="E107" s="87"/>
      <c r="F107" s="89"/>
      <c r="G107" s="89"/>
      <c r="H107" s="127"/>
      <c r="I107" s="89">
        <f t="shared" si="30"/>
        <v>20</v>
      </c>
      <c r="J107" s="127">
        <f t="shared" si="31"/>
        <v>1.25</v>
      </c>
      <c r="K107" s="90">
        <f t="shared" si="29"/>
        <v>0</v>
      </c>
      <c r="L107" s="255"/>
      <c r="M107" s="69"/>
    </row>
    <row r="108" spans="1:13" s="85" customFormat="1" ht="15" thickBot="1" x14ac:dyDescent="0.35">
      <c r="A108" s="257"/>
      <c r="B108" s="258"/>
      <c r="C108" s="258"/>
      <c r="D108" s="92"/>
      <c r="E108" s="92"/>
      <c r="F108" s="93"/>
      <c r="G108" s="93"/>
      <c r="H108" s="94"/>
      <c r="I108" s="95"/>
      <c r="J108" s="95">
        <f>SUM(K101:K107)</f>
        <v>1152000</v>
      </c>
      <c r="K108" s="96" t="str">
        <f>D100</f>
        <v>M3XKM</v>
      </c>
      <c r="L108" s="256"/>
      <c r="M108" s="69"/>
    </row>
    <row r="109" spans="1:13" s="91" customFormat="1" ht="40.799999999999997" x14ac:dyDescent="0.3">
      <c r="A109" s="97" t="s">
        <v>180</v>
      </c>
      <c r="B109" s="98" t="s">
        <v>308</v>
      </c>
      <c r="C109" s="78" t="s">
        <v>310</v>
      </c>
      <c r="D109" s="79" t="s">
        <v>303</v>
      </c>
      <c r="E109" s="101" t="s">
        <v>178</v>
      </c>
      <c r="F109" s="102" t="s">
        <v>235</v>
      </c>
      <c r="G109" s="102" t="s">
        <v>255</v>
      </c>
      <c r="H109" s="102" t="s">
        <v>298</v>
      </c>
      <c r="I109" s="102" t="s">
        <v>253</v>
      </c>
      <c r="J109" s="102" t="s">
        <v>299</v>
      </c>
      <c r="K109" s="104" t="s">
        <v>229</v>
      </c>
      <c r="L109" s="254" t="s">
        <v>306</v>
      </c>
      <c r="M109" s="69"/>
    </row>
    <row r="110" spans="1:13" s="91" customFormat="1" x14ac:dyDescent="0.3">
      <c r="A110" s="86"/>
      <c r="B110" s="87"/>
      <c r="C110" s="88" t="str">
        <f t="shared" ref="C110:C116" si="32">C101</f>
        <v xml:space="preserve">DIVERSOS TRECHOS </v>
      </c>
      <c r="D110" s="87"/>
      <c r="E110" s="87"/>
      <c r="F110" s="89"/>
      <c r="G110" s="89">
        <f>G101</f>
        <v>46080</v>
      </c>
      <c r="H110" s="127"/>
      <c r="I110" s="89">
        <v>5</v>
      </c>
      <c r="J110" s="127">
        <f>J101</f>
        <v>1.25</v>
      </c>
      <c r="K110" s="90">
        <f>ROUND(G110*I110*J110,2)</f>
        <v>288000</v>
      </c>
      <c r="L110" s="255"/>
      <c r="M110" s="69"/>
    </row>
    <row r="111" spans="1:13" s="91" customFormat="1" hidden="1" x14ac:dyDescent="0.3">
      <c r="A111" s="86"/>
      <c r="B111" s="87"/>
      <c r="C111" s="88">
        <f t="shared" si="32"/>
        <v>0</v>
      </c>
      <c r="D111" s="87"/>
      <c r="E111" s="87"/>
      <c r="F111" s="89"/>
      <c r="G111" s="89"/>
      <c r="H111" s="127"/>
      <c r="I111" s="89"/>
      <c r="J111" s="127">
        <f>J110</f>
        <v>1.25</v>
      </c>
      <c r="K111" s="90">
        <f t="shared" ref="K111:K116" si="33">ROUND(G111*I111*J111,2)</f>
        <v>0</v>
      </c>
      <c r="L111" s="255"/>
      <c r="M111" s="69"/>
    </row>
    <row r="112" spans="1:13" s="91" customFormat="1" hidden="1" x14ac:dyDescent="0.3">
      <c r="A112" s="86"/>
      <c r="B112" s="87"/>
      <c r="C112" s="88">
        <f t="shared" si="32"/>
        <v>0</v>
      </c>
      <c r="D112" s="87"/>
      <c r="E112" s="87"/>
      <c r="F112" s="89"/>
      <c r="G112" s="89"/>
      <c r="H112" s="127"/>
      <c r="I112" s="89"/>
      <c r="J112" s="127">
        <f t="shared" ref="J112:J116" si="34">J111</f>
        <v>1.25</v>
      </c>
      <c r="K112" s="90">
        <f t="shared" si="33"/>
        <v>0</v>
      </c>
      <c r="L112" s="255"/>
      <c r="M112" s="69"/>
    </row>
    <row r="113" spans="1:13" s="91" customFormat="1" hidden="1" x14ac:dyDescent="0.3">
      <c r="A113" s="86"/>
      <c r="B113" s="87"/>
      <c r="C113" s="88">
        <f t="shared" si="32"/>
        <v>0</v>
      </c>
      <c r="D113" s="87"/>
      <c r="E113" s="87"/>
      <c r="F113" s="89"/>
      <c r="G113" s="89"/>
      <c r="H113" s="127"/>
      <c r="I113" s="89"/>
      <c r="J113" s="127">
        <f t="shared" si="34"/>
        <v>1.25</v>
      </c>
      <c r="K113" s="90">
        <f t="shared" si="33"/>
        <v>0</v>
      </c>
      <c r="L113" s="255"/>
      <c r="M113" s="69"/>
    </row>
    <row r="114" spans="1:13" s="91" customFormat="1" hidden="1" x14ac:dyDescent="0.3">
      <c r="A114" s="86"/>
      <c r="B114" s="87"/>
      <c r="C114" s="88">
        <f t="shared" si="32"/>
        <v>0</v>
      </c>
      <c r="D114" s="87"/>
      <c r="E114" s="87"/>
      <c r="F114" s="89"/>
      <c r="G114" s="89"/>
      <c r="H114" s="127"/>
      <c r="I114" s="89"/>
      <c r="J114" s="127">
        <f t="shared" si="34"/>
        <v>1.25</v>
      </c>
      <c r="K114" s="90">
        <f t="shared" si="33"/>
        <v>0</v>
      </c>
      <c r="L114" s="255"/>
      <c r="M114" s="69"/>
    </row>
    <row r="115" spans="1:13" s="91" customFormat="1" hidden="1" x14ac:dyDescent="0.3">
      <c r="A115" s="86"/>
      <c r="B115" s="87"/>
      <c r="C115" s="88">
        <f t="shared" si="32"/>
        <v>0</v>
      </c>
      <c r="D115" s="87"/>
      <c r="E115" s="87"/>
      <c r="F115" s="89"/>
      <c r="G115" s="89"/>
      <c r="H115" s="127"/>
      <c r="I115" s="89"/>
      <c r="J115" s="127">
        <f t="shared" si="34"/>
        <v>1.25</v>
      </c>
      <c r="K115" s="90">
        <f t="shared" si="33"/>
        <v>0</v>
      </c>
      <c r="L115" s="255"/>
      <c r="M115" s="69"/>
    </row>
    <row r="116" spans="1:13" s="91" customFormat="1" hidden="1" x14ac:dyDescent="0.3">
      <c r="A116" s="86"/>
      <c r="B116" s="87"/>
      <c r="C116" s="88">
        <f t="shared" si="32"/>
        <v>0</v>
      </c>
      <c r="D116" s="87"/>
      <c r="E116" s="87"/>
      <c r="F116" s="89"/>
      <c r="G116" s="89"/>
      <c r="H116" s="127"/>
      <c r="I116" s="89"/>
      <c r="J116" s="127">
        <f t="shared" si="34"/>
        <v>1.25</v>
      </c>
      <c r="K116" s="90">
        <f t="shared" si="33"/>
        <v>0</v>
      </c>
      <c r="L116" s="255"/>
      <c r="M116" s="69"/>
    </row>
    <row r="117" spans="1:13" s="85" customFormat="1" ht="15" thickBot="1" x14ac:dyDescent="0.35">
      <c r="A117" s="257"/>
      <c r="B117" s="258"/>
      <c r="C117" s="258"/>
      <c r="D117" s="92"/>
      <c r="E117" s="92"/>
      <c r="F117" s="93"/>
      <c r="G117" s="93"/>
      <c r="H117" s="94"/>
      <c r="I117" s="95"/>
      <c r="J117" s="95">
        <f>SUM(K110:K116)</f>
        <v>288000</v>
      </c>
      <c r="K117" s="96" t="str">
        <f>D109</f>
        <v>M3XKM</v>
      </c>
      <c r="L117" s="256"/>
      <c r="M117" s="69"/>
    </row>
    <row r="118" spans="1:13" s="91" customFormat="1" ht="51" x14ac:dyDescent="0.3">
      <c r="A118" s="97" t="s">
        <v>180</v>
      </c>
      <c r="B118" s="98" t="s">
        <v>304</v>
      </c>
      <c r="C118" s="78" t="s">
        <v>305</v>
      </c>
      <c r="D118" s="79" t="s">
        <v>279</v>
      </c>
      <c r="E118" s="101" t="s">
        <v>178</v>
      </c>
      <c r="F118" s="102" t="s">
        <v>235</v>
      </c>
      <c r="G118" s="102" t="s">
        <v>255</v>
      </c>
      <c r="H118" s="102" t="s">
        <v>299</v>
      </c>
      <c r="I118" s="102" t="s">
        <v>179</v>
      </c>
      <c r="J118" s="102" t="s">
        <v>228</v>
      </c>
      <c r="K118" s="104" t="s">
        <v>229</v>
      </c>
      <c r="L118" s="254" t="s">
        <v>256</v>
      </c>
      <c r="M118" s="69"/>
    </row>
    <row r="119" spans="1:13" s="91" customFormat="1" x14ac:dyDescent="0.3">
      <c r="A119" s="86"/>
      <c r="B119" s="87"/>
      <c r="C119" s="88" t="str">
        <f t="shared" ref="C119:C125" si="35">C101</f>
        <v xml:space="preserve">DIVERSOS TRECHOS </v>
      </c>
      <c r="D119" s="87"/>
      <c r="E119" s="87"/>
      <c r="F119" s="89"/>
      <c r="G119" s="89">
        <f t="shared" ref="G119" si="36">G101</f>
        <v>46080</v>
      </c>
      <c r="H119" s="89">
        <f>J101</f>
        <v>1.25</v>
      </c>
      <c r="I119" s="89"/>
      <c r="J119" s="89"/>
      <c r="K119" s="90">
        <f>ROUND(G119*H119,2)</f>
        <v>57600</v>
      </c>
      <c r="L119" s="255"/>
      <c r="M119" s="69"/>
    </row>
    <row r="120" spans="1:13" s="91" customFormat="1" hidden="1" x14ac:dyDescent="0.3">
      <c r="A120" s="86"/>
      <c r="B120" s="87"/>
      <c r="C120" s="88">
        <f t="shared" si="35"/>
        <v>0</v>
      </c>
      <c r="D120" s="87"/>
      <c r="E120" s="87"/>
      <c r="F120" s="89"/>
      <c r="G120" s="89"/>
      <c r="H120" s="89">
        <f>H119</f>
        <v>1.25</v>
      </c>
      <c r="I120" s="89"/>
      <c r="J120" s="89"/>
      <c r="K120" s="90">
        <f t="shared" ref="K120:K125" si="37">ROUND(G120*H120,2)</f>
        <v>0</v>
      </c>
      <c r="L120" s="255"/>
      <c r="M120" s="69"/>
    </row>
    <row r="121" spans="1:13" s="91" customFormat="1" hidden="1" x14ac:dyDescent="0.3">
      <c r="A121" s="86"/>
      <c r="B121" s="87"/>
      <c r="C121" s="88">
        <f t="shared" si="35"/>
        <v>0</v>
      </c>
      <c r="D121" s="87"/>
      <c r="E121" s="87"/>
      <c r="F121" s="89"/>
      <c r="G121" s="89"/>
      <c r="H121" s="89">
        <f t="shared" ref="H121:H125" si="38">H120</f>
        <v>1.25</v>
      </c>
      <c r="I121" s="89"/>
      <c r="J121" s="89"/>
      <c r="K121" s="90">
        <f t="shared" si="37"/>
        <v>0</v>
      </c>
      <c r="L121" s="255"/>
      <c r="M121" s="69"/>
    </row>
    <row r="122" spans="1:13" s="91" customFormat="1" hidden="1" x14ac:dyDescent="0.3">
      <c r="A122" s="86"/>
      <c r="B122" s="87"/>
      <c r="C122" s="88">
        <f t="shared" si="35"/>
        <v>0</v>
      </c>
      <c r="D122" s="87"/>
      <c r="E122" s="87"/>
      <c r="F122" s="89"/>
      <c r="G122" s="89"/>
      <c r="H122" s="89">
        <f t="shared" si="38"/>
        <v>1.25</v>
      </c>
      <c r="I122" s="89"/>
      <c r="J122" s="89"/>
      <c r="K122" s="90">
        <f t="shared" si="37"/>
        <v>0</v>
      </c>
      <c r="L122" s="255"/>
      <c r="M122" s="69"/>
    </row>
    <row r="123" spans="1:13" s="91" customFormat="1" hidden="1" x14ac:dyDescent="0.3">
      <c r="A123" s="86"/>
      <c r="B123" s="87"/>
      <c r="C123" s="88">
        <f t="shared" si="35"/>
        <v>0</v>
      </c>
      <c r="D123" s="87"/>
      <c r="E123" s="87"/>
      <c r="F123" s="89"/>
      <c r="G123" s="89"/>
      <c r="H123" s="89">
        <f t="shared" si="38"/>
        <v>1.25</v>
      </c>
      <c r="I123" s="89"/>
      <c r="J123" s="89"/>
      <c r="K123" s="90">
        <f t="shared" si="37"/>
        <v>0</v>
      </c>
      <c r="L123" s="255"/>
      <c r="M123" s="69"/>
    </row>
    <row r="124" spans="1:13" s="91" customFormat="1" hidden="1" x14ac:dyDescent="0.3">
      <c r="A124" s="86"/>
      <c r="B124" s="87"/>
      <c r="C124" s="88">
        <f t="shared" si="35"/>
        <v>0</v>
      </c>
      <c r="D124" s="87"/>
      <c r="E124" s="87"/>
      <c r="F124" s="89"/>
      <c r="G124" s="89"/>
      <c r="H124" s="89">
        <f t="shared" si="38"/>
        <v>1.25</v>
      </c>
      <c r="I124" s="89"/>
      <c r="J124" s="89"/>
      <c r="K124" s="90">
        <f t="shared" si="37"/>
        <v>0</v>
      </c>
      <c r="L124" s="255"/>
      <c r="M124" s="69"/>
    </row>
    <row r="125" spans="1:13" s="91" customFormat="1" hidden="1" x14ac:dyDescent="0.3">
      <c r="A125" s="86"/>
      <c r="B125" s="87"/>
      <c r="C125" s="88">
        <f t="shared" si="35"/>
        <v>0</v>
      </c>
      <c r="D125" s="87"/>
      <c r="E125" s="87"/>
      <c r="F125" s="89"/>
      <c r="G125" s="89"/>
      <c r="H125" s="89">
        <f t="shared" si="38"/>
        <v>1.25</v>
      </c>
      <c r="I125" s="89"/>
      <c r="J125" s="89"/>
      <c r="K125" s="90">
        <f t="shared" si="37"/>
        <v>0</v>
      </c>
      <c r="L125" s="255"/>
      <c r="M125" s="69"/>
    </row>
    <row r="126" spans="1:13" s="85" customFormat="1" ht="15" thickBot="1" x14ac:dyDescent="0.35">
      <c r="A126" s="257"/>
      <c r="B126" s="258"/>
      <c r="C126" s="258"/>
      <c r="D126" s="92"/>
      <c r="E126" s="92"/>
      <c r="F126" s="93"/>
      <c r="G126" s="93"/>
      <c r="H126" s="94"/>
      <c r="I126" s="95"/>
      <c r="J126" s="95">
        <f>SUM(K119:K125)</f>
        <v>57600</v>
      </c>
      <c r="K126" s="96" t="str">
        <f>D118</f>
        <v>M3</v>
      </c>
      <c r="L126" s="256"/>
      <c r="M126" s="69"/>
    </row>
    <row r="127" spans="1:13" s="91" customFormat="1" ht="20.399999999999999" x14ac:dyDescent="0.3">
      <c r="A127" s="97" t="s">
        <v>180</v>
      </c>
      <c r="B127" s="98" t="s">
        <v>205</v>
      </c>
      <c r="C127" s="78" t="s">
        <v>257</v>
      </c>
      <c r="D127" s="79" t="s">
        <v>279</v>
      </c>
      <c r="E127" s="101" t="s">
        <v>178</v>
      </c>
      <c r="F127" s="102" t="s">
        <v>235</v>
      </c>
      <c r="G127" s="102" t="s">
        <v>255</v>
      </c>
      <c r="H127" s="122" t="s">
        <v>232</v>
      </c>
      <c r="I127" s="102" t="s">
        <v>179</v>
      </c>
      <c r="J127" s="102" t="s">
        <v>228</v>
      </c>
      <c r="K127" s="104" t="s">
        <v>229</v>
      </c>
      <c r="L127" s="254" t="s">
        <v>258</v>
      </c>
      <c r="M127" s="69"/>
    </row>
    <row r="128" spans="1:13" s="91" customFormat="1" x14ac:dyDescent="0.3">
      <c r="A128" s="86"/>
      <c r="B128" s="87"/>
      <c r="C128" s="88" t="str">
        <f t="shared" ref="C128:C134" si="39">C119</f>
        <v xml:space="preserve">DIVERSOS TRECHOS </v>
      </c>
      <c r="D128" s="87"/>
      <c r="E128" s="87"/>
      <c r="F128" s="89"/>
      <c r="G128" s="89">
        <f t="shared" ref="G128:G134" si="40">G119</f>
        <v>46080</v>
      </c>
      <c r="H128" s="89"/>
      <c r="I128" s="89"/>
      <c r="J128" s="89"/>
      <c r="K128" s="90">
        <f>G128</f>
        <v>46080</v>
      </c>
      <c r="L128" s="255"/>
      <c r="M128" s="69"/>
    </row>
    <row r="129" spans="1:13" s="91" customFormat="1" hidden="1" x14ac:dyDescent="0.3">
      <c r="A129" s="86"/>
      <c r="B129" s="87"/>
      <c r="C129" s="88">
        <f t="shared" si="39"/>
        <v>0</v>
      </c>
      <c r="D129" s="87"/>
      <c r="E129" s="87"/>
      <c r="F129" s="89"/>
      <c r="G129" s="89">
        <f t="shared" si="40"/>
        <v>0</v>
      </c>
      <c r="H129" s="89"/>
      <c r="I129" s="89"/>
      <c r="J129" s="89"/>
      <c r="K129" s="90">
        <f t="shared" ref="K129:K134" si="41">G129</f>
        <v>0</v>
      </c>
      <c r="L129" s="255"/>
      <c r="M129" s="69"/>
    </row>
    <row r="130" spans="1:13" s="91" customFormat="1" hidden="1" x14ac:dyDescent="0.3">
      <c r="A130" s="86"/>
      <c r="B130" s="87"/>
      <c r="C130" s="88">
        <f t="shared" si="39"/>
        <v>0</v>
      </c>
      <c r="D130" s="87"/>
      <c r="E130" s="87"/>
      <c r="F130" s="89"/>
      <c r="G130" s="89">
        <f t="shared" si="40"/>
        <v>0</v>
      </c>
      <c r="H130" s="89"/>
      <c r="I130" s="89"/>
      <c r="J130" s="89"/>
      <c r="K130" s="90">
        <f t="shared" si="41"/>
        <v>0</v>
      </c>
      <c r="L130" s="255"/>
      <c r="M130" s="69"/>
    </row>
    <row r="131" spans="1:13" s="91" customFormat="1" hidden="1" x14ac:dyDescent="0.3">
      <c r="A131" s="86"/>
      <c r="B131" s="87"/>
      <c r="C131" s="88">
        <f t="shared" si="39"/>
        <v>0</v>
      </c>
      <c r="D131" s="87"/>
      <c r="E131" s="87"/>
      <c r="F131" s="89"/>
      <c r="G131" s="89">
        <f t="shared" si="40"/>
        <v>0</v>
      </c>
      <c r="H131" s="89"/>
      <c r="I131" s="89"/>
      <c r="J131" s="89"/>
      <c r="K131" s="90">
        <f t="shared" si="41"/>
        <v>0</v>
      </c>
      <c r="L131" s="255"/>
      <c r="M131" s="69"/>
    </row>
    <row r="132" spans="1:13" s="91" customFormat="1" hidden="1" x14ac:dyDescent="0.3">
      <c r="A132" s="86"/>
      <c r="B132" s="87"/>
      <c r="C132" s="88">
        <f t="shared" si="39"/>
        <v>0</v>
      </c>
      <c r="D132" s="87"/>
      <c r="E132" s="87"/>
      <c r="F132" s="89"/>
      <c r="G132" s="89">
        <f t="shared" si="40"/>
        <v>0</v>
      </c>
      <c r="H132" s="89"/>
      <c r="I132" s="89"/>
      <c r="J132" s="89"/>
      <c r="K132" s="90">
        <f t="shared" si="41"/>
        <v>0</v>
      </c>
      <c r="L132" s="255"/>
      <c r="M132" s="69"/>
    </row>
    <row r="133" spans="1:13" s="91" customFormat="1" hidden="1" x14ac:dyDescent="0.3">
      <c r="A133" s="86"/>
      <c r="B133" s="87"/>
      <c r="C133" s="88">
        <f t="shared" si="39"/>
        <v>0</v>
      </c>
      <c r="D133" s="87"/>
      <c r="E133" s="87"/>
      <c r="F133" s="89"/>
      <c r="G133" s="89">
        <f t="shared" si="40"/>
        <v>0</v>
      </c>
      <c r="H133" s="89"/>
      <c r="I133" s="89"/>
      <c r="J133" s="89"/>
      <c r="K133" s="90">
        <f t="shared" si="41"/>
        <v>0</v>
      </c>
      <c r="L133" s="255"/>
      <c r="M133" s="69"/>
    </row>
    <row r="134" spans="1:13" s="91" customFormat="1" hidden="1" x14ac:dyDescent="0.3">
      <c r="A134" s="86"/>
      <c r="B134" s="87"/>
      <c r="C134" s="88">
        <f t="shared" si="39"/>
        <v>0</v>
      </c>
      <c r="D134" s="87"/>
      <c r="E134" s="87"/>
      <c r="F134" s="89"/>
      <c r="G134" s="89">
        <f t="shared" si="40"/>
        <v>0</v>
      </c>
      <c r="H134" s="89"/>
      <c r="I134" s="89"/>
      <c r="J134" s="89"/>
      <c r="K134" s="90">
        <f t="shared" si="41"/>
        <v>0</v>
      </c>
      <c r="L134" s="255"/>
      <c r="M134" s="69"/>
    </row>
    <row r="135" spans="1:13" s="85" customFormat="1" ht="15" thickBot="1" x14ac:dyDescent="0.35">
      <c r="A135" s="257"/>
      <c r="B135" s="258"/>
      <c r="C135" s="258"/>
      <c r="D135" s="92"/>
      <c r="E135" s="92"/>
      <c r="F135" s="93"/>
      <c r="G135" s="93"/>
      <c r="H135" s="94"/>
      <c r="I135" s="95"/>
      <c r="J135" s="95">
        <f>SUM(K128:K134)</f>
        <v>46080</v>
      </c>
      <c r="K135" s="96" t="str">
        <f>D127</f>
        <v>M3</v>
      </c>
      <c r="L135" s="256"/>
      <c r="M135" s="69"/>
    </row>
    <row r="136" spans="1:13" s="91" customFormat="1" x14ac:dyDescent="0.3">
      <c r="A136" s="97" t="s">
        <v>206</v>
      </c>
      <c r="B136" s="98" t="s">
        <v>207</v>
      </c>
      <c r="C136" s="78" t="s">
        <v>259</v>
      </c>
      <c r="D136" s="79" t="s">
        <v>53</v>
      </c>
      <c r="E136" s="101" t="s">
        <v>178</v>
      </c>
      <c r="F136" s="102" t="s">
        <v>235</v>
      </c>
      <c r="G136" s="102" t="s">
        <v>255</v>
      </c>
      <c r="H136" s="122" t="s">
        <v>232</v>
      </c>
      <c r="I136" s="102" t="s">
        <v>179</v>
      </c>
      <c r="J136" s="102" t="s">
        <v>228</v>
      </c>
      <c r="K136" s="104" t="s">
        <v>229</v>
      </c>
      <c r="L136" s="254" t="s">
        <v>258</v>
      </c>
      <c r="M136" s="69"/>
    </row>
    <row r="137" spans="1:13" s="91" customFormat="1" x14ac:dyDescent="0.3">
      <c r="A137" s="86"/>
      <c r="B137" s="87"/>
      <c r="C137" s="88" t="str">
        <f t="shared" ref="C137:C143" si="42">C128</f>
        <v xml:space="preserve">DIVERSOS TRECHOS </v>
      </c>
      <c r="D137" s="87"/>
      <c r="E137" s="87"/>
      <c r="F137" s="89"/>
      <c r="G137" s="89">
        <f>G128</f>
        <v>46080</v>
      </c>
      <c r="H137" s="89"/>
      <c r="I137" s="89"/>
      <c r="J137" s="89"/>
      <c r="K137" s="90">
        <f>G137</f>
        <v>46080</v>
      </c>
      <c r="L137" s="255"/>
      <c r="M137" s="69"/>
    </row>
    <row r="138" spans="1:13" s="91" customFormat="1" hidden="1" x14ac:dyDescent="0.3">
      <c r="A138" s="86"/>
      <c r="B138" s="87"/>
      <c r="C138" s="88">
        <f t="shared" si="42"/>
        <v>0</v>
      </c>
      <c r="D138" s="87"/>
      <c r="E138" s="87"/>
      <c r="F138" s="89"/>
      <c r="G138" s="89">
        <f t="shared" ref="G138:G143" si="43">G129</f>
        <v>0</v>
      </c>
      <c r="H138" s="89"/>
      <c r="I138" s="89"/>
      <c r="J138" s="89"/>
      <c r="K138" s="90">
        <f t="shared" ref="K138:K143" si="44">G138</f>
        <v>0</v>
      </c>
      <c r="L138" s="255"/>
      <c r="M138" s="69"/>
    </row>
    <row r="139" spans="1:13" s="91" customFormat="1" hidden="1" x14ac:dyDescent="0.3">
      <c r="A139" s="86"/>
      <c r="B139" s="87"/>
      <c r="C139" s="88">
        <f t="shared" si="42"/>
        <v>0</v>
      </c>
      <c r="D139" s="87"/>
      <c r="E139" s="87"/>
      <c r="F139" s="89"/>
      <c r="G139" s="89">
        <f t="shared" si="43"/>
        <v>0</v>
      </c>
      <c r="H139" s="89"/>
      <c r="I139" s="89"/>
      <c r="J139" s="89"/>
      <c r="K139" s="90">
        <f t="shared" si="44"/>
        <v>0</v>
      </c>
      <c r="L139" s="255"/>
      <c r="M139" s="69"/>
    </row>
    <row r="140" spans="1:13" s="91" customFormat="1" hidden="1" x14ac:dyDescent="0.3">
      <c r="A140" s="86"/>
      <c r="B140" s="87"/>
      <c r="C140" s="88">
        <f t="shared" si="42"/>
        <v>0</v>
      </c>
      <c r="D140" s="87"/>
      <c r="E140" s="87"/>
      <c r="F140" s="89"/>
      <c r="G140" s="89">
        <f t="shared" si="43"/>
        <v>0</v>
      </c>
      <c r="H140" s="89"/>
      <c r="I140" s="89"/>
      <c r="J140" s="89"/>
      <c r="K140" s="90">
        <f t="shared" si="44"/>
        <v>0</v>
      </c>
      <c r="L140" s="255"/>
      <c r="M140" s="69"/>
    </row>
    <row r="141" spans="1:13" s="91" customFormat="1" hidden="1" x14ac:dyDescent="0.3">
      <c r="A141" s="86"/>
      <c r="B141" s="87"/>
      <c r="C141" s="88">
        <f t="shared" si="42"/>
        <v>0</v>
      </c>
      <c r="D141" s="87"/>
      <c r="E141" s="87"/>
      <c r="F141" s="89"/>
      <c r="G141" s="89">
        <f t="shared" si="43"/>
        <v>0</v>
      </c>
      <c r="H141" s="89"/>
      <c r="I141" s="89"/>
      <c r="J141" s="89"/>
      <c r="K141" s="90">
        <f t="shared" si="44"/>
        <v>0</v>
      </c>
      <c r="L141" s="255"/>
      <c r="M141" s="69"/>
    </row>
    <row r="142" spans="1:13" s="91" customFormat="1" hidden="1" x14ac:dyDescent="0.3">
      <c r="A142" s="86"/>
      <c r="B142" s="87"/>
      <c r="C142" s="88">
        <f t="shared" si="42"/>
        <v>0</v>
      </c>
      <c r="D142" s="87"/>
      <c r="E142" s="87"/>
      <c r="F142" s="89"/>
      <c r="G142" s="89">
        <f t="shared" si="43"/>
        <v>0</v>
      </c>
      <c r="H142" s="89"/>
      <c r="I142" s="89"/>
      <c r="J142" s="89"/>
      <c r="K142" s="90">
        <f t="shared" si="44"/>
        <v>0</v>
      </c>
      <c r="L142" s="255"/>
      <c r="M142" s="69"/>
    </row>
    <row r="143" spans="1:13" s="91" customFormat="1" hidden="1" x14ac:dyDescent="0.3">
      <c r="A143" s="86"/>
      <c r="B143" s="87"/>
      <c r="C143" s="88">
        <f t="shared" si="42"/>
        <v>0</v>
      </c>
      <c r="D143" s="87"/>
      <c r="E143" s="87"/>
      <c r="F143" s="89"/>
      <c r="G143" s="89">
        <f t="shared" si="43"/>
        <v>0</v>
      </c>
      <c r="H143" s="89"/>
      <c r="I143" s="89"/>
      <c r="J143" s="89"/>
      <c r="K143" s="90">
        <f t="shared" si="44"/>
        <v>0</v>
      </c>
      <c r="L143" s="255"/>
      <c r="M143" s="69"/>
    </row>
    <row r="144" spans="1:13" s="85" customFormat="1" ht="15" thickBot="1" x14ac:dyDescent="0.35">
      <c r="A144" s="257"/>
      <c r="B144" s="258"/>
      <c r="C144" s="258"/>
      <c r="D144" s="92"/>
      <c r="E144" s="92"/>
      <c r="F144" s="93"/>
      <c r="G144" s="93"/>
      <c r="H144" s="94"/>
      <c r="I144" s="95"/>
      <c r="J144" s="95">
        <f>SUM(K137:K143)</f>
        <v>46080</v>
      </c>
      <c r="K144" s="96" t="str">
        <f>D136</f>
        <v>m³</v>
      </c>
      <c r="L144" s="256"/>
      <c r="M144" s="132">
        <f>J144/2</f>
        <v>23040</v>
      </c>
    </row>
    <row r="145" spans="1:14" ht="15" thickBot="1" x14ac:dyDescent="0.35">
      <c r="A145" s="260" t="s">
        <v>208</v>
      </c>
      <c r="B145" s="261"/>
      <c r="C145" s="261"/>
      <c r="D145" s="261"/>
      <c r="E145" s="261"/>
      <c r="F145" s="261"/>
      <c r="G145" s="261"/>
      <c r="H145" s="261"/>
      <c r="I145" s="261"/>
      <c r="J145" s="261"/>
      <c r="K145" s="261"/>
      <c r="L145" s="262"/>
      <c r="M145" s="69"/>
    </row>
    <row r="146" spans="1:14" s="85" customFormat="1" ht="61.2" x14ac:dyDescent="0.3">
      <c r="A146" s="76" t="s">
        <v>180</v>
      </c>
      <c r="B146" s="77" t="s">
        <v>209</v>
      </c>
      <c r="C146" s="78" t="s">
        <v>280</v>
      </c>
      <c r="D146" s="79" t="s">
        <v>279</v>
      </c>
      <c r="E146" s="80" t="s">
        <v>178</v>
      </c>
      <c r="F146" s="81" t="s">
        <v>235</v>
      </c>
      <c r="G146" s="81" t="s">
        <v>231</v>
      </c>
      <c r="H146" s="122" t="s">
        <v>260</v>
      </c>
      <c r="I146" s="81" t="s">
        <v>179</v>
      </c>
      <c r="J146" s="81" t="s">
        <v>228</v>
      </c>
      <c r="K146" s="83" t="s">
        <v>229</v>
      </c>
      <c r="L146" s="254" t="s">
        <v>261</v>
      </c>
      <c r="M146" s="69"/>
    </row>
    <row r="147" spans="1:14" s="91" customFormat="1" x14ac:dyDescent="0.3">
      <c r="A147" s="86"/>
      <c r="B147" s="87"/>
      <c r="C147" s="88" t="str">
        <f t="shared" ref="C147:C153" si="45">C137</f>
        <v xml:space="preserve">DIVERSOS TRECHOS </v>
      </c>
      <c r="D147" s="87"/>
      <c r="E147" s="87"/>
      <c r="F147" s="89"/>
      <c r="G147" s="89">
        <v>1.5</v>
      </c>
      <c r="H147" s="89">
        <v>100</v>
      </c>
      <c r="I147" s="89">
        <v>1</v>
      </c>
      <c r="J147" s="89"/>
      <c r="K147" s="90">
        <f>ROUND(G147*H147*I147,2)</f>
        <v>150</v>
      </c>
      <c r="L147" s="255"/>
      <c r="M147" s="69"/>
      <c r="N147" s="105">
        <f t="shared" ref="N147:N153" si="46">K147+K55</f>
        <v>19350</v>
      </c>
    </row>
    <row r="148" spans="1:14" s="91" customFormat="1" hidden="1" x14ac:dyDescent="0.3">
      <c r="A148" s="86"/>
      <c r="B148" s="87"/>
      <c r="C148" s="88">
        <f t="shared" si="45"/>
        <v>0</v>
      </c>
      <c r="D148" s="87"/>
      <c r="E148" s="87"/>
      <c r="F148" s="89"/>
      <c r="G148" s="89"/>
      <c r="H148" s="89"/>
      <c r="I148" s="89"/>
      <c r="J148" s="89"/>
      <c r="K148" s="90">
        <f t="shared" ref="K148:K153" si="47">ROUND(G148*H148*I148,2)</f>
        <v>0</v>
      </c>
      <c r="L148" s="255"/>
      <c r="M148" s="69"/>
      <c r="N148" s="105">
        <f t="shared" si="46"/>
        <v>885.69</v>
      </c>
    </row>
    <row r="149" spans="1:14" s="91" customFormat="1" hidden="1" x14ac:dyDescent="0.3">
      <c r="A149" s="86"/>
      <c r="B149" s="87"/>
      <c r="C149" s="88">
        <f t="shared" si="45"/>
        <v>0</v>
      </c>
      <c r="D149" s="87"/>
      <c r="E149" s="87"/>
      <c r="F149" s="89"/>
      <c r="G149" s="89"/>
      <c r="H149" s="89"/>
      <c r="I149" s="89"/>
      <c r="J149" s="89"/>
      <c r="K149" s="90">
        <f t="shared" si="47"/>
        <v>0</v>
      </c>
      <c r="L149" s="255"/>
      <c r="M149" s="69"/>
      <c r="N149" s="105">
        <f t="shared" si="46"/>
        <v>1058.7</v>
      </c>
    </row>
    <row r="150" spans="1:14" s="91" customFormat="1" hidden="1" x14ac:dyDescent="0.3">
      <c r="A150" s="86"/>
      <c r="B150" s="87"/>
      <c r="C150" s="88">
        <f t="shared" si="45"/>
        <v>0</v>
      </c>
      <c r="D150" s="87"/>
      <c r="E150" s="87"/>
      <c r="F150" s="89"/>
      <c r="G150" s="89"/>
      <c r="H150" s="89"/>
      <c r="I150" s="89"/>
      <c r="J150" s="89"/>
      <c r="K150" s="90">
        <f t="shared" si="47"/>
        <v>0</v>
      </c>
      <c r="L150" s="255"/>
      <c r="M150" s="69"/>
      <c r="N150" s="105">
        <f t="shared" si="46"/>
        <v>1496.99</v>
      </c>
    </row>
    <row r="151" spans="1:14" s="91" customFormat="1" hidden="1" x14ac:dyDescent="0.3">
      <c r="A151" s="86"/>
      <c r="B151" s="87"/>
      <c r="C151" s="88">
        <f t="shared" si="45"/>
        <v>0</v>
      </c>
      <c r="D151" s="87"/>
      <c r="E151" s="87"/>
      <c r="F151" s="89"/>
      <c r="G151" s="89"/>
      <c r="H151" s="89"/>
      <c r="I151" s="89"/>
      <c r="J151" s="89"/>
      <c r="K151" s="90">
        <f t="shared" si="47"/>
        <v>0</v>
      </c>
      <c r="L151" s="255"/>
      <c r="M151" s="69"/>
      <c r="N151" s="105">
        <f t="shared" si="46"/>
        <v>281.95</v>
      </c>
    </row>
    <row r="152" spans="1:14" s="91" customFormat="1" hidden="1" x14ac:dyDescent="0.3">
      <c r="A152" s="86"/>
      <c r="B152" s="87"/>
      <c r="C152" s="88">
        <f t="shared" si="45"/>
        <v>0</v>
      </c>
      <c r="D152" s="87"/>
      <c r="E152" s="87"/>
      <c r="F152" s="89"/>
      <c r="G152" s="89"/>
      <c r="H152" s="89"/>
      <c r="I152" s="89"/>
      <c r="J152" s="89"/>
      <c r="K152" s="90">
        <f t="shared" si="47"/>
        <v>0</v>
      </c>
      <c r="L152" s="255"/>
      <c r="M152" s="69"/>
      <c r="N152" s="105">
        <f t="shared" si="46"/>
        <v>3481.92</v>
      </c>
    </row>
    <row r="153" spans="1:14" s="91" customFormat="1" hidden="1" x14ac:dyDescent="0.3">
      <c r="A153" s="86"/>
      <c r="B153" s="87"/>
      <c r="C153" s="88">
        <f t="shared" si="45"/>
        <v>0</v>
      </c>
      <c r="D153" s="87"/>
      <c r="E153" s="87"/>
      <c r="F153" s="89"/>
      <c r="G153" s="89"/>
      <c r="H153" s="89"/>
      <c r="I153" s="89"/>
      <c r="J153" s="89"/>
      <c r="K153" s="90">
        <f t="shared" si="47"/>
        <v>0</v>
      </c>
      <c r="L153" s="255"/>
      <c r="M153" s="69"/>
      <c r="N153" s="105">
        <f t="shared" si="46"/>
        <v>447.94</v>
      </c>
    </row>
    <row r="154" spans="1:14" s="91" customFormat="1" ht="15" thickBot="1" x14ac:dyDescent="0.35">
      <c r="A154" s="257"/>
      <c r="B154" s="258"/>
      <c r="C154" s="258"/>
      <c r="D154" s="92"/>
      <c r="E154" s="92"/>
      <c r="F154" s="93"/>
      <c r="G154" s="93"/>
      <c r="H154" s="123"/>
      <c r="I154" s="95"/>
      <c r="J154" s="95">
        <f>SUM(K147:K153)</f>
        <v>150</v>
      </c>
      <c r="K154" s="96" t="str">
        <f>D146</f>
        <v>M3</v>
      </c>
      <c r="L154" s="256"/>
      <c r="M154" s="69"/>
    </row>
    <row r="155" spans="1:14" s="85" customFormat="1" ht="71.400000000000006" x14ac:dyDescent="0.3">
      <c r="A155" s="76" t="s">
        <v>180</v>
      </c>
      <c r="B155" s="77" t="s">
        <v>210</v>
      </c>
      <c r="C155" s="78" t="s">
        <v>281</v>
      </c>
      <c r="D155" s="79" t="s">
        <v>279</v>
      </c>
      <c r="E155" s="80" t="s">
        <v>178</v>
      </c>
      <c r="F155" s="81" t="s">
        <v>235</v>
      </c>
      <c r="G155" s="81" t="s">
        <v>250</v>
      </c>
      <c r="H155" s="122" t="s">
        <v>262</v>
      </c>
      <c r="I155" s="81" t="s">
        <v>179</v>
      </c>
      <c r="J155" s="81" t="s">
        <v>228</v>
      </c>
      <c r="K155" s="83" t="s">
        <v>229</v>
      </c>
      <c r="L155" s="254" t="s">
        <v>263</v>
      </c>
      <c r="M155" s="69"/>
    </row>
    <row r="156" spans="1:14" s="91" customFormat="1" x14ac:dyDescent="0.3">
      <c r="A156" s="86"/>
      <c r="B156" s="87"/>
      <c r="C156" s="88" t="str">
        <f t="shared" ref="C156:C162" si="48">C147</f>
        <v xml:space="preserve">DIVERSOS TRECHOS </v>
      </c>
      <c r="D156" s="87"/>
      <c r="E156" s="87"/>
      <c r="F156" s="89"/>
      <c r="G156" s="89">
        <f t="shared" ref="G156:G162" si="49">K147</f>
        <v>150</v>
      </c>
      <c r="H156" s="89">
        <f>ROUND((PI()*0.5^2)*H165,2)</f>
        <v>78.540000000000006</v>
      </c>
      <c r="I156" s="89"/>
      <c r="J156" s="89"/>
      <c r="K156" s="90">
        <f>ROUND(G156-H156,2)</f>
        <v>71.459999999999994</v>
      </c>
      <c r="L156" s="255"/>
      <c r="M156" s="69"/>
    </row>
    <row r="157" spans="1:14" s="91" customFormat="1" hidden="1" x14ac:dyDescent="0.3">
      <c r="A157" s="86"/>
      <c r="B157" s="87"/>
      <c r="C157" s="88">
        <f t="shared" si="48"/>
        <v>0</v>
      </c>
      <c r="D157" s="87"/>
      <c r="E157" s="87"/>
      <c r="F157" s="89"/>
      <c r="G157" s="89">
        <f t="shared" si="49"/>
        <v>0</v>
      </c>
      <c r="H157" s="89">
        <f t="shared" ref="H157:H162" si="50">ROUND((PI()*0.4^2)*H166,2)</f>
        <v>0</v>
      </c>
      <c r="I157" s="89"/>
      <c r="J157" s="89"/>
      <c r="K157" s="90">
        <f t="shared" ref="K157:K162" si="51">ROUND(G157-H157,2)</f>
        <v>0</v>
      </c>
      <c r="L157" s="255"/>
      <c r="M157" s="69"/>
    </row>
    <row r="158" spans="1:14" s="91" customFormat="1" hidden="1" x14ac:dyDescent="0.3">
      <c r="A158" s="86"/>
      <c r="B158" s="87"/>
      <c r="C158" s="88">
        <f t="shared" si="48"/>
        <v>0</v>
      </c>
      <c r="D158" s="87"/>
      <c r="E158" s="87"/>
      <c r="F158" s="89"/>
      <c r="G158" s="89">
        <f t="shared" si="49"/>
        <v>0</v>
      </c>
      <c r="H158" s="89">
        <f t="shared" si="50"/>
        <v>0</v>
      </c>
      <c r="I158" s="89"/>
      <c r="J158" s="89"/>
      <c r="K158" s="90">
        <f t="shared" si="51"/>
        <v>0</v>
      </c>
      <c r="L158" s="255"/>
      <c r="M158" s="69"/>
    </row>
    <row r="159" spans="1:14" s="91" customFormat="1" hidden="1" x14ac:dyDescent="0.3">
      <c r="A159" s="86"/>
      <c r="B159" s="87"/>
      <c r="C159" s="88">
        <f t="shared" si="48"/>
        <v>0</v>
      </c>
      <c r="D159" s="87"/>
      <c r="E159" s="87"/>
      <c r="F159" s="89"/>
      <c r="G159" s="89">
        <f t="shared" si="49"/>
        <v>0</v>
      </c>
      <c r="H159" s="89">
        <f t="shared" si="50"/>
        <v>0</v>
      </c>
      <c r="I159" s="89"/>
      <c r="J159" s="89"/>
      <c r="K159" s="90">
        <f t="shared" si="51"/>
        <v>0</v>
      </c>
      <c r="L159" s="255"/>
      <c r="M159" s="69"/>
    </row>
    <row r="160" spans="1:14" s="91" customFormat="1" hidden="1" x14ac:dyDescent="0.3">
      <c r="A160" s="86"/>
      <c r="B160" s="87"/>
      <c r="C160" s="88">
        <f t="shared" si="48"/>
        <v>0</v>
      </c>
      <c r="D160" s="87"/>
      <c r="E160" s="87"/>
      <c r="F160" s="89"/>
      <c r="G160" s="89">
        <f t="shared" si="49"/>
        <v>0</v>
      </c>
      <c r="H160" s="89">
        <f t="shared" si="50"/>
        <v>0</v>
      </c>
      <c r="I160" s="89"/>
      <c r="J160" s="89"/>
      <c r="K160" s="90">
        <f t="shared" si="51"/>
        <v>0</v>
      </c>
      <c r="L160" s="255"/>
      <c r="M160" s="69"/>
    </row>
    <row r="161" spans="1:15" s="91" customFormat="1" hidden="1" x14ac:dyDescent="0.3">
      <c r="A161" s="86"/>
      <c r="B161" s="87"/>
      <c r="C161" s="88">
        <f t="shared" si="48"/>
        <v>0</v>
      </c>
      <c r="D161" s="87"/>
      <c r="E161" s="87"/>
      <c r="F161" s="89"/>
      <c r="G161" s="89">
        <f t="shared" si="49"/>
        <v>0</v>
      </c>
      <c r="H161" s="89">
        <f t="shared" si="50"/>
        <v>0</v>
      </c>
      <c r="I161" s="89"/>
      <c r="J161" s="89"/>
      <c r="K161" s="90">
        <f t="shared" si="51"/>
        <v>0</v>
      </c>
      <c r="L161" s="255"/>
      <c r="M161" s="69"/>
    </row>
    <row r="162" spans="1:15" s="91" customFormat="1" hidden="1" x14ac:dyDescent="0.3">
      <c r="A162" s="86"/>
      <c r="B162" s="87"/>
      <c r="C162" s="88">
        <f t="shared" si="48"/>
        <v>0</v>
      </c>
      <c r="D162" s="87"/>
      <c r="E162" s="87"/>
      <c r="F162" s="89"/>
      <c r="G162" s="89">
        <f t="shared" si="49"/>
        <v>0</v>
      </c>
      <c r="H162" s="89">
        <f t="shared" si="50"/>
        <v>0</v>
      </c>
      <c r="I162" s="89"/>
      <c r="J162" s="89"/>
      <c r="K162" s="90">
        <f t="shared" si="51"/>
        <v>0</v>
      </c>
      <c r="L162" s="255"/>
      <c r="M162" s="69"/>
    </row>
    <row r="163" spans="1:15" s="91" customFormat="1" ht="15" thickBot="1" x14ac:dyDescent="0.35">
      <c r="A163" s="257"/>
      <c r="B163" s="258"/>
      <c r="C163" s="258"/>
      <c r="D163" s="92"/>
      <c r="E163" s="92"/>
      <c r="F163" s="93"/>
      <c r="G163" s="93"/>
      <c r="H163" s="123"/>
      <c r="I163" s="95"/>
      <c r="J163" s="95">
        <f>SUM(K156:K162)</f>
        <v>71.459999999999994</v>
      </c>
      <c r="K163" s="96" t="str">
        <f>D155</f>
        <v>M3</v>
      </c>
      <c r="L163" s="256"/>
      <c r="M163" s="69"/>
    </row>
    <row r="164" spans="1:15" s="85" customFormat="1" ht="51" x14ac:dyDescent="0.3">
      <c r="A164" s="76" t="s">
        <v>180</v>
      </c>
      <c r="B164" s="77">
        <v>92223</v>
      </c>
      <c r="C164" s="78" t="s">
        <v>323</v>
      </c>
      <c r="D164" s="79" t="s">
        <v>239</v>
      </c>
      <c r="E164" s="80" t="s">
        <v>178</v>
      </c>
      <c r="F164" s="81" t="s">
        <v>235</v>
      </c>
      <c r="G164" s="81" t="s">
        <v>231</v>
      </c>
      <c r="H164" s="124" t="s">
        <v>264</v>
      </c>
      <c r="I164" s="81" t="s">
        <v>179</v>
      </c>
      <c r="J164" s="81" t="s">
        <v>228</v>
      </c>
      <c r="K164" s="83" t="s">
        <v>229</v>
      </c>
      <c r="L164" s="254" t="s">
        <v>265</v>
      </c>
      <c r="M164" s="69"/>
    </row>
    <row r="165" spans="1:15" s="91" customFormat="1" x14ac:dyDescent="0.3">
      <c r="A165" s="86"/>
      <c r="B165" s="87"/>
      <c r="C165" s="88" t="str">
        <f t="shared" ref="C165:C171" si="52">C156</f>
        <v xml:space="preserve">DIVERSOS TRECHOS </v>
      </c>
      <c r="D165" s="87"/>
      <c r="E165" s="87"/>
      <c r="F165" s="89"/>
      <c r="G165" s="89"/>
      <c r="H165" s="89">
        <f>H147</f>
        <v>100</v>
      </c>
      <c r="I165" s="89"/>
      <c r="J165" s="89"/>
      <c r="K165" s="90">
        <f>H165</f>
        <v>100</v>
      </c>
      <c r="L165" s="255"/>
      <c r="M165" s="69"/>
    </row>
    <row r="166" spans="1:15" s="91" customFormat="1" hidden="1" x14ac:dyDescent="0.3">
      <c r="A166" s="86"/>
      <c r="B166" s="87"/>
      <c r="C166" s="88">
        <f t="shared" si="52"/>
        <v>0</v>
      </c>
      <c r="D166" s="87"/>
      <c r="E166" s="87"/>
      <c r="F166" s="89"/>
      <c r="G166" s="89"/>
      <c r="H166" s="89">
        <f t="shared" ref="H166:H171" si="53">H148</f>
        <v>0</v>
      </c>
      <c r="I166" s="89"/>
      <c r="J166" s="89"/>
      <c r="K166" s="90">
        <f t="shared" ref="K166:K171" si="54">H166</f>
        <v>0</v>
      </c>
      <c r="L166" s="255"/>
      <c r="M166" s="69"/>
    </row>
    <row r="167" spans="1:15" s="91" customFormat="1" hidden="1" x14ac:dyDescent="0.3">
      <c r="A167" s="86"/>
      <c r="B167" s="87"/>
      <c r="C167" s="88">
        <f t="shared" si="52"/>
        <v>0</v>
      </c>
      <c r="D167" s="87"/>
      <c r="E167" s="87"/>
      <c r="F167" s="89"/>
      <c r="G167" s="89"/>
      <c r="H167" s="89">
        <f t="shared" si="53"/>
        <v>0</v>
      </c>
      <c r="I167" s="89"/>
      <c r="J167" s="89"/>
      <c r="K167" s="90">
        <f t="shared" si="54"/>
        <v>0</v>
      </c>
      <c r="L167" s="255"/>
      <c r="M167" s="69"/>
    </row>
    <row r="168" spans="1:15" s="91" customFormat="1" hidden="1" x14ac:dyDescent="0.3">
      <c r="A168" s="86"/>
      <c r="B168" s="87"/>
      <c r="C168" s="88">
        <f t="shared" si="52"/>
        <v>0</v>
      </c>
      <c r="D168" s="87"/>
      <c r="E168" s="87"/>
      <c r="F168" s="89"/>
      <c r="G168" s="89"/>
      <c r="H168" s="89">
        <f t="shared" si="53"/>
        <v>0</v>
      </c>
      <c r="I168" s="89"/>
      <c r="J168" s="89"/>
      <c r="K168" s="90">
        <f t="shared" si="54"/>
        <v>0</v>
      </c>
      <c r="L168" s="255"/>
      <c r="M168" s="69"/>
    </row>
    <row r="169" spans="1:15" s="91" customFormat="1" hidden="1" x14ac:dyDescent="0.3">
      <c r="A169" s="86"/>
      <c r="B169" s="87"/>
      <c r="C169" s="88">
        <f t="shared" si="52"/>
        <v>0</v>
      </c>
      <c r="D169" s="87"/>
      <c r="E169" s="87"/>
      <c r="F169" s="89"/>
      <c r="G169" s="89"/>
      <c r="H169" s="89">
        <f t="shared" si="53"/>
        <v>0</v>
      </c>
      <c r="I169" s="89"/>
      <c r="J169" s="89"/>
      <c r="K169" s="90">
        <f t="shared" si="54"/>
        <v>0</v>
      </c>
      <c r="L169" s="255"/>
      <c r="M169" s="69"/>
    </row>
    <row r="170" spans="1:15" s="91" customFormat="1" hidden="1" x14ac:dyDescent="0.3">
      <c r="A170" s="86"/>
      <c r="B170" s="87"/>
      <c r="C170" s="88">
        <f t="shared" si="52"/>
        <v>0</v>
      </c>
      <c r="D170" s="87"/>
      <c r="E170" s="87"/>
      <c r="F170" s="89"/>
      <c r="G170" s="89"/>
      <c r="H170" s="89">
        <f t="shared" si="53"/>
        <v>0</v>
      </c>
      <c r="I170" s="89"/>
      <c r="J170" s="89"/>
      <c r="K170" s="90">
        <f t="shared" si="54"/>
        <v>0</v>
      </c>
      <c r="L170" s="255"/>
      <c r="M170" s="69"/>
    </row>
    <row r="171" spans="1:15" s="91" customFormat="1" hidden="1" x14ac:dyDescent="0.3">
      <c r="A171" s="86"/>
      <c r="B171" s="87"/>
      <c r="C171" s="88">
        <f t="shared" si="52"/>
        <v>0</v>
      </c>
      <c r="D171" s="87"/>
      <c r="E171" s="87"/>
      <c r="F171" s="89"/>
      <c r="G171" s="89"/>
      <c r="H171" s="89">
        <f t="shared" si="53"/>
        <v>0</v>
      </c>
      <c r="I171" s="89"/>
      <c r="J171" s="89"/>
      <c r="K171" s="90">
        <f t="shared" si="54"/>
        <v>0</v>
      </c>
      <c r="L171" s="255"/>
      <c r="M171" s="69"/>
    </row>
    <row r="172" spans="1:15" s="91" customFormat="1" ht="15" thickBot="1" x14ac:dyDescent="0.35">
      <c r="A172" s="257"/>
      <c r="B172" s="258"/>
      <c r="C172" s="258"/>
      <c r="D172" s="92"/>
      <c r="E172" s="92"/>
      <c r="F172" s="93"/>
      <c r="G172" s="93"/>
      <c r="H172" s="123"/>
      <c r="I172" s="95"/>
      <c r="J172" s="95">
        <f>SUM(K165:K171)</f>
        <v>100</v>
      </c>
      <c r="K172" s="96" t="str">
        <f>D164</f>
        <v>M</v>
      </c>
      <c r="L172" s="256"/>
      <c r="M172" s="69"/>
    </row>
    <row r="173" spans="1:15" s="85" customFormat="1" ht="30.6" x14ac:dyDescent="0.3">
      <c r="A173" s="76" t="s">
        <v>180</v>
      </c>
      <c r="B173" s="77">
        <v>102739</v>
      </c>
      <c r="C173" s="78" t="s">
        <v>324</v>
      </c>
      <c r="D173" s="79" t="s">
        <v>266</v>
      </c>
      <c r="E173" s="80" t="s">
        <v>178</v>
      </c>
      <c r="F173" s="81" t="s">
        <v>267</v>
      </c>
      <c r="G173" s="81" t="s">
        <v>231</v>
      </c>
      <c r="H173" s="122" t="s">
        <v>232</v>
      </c>
      <c r="I173" s="81" t="s">
        <v>179</v>
      </c>
      <c r="J173" s="81" t="s">
        <v>228</v>
      </c>
      <c r="K173" s="83" t="s">
        <v>229</v>
      </c>
      <c r="L173" s="254" t="s">
        <v>268</v>
      </c>
      <c r="M173" s="69"/>
      <c r="N173" s="91"/>
      <c r="O173" s="91"/>
    </row>
    <row r="174" spans="1:15" s="91" customFormat="1" x14ac:dyDescent="0.3">
      <c r="A174" s="86"/>
      <c r="B174" s="87"/>
      <c r="C174" s="88" t="str">
        <f t="shared" ref="C174:C180" si="55">C156</f>
        <v xml:space="preserve">DIVERSOS TRECHOS </v>
      </c>
      <c r="D174" s="87"/>
      <c r="E174" s="89">
        <v>15</v>
      </c>
      <c r="F174" s="89">
        <v>2</v>
      </c>
      <c r="G174" s="89"/>
      <c r="H174" s="89"/>
      <c r="I174" s="89"/>
      <c r="J174" s="89"/>
      <c r="K174" s="90">
        <f>ROUND(E174*F174,2)</f>
        <v>30</v>
      </c>
      <c r="L174" s="255"/>
      <c r="M174" s="69"/>
    </row>
    <row r="175" spans="1:15" s="91" customFormat="1" hidden="1" x14ac:dyDescent="0.3">
      <c r="A175" s="86"/>
      <c r="B175" s="87"/>
      <c r="C175" s="88">
        <f t="shared" si="55"/>
        <v>0</v>
      </c>
      <c r="D175" s="87"/>
      <c r="E175" s="89">
        <v>0</v>
      </c>
      <c r="F175" s="89">
        <v>0</v>
      </c>
      <c r="G175" s="89"/>
      <c r="H175" s="89"/>
      <c r="I175" s="89"/>
      <c r="J175" s="89"/>
      <c r="K175" s="90">
        <f t="shared" ref="K175:K180" si="56">ROUND(E175*F175,2)</f>
        <v>0</v>
      </c>
      <c r="L175" s="255"/>
      <c r="M175" s="69"/>
    </row>
    <row r="176" spans="1:15" s="91" customFormat="1" hidden="1" x14ac:dyDescent="0.3">
      <c r="A176" s="86"/>
      <c r="B176" s="87"/>
      <c r="C176" s="88">
        <f t="shared" si="55"/>
        <v>0</v>
      </c>
      <c r="D176" s="87"/>
      <c r="E176" s="89"/>
      <c r="F176" s="89"/>
      <c r="G176" s="89"/>
      <c r="H176" s="89"/>
      <c r="I176" s="89"/>
      <c r="J176" s="89"/>
      <c r="K176" s="90">
        <f t="shared" si="56"/>
        <v>0</v>
      </c>
      <c r="L176" s="255"/>
      <c r="M176" s="69"/>
    </row>
    <row r="177" spans="1:15" s="91" customFormat="1" hidden="1" x14ac:dyDescent="0.3">
      <c r="A177" s="86"/>
      <c r="B177" s="87"/>
      <c r="C177" s="88">
        <f t="shared" si="55"/>
        <v>0</v>
      </c>
      <c r="D177" s="87"/>
      <c r="E177" s="89"/>
      <c r="F177" s="89"/>
      <c r="G177" s="89"/>
      <c r="H177" s="89"/>
      <c r="I177" s="89"/>
      <c r="J177" s="89"/>
      <c r="K177" s="90">
        <f t="shared" si="56"/>
        <v>0</v>
      </c>
      <c r="L177" s="255"/>
      <c r="M177" s="69"/>
    </row>
    <row r="178" spans="1:15" s="91" customFormat="1" hidden="1" x14ac:dyDescent="0.3">
      <c r="A178" s="86"/>
      <c r="B178" s="87"/>
      <c r="C178" s="88">
        <f t="shared" si="55"/>
        <v>0</v>
      </c>
      <c r="D178" s="87"/>
      <c r="E178" s="89"/>
      <c r="F178" s="89"/>
      <c r="G178" s="89"/>
      <c r="H178" s="89"/>
      <c r="I178" s="89"/>
      <c r="J178" s="89"/>
      <c r="K178" s="90">
        <f t="shared" si="56"/>
        <v>0</v>
      </c>
      <c r="L178" s="255"/>
      <c r="M178" s="69"/>
    </row>
    <row r="179" spans="1:15" s="91" customFormat="1" hidden="1" x14ac:dyDescent="0.3">
      <c r="A179" s="86"/>
      <c r="B179" s="87"/>
      <c r="C179" s="88">
        <f t="shared" si="55"/>
        <v>0</v>
      </c>
      <c r="D179" s="87"/>
      <c r="E179" s="89"/>
      <c r="F179" s="89"/>
      <c r="G179" s="89"/>
      <c r="H179" s="89"/>
      <c r="I179" s="89"/>
      <c r="J179" s="89"/>
      <c r="K179" s="90">
        <f t="shared" si="56"/>
        <v>0</v>
      </c>
      <c r="L179" s="255"/>
      <c r="M179" s="69"/>
    </row>
    <row r="180" spans="1:15" s="91" customFormat="1" hidden="1" x14ac:dyDescent="0.3">
      <c r="A180" s="86"/>
      <c r="B180" s="87"/>
      <c r="C180" s="88">
        <f t="shared" si="55"/>
        <v>0</v>
      </c>
      <c r="D180" s="87"/>
      <c r="E180" s="89">
        <v>0</v>
      </c>
      <c r="F180" s="89">
        <v>0</v>
      </c>
      <c r="G180" s="89"/>
      <c r="H180" s="89"/>
      <c r="I180" s="89"/>
      <c r="J180" s="89"/>
      <c r="K180" s="90">
        <f t="shared" si="56"/>
        <v>0</v>
      </c>
      <c r="L180" s="255"/>
      <c r="M180" s="69"/>
    </row>
    <row r="181" spans="1:15" s="91" customFormat="1" ht="15" thickBot="1" x14ac:dyDescent="0.35">
      <c r="A181" s="257"/>
      <c r="B181" s="258"/>
      <c r="C181" s="258"/>
      <c r="D181" s="92"/>
      <c r="E181" s="92"/>
      <c r="F181" s="93"/>
      <c r="G181" s="93"/>
      <c r="H181" s="123"/>
      <c r="I181" s="95"/>
      <c r="J181" s="95">
        <f>SUM(K174:K180)</f>
        <v>30</v>
      </c>
      <c r="K181" s="96" t="str">
        <f>D173</f>
        <v>UN</v>
      </c>
      <c r="L181" s="256"/>
      <c r="M181" s="69"/>
    </row>
    <row r="182" spans="1:15" s="85" customFormat="1" ht="21" hidden="1" thickBot="1" x14ac:dyDescent="0.35">
      <c r="A182" s="76" t="s">
        <v>206</v>
      </c>
      <c r="B182" s="77" t="s">
        <v>291</v>
      </c>
      <c r="C182" s="78" t="s">
        <v>292</v>
      </c>
      <c r="D182" s="79" t="s">
        <v>27</v>
      </c>
      <c r="E182" s="80" t="s">
        <v>178</v>
      </c>
      <c r="F182" s="81" t="s">
        <v>267</v>
      </c>
      <c r="G182" s="81" t="s">
        <v>231</v>
      </c>
      <c r="H182" s="122" t="s">
        <v>232</v>
      </c>
      <c r="I182" s="81" t="s">
        <v>179</v>
      </c>
      <c r="J182" s="81" t="s">
        <v>228</v>
      </c>
      <c r="K182" s="83" t="s">
        <v>229</v>
      </c>
      <c r="L182" s="254" t="s">
        <v>268</v>
      </c>
      <c r="M182" s="69"/>
      <c r="N182" s="91"/>
      <c r="O182" s="91"/>
    </row>
    <row r="183" spans="1:15" s="91" customFormat="1" ht="15" hidden="1" thickBot="1" x14ac:dyDescent="0.35">
      <c r="A183" s="86"/>
      <c r="B183" s="87"/>
      <c r="C183" s="88" t="str">
        <f t="shared" ref="C183:C189" si="57">C165</f>
        <v xml:space="preserve">DIVERSOS TRECHOS </v>
      </c>
      <c r="D183" s="87"/>
      <c r="E183" s="89">
        <v>2</v>
      </c>
      <c r="F183" s="89">
        <v>1</v>
      </c>
      <c r="G183" s="89"/>
      <c r="H183" s="89"/>
      <c r="I183" s="89"/>
      <c r="J183" s="89"/>
      <c r="K183" s="90">
        <f>ROUND(E183*F183,2)</f>
        <v>2</v>
      </c>
      <c r="L183" s="255"/>
      <c r="M183" s="69"/>
    </row>
    <row r="184" spans="1:15" s="91" customFormat="1" ht="15" hidden="1" thickBot="1" x14ac:dyDescent="0.35">
      <c r="A184" s="86"/>
      <c r="B184" s="87"/>
      <c r="C184" s="88">
        <f t="shared" si="57"/>
        <v>0</v>
      </c>
      <c r="D184" s="87"/>
      <c r="E184" s="89">
        <v>0</v>
      </c>
      <c r="F184" s="89">
        <v>0</v>
      </c>
      <c r="G184" s="89"/>
      <c r="H184" s="89"/>
      <c r="I184" s="89"/>
      <c r="J184" s="89"/>
      <c r="K184" s="90">
        <f t="shared" ref="K184:K189" si="58">ROUND(E184*F184,2)</f>
        <v>0</v>
      </c>
      <c r="L184" s="255"/>
      <c r="M184" s="69"/>
    </row>
    <row r="185" spans="1:15" s="91" customFormat="1" ht="15" hidden="1" thickBot="1" x14ac:dyDescent="0.35">
      <c r="A185" s="86"/>
      <c r="B185" s="87"/>
      <c r="C185" s="88">
        <f t="shared" si="57"/>
        <v>0</v>
      </c>
      <c r="D185" s="87"/>
      <c r="E185" s="89">
        <v>2</v>
      </c>
      <c r="F185" s="89">
        <v>1</v>
      </c>
      <c r="G185" s="89"/>
      <c r="H185" s="89"/>
      <c r="I185" s="89"/>
      <c r="J185" s="89"/>
      <c r="K185" s="90">
        <f t="shared" si="58"/>
        <v>2</v>
      </c>
      <c r="L185" s="255"/>
      <c r="M185" s="69"/>
    </row>
    <row r="186" spans="1:15" s="91" customFormat="1" ht="15" hidden="1" thickBot="1" x14ac:dyDescent="0.35">
      <c r="A186" s="86"/>
      <c r="B186" s="87"/>
      <c r="C186" s="88">
        <f t="shared" si="57"/>
        <v>0</v>
      </c>
      <c r="D186" s="87"/>
      <c r="E186" s="89">
        <v>2</v>
      </c>
      <c r="F186" s="89">
        <v>1</v>
      </c>
      <c r="G186" s="89"/>
      <c r="H186" s="89"/>
      <c r="I186" s="89"/>
      <c r="J186" s="89"/>
      <c r="K186" s="90">
        <f t="shared" si="58"/>
        <v>2</v>
      </c>
      <c r="L186" s="255"/>
      <c r="M186" s="69"/>
    </row>
    <row r="187" spans="1:15" s="91" customFormat="1" ht="15" hidden="1" thickBot="1" x14ac:dyDescent="0.35">
      <c r="A187" s="86"/>
      <c r="B187" s="87"/>
      <c r="C187" s="88">
        <f t="shared" si="57"/>
        <v>0</v>
      </c>
      <c r="D187" s="87"/>
      <c r="E187" s="89">
        <v>0</v>
      </c>
      <c r="F187" s="89">
        <v>0</v>
      </c>
      <c r="G187" s="89"/>
      <c r="H187" s="89"/>
      <c r="I187" s="89"/>
      <c r="J187" s="89"/>
      <c r="K187" s="90">
        <f t="shared" si="58"/>
        <v>0</v>
      </c>
      <c r="L187" s="255"/>
      <c r="M187" s="69"/>
    </row>
    <row r="188" spans="1:15" s="91" customFormat="1" ht="15" hidden="1" thickBot="1" x14ac:dyDescent="0.35">
      <c r="A188" s="86"/>
      <c r="B188" s="87"/>
      <c r="C188" s="88">
        <f t="shared" si="57"/>
        <v>0</v>
      </c>
      <c r="D188" s="87"/>
      <c r="E188" s="89">
        <v>2</v>
      </c>
      <c r="F188" s="89">
        <v>1</v>
      </c>
      <c r="G188" s="89"/>
      <c r="H188" s="89"/>
      <c r="I188" s="89"/>
      <c r="J188" s="89"/>
      <c r="K188" s="90">
        <f t="shared" si="58"/>
        <v>2</v>
      </c>
      <c r="L188" s="255"/>
      <c r="M188" s="69"/>
    </row>
    <row r="189" spans="1:15" s="91" customFormat="1" ht="15" hidden="1" thickBot="1" x14ac:dyDescent="0.35">
      <c r="A189" s="86"/>
      <c r="B189" s="87"/>
      <c r="C189" s="88">
        <f t="shared" si="57"/>
        <v>0</v>
      </c>
      <c r="D189" s="87"/>
      <c r="E189" s="89">
        <v>2</v>
      </c>
      <c r="F189" s="89">
        <v>1</v>
      </c>
      <c r="G189" s="89"/>
      <c r="H189" s="89"/>
      <c r="I189" s="89"/>
      <c r="J189" s="89"/>
      <c r="K189" s="90">
        <f t="shared" si="58"/>
        <v>2</v>
      </c>
      <c r="L189" s="255"/>
      <c r="M189" s="69"/>
    </row>
    <row r="190" spans="1:15" s="91" customFormat="1" ht="15" hidden="1" thickBot="1" x14ac:dyDescent="0.35">
      <c r="A190" s="257"/>
      <c r="B190" s="258"/>
      <c r="C190" s="258"/>
      <c r="D190" s="92"/>
      <c r="E190" s="92"/>
      <c r="F190" s="93"/>
      <c r="G190" s="93"/>
      <c r="H190" s="123"/>
      <c r="I190" s="95"/>
      <c r="J190" s="95">
        <f>SUM(K183:K189)</f>
        <v>10</v>
      </c>
      <c r="K190" s="96" t="str">
        <f>D182</f>
        <v>un</v>
      </c>
      <c r="L190" s="256"/>
      <c r="M190" s="69"/>
    </row>
    <row r="191" spans="1:15" s="85" customFormat="1" ht="20.399999999999999" x14ac:dyDescent="0.3">
      <c r="A191" s="76" t="s">
        <v>206</v>
      </c>
      <c r="B191" s="77" t="s">
        <v>289</v>
      </c>
      <c r="C191" s="78" t="s">
        <v>297</v>
      </c>
      <c r="D191" s="79" t="s">
        <v>32</v>
      </c>
      <c r="E191" s="80" t="s">
        <v>267</v>
      </c>
      <c r="F191" s="81" t="s">
        <v>235</v>
      </c>
      <c r="G191" s="81" t="s">
        <v>231</v>
      </c>
      <c r="H191" s="122" t="s">
        <v>232</v>
      </c>
      <c r="I191" s="119" t="s">
        <v>269</v>
      </c>
      <c r="J191" s="81" t="s">
        <v>228</v>
      </c>
      <c r="K191" s="83" t="s">
        <v>229</v>
      </c>
      <c r="L191" s="254" t="s">
        <v>270</v>
      </c>
      <c r="M191" s="69"/>
    </row>
    <row r="192" spans="1:15" s="91" customFormat="1" x14ac:dyDescent="0.3">
      <c r="A192" s="86"/>
      <c r="B192" s="87"/>
      <c r="C192" s="88" t="str">
        <f t="shared" ref="C192:C198" si="59">C183</f>
        <v xml:space="preserve">DIVERSOS TRECHOS </v>
      </c>
      <c r="D192" s="87"/>
      <c r="E192" s="87">
        <v>2</v>
      </c>
      <c r="F192" s="89"/>
      <c r="G192" s="89"/>
      <c r="H192" s="89">
        <f t="shared" ref="H192:H198" si="60">H55</f>
        <v>64000</v>
      </c>
      <c r="I192" s="89">
        <f t="shared" ref="I192:I193" si="61">K219</f>
        <v>2000</v>
      </c>
      <c r="J192" s="89"/>
      <c r="K192" s="90">
        <f>(E192*H192)-I192</f>
        <v>126000</v>
      </c>
      <c r="L192" s="255"/>
      <c r="M192" s="69"/>
    </row>
    <row r="193" spans="1:13" s="91" customFormat="1" hidden="1" x14ac:dyDescent="0.3">
      <c r="A193" s="86"/>
      <c r="B193" s="87"/>
      <c r="C193" s="88">
        <f t="shared" si="59"/>
        <v>0</v>
      </c>
      <c r="D193" s="87"/>
      <c r="E193" s="87">
        <f>E192</f>
        <v>2</v>
      </c>
      <c r="F193" s="89"/>
      <c r="G193" s="89"/>
      <c r="H193" s="89">
        <f t="shared" si="60"/>
        <v>0</v>
      </c>
      <c r="I193" s="89">
        <f t="shared" si="61"/>
        <v>0</v>
      </c>
      <c r="J193" s="89"/>
      <c r="K193" s="90">
        <f t="shared" ref="K193:K198" si="62">(E193*H193)-I193</f>
        <v>0</v>
      </c>
      <c r="L193" s="255"/>
      <c r="M193" s="69"/>
    </row>
    <row r="194" spans="1:13" s="91" customFormat="1" hidden="1" x14ac:dyDescent="0.3">
      <c r="A194" s="86"/>
      <c r="B194" s="87"/>
      <c r="C194" s="88">
        <f t="shared" si="59"/>
        <v>0</v>
      </c>
      <c r="D194" s="87"/>
      <c r="E194" s="87">
        <f t="shared" ref="E194:E198" si="63">E193</f>
        <v>2</v>
      </c>
      <c r="F194" s="89"/>
      <c r="G194" s="89"/>
      <c r="H194" s="89">
        <f t="shared" si="60"/>
        <v>0</v>
      </c>
      <c r="I194" s="89"/>
      <c r="J194" s="89"/>
      <c r="K194" s="90">
        <f t="shared" si="62"/>
        <v>0</v>
      </c>
      <c r="L194" s="255"/>
      <c r="M194" s="69"/>
    </row>
    <row r="195" spans="1:13" s="91" customFormat="1" hidden="1" x14ac:dyDescent="0.3">
      <c r="A195" s="86"/>
      <c r="B195" s="87"/>
      <c r="C195" s="88">
        <f t="shared" si="59"/>
        <v>0</v>
      </c>
      <c r="D195" s="87"/>
      <c r="E195" s="87">
        <f t="shared" si="63"/>
        <v>2</v>
      </c>
      <c r="F195" s="89"/>
      <c r="G195" s="89"/>
      <c r="H195" s="89">
        <f t="shared" si="60"/>
        <v>0</v>
      </c>
      <c r="I195" s="89"/>
      <c r="J195" s="89"/>
      <c r="K195" s="90">
        <f t="shared" si="62"/>
        <v>0</v>
      </c>
      <c r="L195" s="255"/>
      <c r="M195" s="69"/>
    </row>
    <row r="196" spans="1:13" s="91" customFormat="1" hidden="1" x14ac:dyDescent="0.3">
      <c r="A196" s="86"/>
      <c r="B196" s="87"/>
      <c r="C196" s="88">
        <f t="shared" si="59"/>
        <v>0</v>
      </c>
      <c r="D196" s="87"/>
      <c r="E196" s="87">
        <f t="shared" si="63"/>
        <v>2</v>
      </c>
      <c r="F196" s="89"/>
      <c r="G196" s="89"/>
      <c r="H196" s="89">
        <f t="shared" si="60"/>
        <v>0</v>
      </c>
      <c r="I196" s="89"/>
      <c r="J196" s="89"/>
      <c r="K196" s="90">
        <f t="shared" si="62"/>
        <v>0</v>
      </c>
      <c r="L196" s="255"/>
      <c r="M196" s="69"/>
    </row>
    <row r="197" spans="1:13" s="91" customFormat="1" hidden="1" x14ac:dyDescent="0.3">
      <c r="A197" s="86"/>
      <c r="B197" s="87"/>
      <c r="C197" s="88">
        <f t="shared" si="59"/>
        <v>0</v>
      </c>
      <c r="D197" s="87"/>
      <c r="E197" s="87">
        <f t="shared" si="63"/>
        <v>2</v>
      </c>
      <c r="F197" s="89"/>
      <c r="G197" s="89"/>
      <c r="H197" s="89">
        <f t="shared" si="60"/>
        <v>0</v>
      </c>
      <c r="I197" s="89"/>
      <c r="J197" s="89"/>
      <c r="K197" s="90">
        <f t="shared" si="62"/>
        <v>0</v>
      </c>
      <c r="L197" s="255"/>
      <c r="M197" s="69"/>
    </row>
    <row r="198" spans="1:13" s="91" customFormat="1" hidden="1" x14ac:dyDescent="0.3">
      <c r="A198" s="86"/>
      <c r="B198" s="87"/>
      <c r="C198" s="88">
        <f t="shared" si="59"/>
        <v>0</v>
      </c>
      <c r="D198" s="87"/>
      <c r="E198" s="87">
        <f t="shared" si="63"/>
        <v>2</v>
      </c>
      <c r="F198" s="89"/>
      <c r="G198" s="89"/>
      <c r="H198" s="89">
        <f t="shared" si="60"/>
        <v>0</v>
      </c>
      <c r="I198" s="89"/>
      <c r="J198" s="89"/>
      <c r="K198" s="90">
        <f t="shared" si="62"/>
        <v>0</v>
      </c>
      <c r="L198" s="255"/>
      <c r="M198" s="69"/>
    </row>
    <row r="199" spans="1:13" s="91" customFormat="1" ht="15" thickBot="1" x14ac:dyDescent="0.35">
      <c r="A199" s="257"/>
      <c r="B199" s="258"/>
      <c r="C199" s="258"/>
      <c r="D199" s="92"/>
      <c r="E199" s="92"/>
      <c r="F199" s="93"/>
      <c r="G199" s="93"/>
      <c r="H199" s="123"/>
      <c r="I199" s="95"/>
      <c r="J199" s="95">
        <f>SUM(K192:K198)</f>
        <v>126000</v>
      </c>
      <c r="K199" s="96" t="str">
        <f>D191</f>
        <v>m</v>
      </c>
      <c r="L199" s="256"/>
      <c r="M199" s="69"/>
    </row>
    <row r="200" spans="1:13" s="85" customFormat="1" ht="22.5" hidden="1" customHeight="1" x14ac:dyDescent="0.3">
      <c r="A200" s="76" t="s">
        <v>206</v>
      </c>
      <c r="B200" s="77" t="s">
        <v>293</v>
      </c>
      <c r="C200" s="78" t="s">
        <v>296</v>
      </c>
      <c r="D200" s="79" t="s">
        <v>27</v>
      </c>
      <c r="E200" s="80" t="s">
        <v>178</v>
      </c>
      <c r="F200" s="81" t="s">
        <v>267</v>
      </c>
      <c r="G200" s="81" t="s">
        <v>231</v>
      </c>
      <c r="H200" s="122" t="s">
        <v>232</v>
      </c>
      <c r="I200" s="119" t="s">
        <v>269</v>
      </c>
      <c r="J200" s="81" t="s">
        <v>228</v>
      </c>
      <c r="K200" s="83" t="s">
        <v>229</v>
      </c>
      <c r="L200" s="254" t="s">
        <v>268</v>
      </c>
      <c r="M200" s="69"/>
    </row>
    <row r="201" spans="1:13" s="91" customFormat="1" ht="15" hidden="1" thickBot="1" x14ac:dyDescent="0.35">
      <c r="A201" s="86"/>
      <c r="B201" s="87"/>
      <c r="C201" s="88" t="str">
        <f t="shared" ref="C201:C207" si="64">C192</f>
        <v xml:space="preserve">DIVERSOS TRECHOS </v>
      </c>
      <c r="D201" s="87"/>
      <c r="E201" s="89">
        <v>2</v>
      </c>
      <c r="F201" s="89">
        <v>1</v>
      </c>
      <c r="G201" s="89"/>
      <c r="H201" s="89">
        <f t="shared" ref="H201:H207" si="65">H64</f>
        <v>0</v>
      </c>
      <c r="I201" s="89">
        <f t="shared" ref="I201:I207" si="66">K228</f>
        <v>0</v>
      </c>
      <c r="J201" s="89"/>
      <c r="K201" s="90">
        <f>ROUND(E201*F201,2)</f>
        <v>2</v>
      </c>
      <c r="L201" s="255"/>
      <c r="M201" s="69"/>
    </row>
    <row r="202" spans="1:13" s="91" customFormat="1" ht="15" hidden="1" thickBot="1" x14ac:dyDescent="0.35">
      <c r="A202" s="86"/>
      <c r="B202" s="87"/>
      <c r="C202" s="88">
        <f t="shared" si="64"/>
        <v>0</v>
      </c>
      <c r="D202" s="87"/>
      <c r="E202" s="89">
        <v>0</v>
      </c>
      <c r="F202" s="89">
        <v>0</v>
      </c>
      <c r="G202" s="89"/>
      <c r="H202" s="89">
        <f t="shared" si="65"/>
        <v>0</v>
      </c>
      <c r="I202" s="89">
        <f t="shared" si="66"/>
        <v>0</v>
      </c>
      <c r="J202" s="89"/>
      <c r="K202" s="90">
        <f t="shared" ref="K202:K207" si="67">ROUND(E202*F202,2)</f>
        <v>0</v>
      </c>
      <c r="L202" s="255"/>
      <c r="M202" s="69"/>
    </row>
    <row r="203" spans="1:13" s="91" customFormat="1" ht="15" hidden="1" thickBot="1" x14ac:dyDescent="0.35">
      <c r="A203" s="86"/>
      <c r="B203" s="87"/>
      <c r="C203" s="88">
        <f t="shared" si="64"/>
        <v>0</v>
      </c>
      <c r="D203" s="87"/>
      <c r="E203" s="89">
        <v>2</v>
      </c>
      <c r="F203" s="89">
        <v>1</v>
      </c>
      <c r="G203" s="89"/>
      <c r="H203" s="89">
        <f t="shared" si="65"/>
        <v>0</v>
      </c>
      <c r="I203" s="89">
        <f t="shared" si="66"/>
        <v>0</v>
      </c>
      <c r="J203" s="89"/>
      <c r="K203" s="90">
        <f t="shared" si="67"/>
        <v>2</v>
      </c>
      <c r="L203" s="255"/>
      <c r="M203" s="69"/>
    </row>
    <row r="204" spans="1:13" s="91" customFormat="1" ht="15" hidden="1" thickBot="1" x14ac:dyDescent="0.35">
      <c r="A204" s="86"/>
      <c r="B204" s="87"/>
      <c r="C204" s="88">
        <f t="shared" si="64"/>
        <v>0</v>
      </c>
      <c r="D204" s="87"/>
      <c r="E204" s="89">
        <v>2</v>
      </c>
      <c r="F204" s="89">
        <v>1</v>
      </c>
      <c r="G204" s="89"/>
      <c r="H204" s="89">
        <f t="shared" si="65"/>
        <v>0</v>
      </c>
      <c r="I204" s="89">
        <f t="shared" si="66"/>
        <v>0</v>
      </c>
      <c r="J204" s="89"/>
      <c r="K204" s="90">
        <f t="shared" si="67"/>
        <v>2</v>
      </c>
      <c r="L204" s="255"/>
      <c r="M204" s="69"/>
    </row>
    <row r="205" spans="1:13" s="91" customFormat="1" ht="15" hidden="1" thickBot="1" x14ac:dyDescent="0.35">
      <c r="A205" s="86"/>
      <c r="B205" s="87"/>
      <c r="C205" s="88">
        <f t="shared" si="64"/>
        <v>0</v>
      </c>
      <c r="D205" s="87"/>
      <c r="E205" s="89">
        <v>0</v>
      </c>
      <c r="F205" s="89">
        <v>0</v>
      </c>
      <c r="G205" s="89"/>
      <c r="H205" s="89">
        <f t="shared" si="65"/>
        <v>0</v>
      </c>
      <c r="I205" s="89">
        <f t="shared" si="66"/>
        <v>0</v>
      </c>
      <c r="J205" s="89"/>
      <c r="K205" s="90">
        <f t="shared" si="67"/>
        <v>0</v>
      </c>
      <c r="L205" s="255"/>
      <c r="M205" s="69"/>
    </row>
    <row r="206" spans="1:13" s="91" customFormat="1" ht="15" hidden="1" thickBot="1" x14ac:dyDescent="0.35">
      <c r="A206" s="86"/>
      <c r="B206" s="87"/>
      <c r="C206" s="88">
        <f t="shared" si="64"/>
        <v>0</v>
      </c>
      <c r="D206" s="87"/>
      <c r="E206" s="89">
        <v>2</v>
      </c>
      <c r="F206" s="89">
        <v>1</v>
      </c>
      <c r="G206" s="89"/>
      <c r="H206" s="89">
        <f t="shared" si="65"/>
        <v>0</v>
      </c>
      <c r="I206" s="89">
        <f t="shared" si="66"/>
        <v>0</v>
      </c>
      <c r="J206" s="89"/>
      <c r="K206" s="90">
        <f t="shared" si="67"/>
        <v>2</v>
      </c>
      <c r="L206" s="255"/>
      <c r="M206" s="69"/>
    </row>
    <row r="207" spans="1:13" s="91" customFormat="1" ht="15" hidden="1" thickBot="1" x14ac:dyDescent="0.35">
      <c r="A207" s="86"/>
      <c r="B207" s="87"/>
      <c r="C207" s="88">
        <f t="shared" si="64"/>
        <v>0</v>
      </c>
      <c r="D207" s="87"/>
      <c r="E207" s="89">
        <v>2</v>
      </c>
      <c r="F207" s="89">
        <v>1</v>
      </c>
      <c r="G207" s="89"/>
      <c r="H207" s="89">
        <f t="shared" si="65"/>
        <v>0</v>
      </c>
      <c r="I207" s="89">
        <f t="shared" si="66"/>
        <v>0</v>
      </c>
      <c r="J207" s="89"/>
      <c r="K207" s="90">
        <f t="shared" si="67"/>
        <v>2</v>
      </c>
      <c r="L207" s="255"/>
      <c r="M207" s="69"/>
    </row>
    <row r="208" spans="1:13" s="91" customFormat="1" ht="15" hidden="1" thickBot="1" x14ac:dyDescent="0.35">
      <c r="A208" s="257"/>
      <c r="B208" s="258"/>
      <c r="C208" s="258"/>
      <c r="D208" s="92"/>
      <c r="E208" s="92"/>
      <c r="F208" s="93"/>
      <c r="G208" s="93"/>
      <c r="H208" s="123"/>
      <c r="I208" s="95"/>
      <c r="J208" s="95">
        <f>SUM(K201:K207)</f>
        <v>10</v>
      </c>
      <c r="K208" s="96" t="str">
        <f>D200</f>
        <v>un</v>
      </c>
      <c r="L208" s="256"/>
      <c r="M208" s="69"/>
    </row>
    <row r="209" spans="1:13" s="85" customFormat="1" ht="30.6" x14ac:dyDescent="0.3">
      <c r="A209" s="76" t="s">
        <v>180</v>
      </c>
      <c r="B209" s="77" t="s">
        <v>211</v>
      </c>
      <c r="C209" s="78" t="s">
        <v>282</v>
      </c>
      <c r="D209" s="79" t="s">
        <v>277</v>
      </c>
      <c r="E209" s="80" t="s">
        <v>178</v>
      </c>
      <c r="F209" s="81" t="s">
        <v>235</v>
      </c>
      <c r="G209" s="81" t="s">
        <v>231</v>
      </c>
      <c r="H209" s="124" t="s">
        <v>264</v>
      </c>
      <c r="I209" s="81" t="s">
        <v>179</v>
      </c>
      <c r="J209" s="81" t="s">
        <v>181</v>
      </c>
      <c r="K209" s="83" t="s">
        <v>229</v>
      </c>
      <c r="L209" s="254" t="s">
        <v>271</v>
      </c>
      <c r="M209" s="69"/>
    </row>
    <row r="210" spans="1:13" s="91" customFormat="1" x14ac:dyDescent="0.3">
      <c r="A210" s="86"/>
      <c r="B210" s="87"/>
      <c r="C210" s="88" t="str">
        <f t="shared" ref="C210:C216" si="68">C192</f>
        <v xml:space="preserve">DIVERSOS TRECHOS </v>
      </c>
      <c r="D210" s="87"/>
      <c r="E210" s="87"/>
      <c r="F210" s="89"/>
      <c r="G210" s="89">
        <f t="shared" ref="G210:H216" si="69">G147</f>
        <v>1.5</v>
      </c>
      <c r="H210" s="89">
        <f t="shared" si="69"/>
        <v>100</v>
      </c>
      <c r="I210" s="89">
        <v>0.1</v>
      </c>
      <c r="J210" s="89"/>
      <c r="K210" s="90">
        <f>ROUND(G210*H210*I210,2)</f>
        <v>15</v>
      </c>
      <c r="L210" s="255"/>
      <c r="M210" s="69"/>
    </row>
    <row r="211" spans="1:13" s="91" customFormat="1" hidden="1" x14ac:dyDescent="0.3">
      <c r="A211" s="86"/>
      <c r="B211" s="87"/>
      <c r="C211" s="88">
        <f t="shared" si="68"/>
        <v>0</v>
      </c>
      <c r="D211" s="87"/>
      <c r="E211" s="87"/>
      <c r="F211" s="89"/>
      <c r="G211" s="89">
        <f t="shared" si="69"/>
        <v>0</v>
      </c>
      <c r="H211" s="89">
        <f t="shared" si="69"/>
        <v>0</v>
      </c>
      <c r="I211" s="89">
        <f>I210</f>
        <v>0.1</v>
      </c>
      <c r="J211" s="89"/>
      <c r="K211" s="90">
        <f t="shared" ref="K211:K216" si="70">ROUND(G211*H211*I211,2)</f>
        <v>0</v>
      </c>
      <c r="L211" s="255"/>
      <c r="M211" s="69"/>
    </row>
    <row r="212" spans="1:13" s="91" customFormat="1" hidden="1" x14ac:dyDescent="0.3">
      <c r="A212" s="86"/>
      <c r="B212" s="87"/>
      <c r="C212" s="88">
        <f t="shared" si="68"/>
        <v>0</v>
      </c>
      <c r="D212" s="87"/>
      <c r="E212" s="87"/>
      <c r="F212" s="89"/>
      <c r="G212" s="89">
        <f t="shared" si="69"/>
        <v>0</v>
      </c>
      <c r="H212" s="89">
        <f t="shared" si="69"/>
        <v>0</v>
      </c>
      <c r="I212" s="89">
        <f t="shared" ref="I212:I216" si="71">I211</f>
        <v>0.1</v>
      </c>
      <c r="J212" s="89"/>
      <c r="K212" s="90">
        <f t="shared" si="70"/>
        <v>0</v>
      </c>
      <c r="L212" s="255"/>
      <c r="M212" s="69"/>
    </row>
    <row r="213" spans="1:13" s="91" customFormat="1" hidden="1" x14ac:dyDescent="0.3">
      <c r="A213" s="86"/>
      <c r="B213" s="87"/>
      <c r="C213" s="88">
        <f t="shared" si="68"/>
        <v>0</v>
      </c>
      <c r="D213" s="87"/>
      <c r="E213" s="87"/>
      <c r="F213" s="89"/>
      <c r="G213" s="89">
        <f t="shared" si="69"/>
        <v>0</v>
      </c>
      <c r="H213" s="89">
        <f t="shared" si="69"/>
        <v>0</v>
      </c>
      <c r="I213" s="89">
        <f t="shared" si="71"/>
        <v>0.1</v>
      </c>
      <c r="J213" s="89"/>
      <c r="K213" s="90">
        <f t="shared" si="70"/>
        <v>0</v>
      </c>
      <c r="L213" s="255"/>
      <c r="M213" s="69"/>
    </row>
    <row r="214" spans="1:13" s="91" customFormat="1" hidden="1" x14ac:dyDescent="0.3">
      <c r="A214" s="86"/>
      <c r="B214" s="87"/>
      <c r="C214" s="88">
        <f t="shared" si="68"/>
        <v>0</v>
      </c>
      <c r="D214" s="87"/>
      <c r="E214" s="87"/>
      <c r="F214" s="89"/>
      <c r="G214" s="89">
        <f t="shared" si="69"/>
        <v>0</v>
      </c>
      <c r="H214" s="89">
        <f t="shared" si="69"/>
        <v>0</v>
      </c>
      <c r="I214" s="89">
        <f t="shared" si="71"/>
        <v>0.1</v>
      </c>
      <c r="J214" s="89"/>
      <c r="K214" s="90">
        <f t="shared" si="70"/>
        <v>0</v>
      </c>
      <c r="L214" s="255"/>
      <c r="M214" s="69"/>
    </row>
    <row r="215" spans="1:13" s="91" customFormat="1" hidden="1" x14ac:dyDescent="0.3">
      <c r="A215" s="86"/>
      <c r="B215" s="87"/>
      <c r="C215" s="88">
        <f t="shared" si="68"/>
        <v>0</v>
      </c>
      <c r="D215" s="87"/>
      <c r="E215" s="87"/>
      <c r="F215" s="89"/>
      <c r="G215" s="89">
        <f t="shared" si="69"/>
        <v>0</v>
      </c>
      <c r="H215" s="89">
        <f t="shared" si="69"/>
        <v>0</v>
      </c>
      <c r="I215" s="89">
        <f t="shared" si="71"/>
        <v>0.1</v>
      </c>
      <c r="J215" s="89"/>
      <c r="K215" s="90">
        <f t="shared" si="70"/>
        <v>0</v>
      </c>
      <c r="L215" s="255"/>
      <c r="M215" s="69"/>
    </row>
    <row r="216" spans="1:13" s="91" customFormat="1" hidden="1" x14ac:dyDescent="0.3">
      <c r="A216" s="86"/>
      <c r="B216" s="87"/>
      <c r="C216" s="88">
        <f t="shared" si="68"/>
        <v>0</v>
      </c>
      <c r="D216" s="87"/>
      <c r="E216" s="87"/>
      <c r="F216" s="89"/>
      <c r="G216" s="89">
        <f t="shared" si="69"/>
        <v>0</v>
      </c>
      <c r="H216" s="89">
        <f t="shared" si="69"/>
        <v>0</v>
      </c>
      <c r="I216" s="89">
        <f t="shared" si="71"/>
        <v>0.1</v>
      </c>
      <c r="J216" s="89"/>
      <c r="K216" s="90">
        <f t="shared" si="70"/>
        <v>0</v>
      </c>
      <c r="L216" s="255"/>
      <c r="M216" s="69"/>
    </row>
    <row r="217" spans="1:13" s="91" customFormat="1" ht="15" thickBot="1" x14ac:dyDescent="0.35">
      <c r="A217" s="257"/>
      <c r="B217" s="258"/>
      <c r="C217" s="258"/>
      <c r="D217" s="92"/>
      <c r="E217" s="92"/>
      <c r="F217" s="93"/>
      <c r="G217" s="93"/>
      <c r="H217" s="123"/>
      <c r="I217" s="95"/>
      <c r="J217" s="95">
        <f>SUM(K210:K216)</f>
        <v>15</v>
      </c>
      <c r="K217" s="96" t="str">
        <f>D209</f>
        <v>M2</v>
      </c>
      <c r="L217" s="256"/>
      <c r="M217" s="69"/>
    </row>
    <row r="218" spans="1:13" s="85" customFormat="1" ht="20.399999999999999" x14ac:dyDescent="0.3">
      <c r="A218" s="76" t="s">
        <v>206</v>
      </c>
      <c r="B218" s="77" t="s">
        <v>290</v>
      </c>
      <c r="C218" s="78" t="s">
        <v>295</v>
      </c>
      <c r="D218" s="79" t="s">
        <v>32</v>
      </c>
      <c r="E218" s="80" t="s">
        <v>178</v>
      </c>
      <c r="F218" s="81" t="s">
        <v>267</v>
      </c>
      <c r="G218" s="81" t="s">
        <v>231</v>
      </c>
      <c r="H218" s="124" t="s">
        <v>232</v>
      </c>
      <c r="I218" s="81" t="s">
        <v>179</v>
      </c>
      <c r="J218" s="81" t="s">
        <v>228</v>
      </c>
      <c r="K218" s="83" t="s">
        <v>229</v>
      </c>
      <c r="L218" s="254" t="s">
        <v>294</v>
      </c>
      <c r="M218" s="69"/>
    </row>
    <row r="219" spans="1:13" s="91" customFormat="1" x14ac:dyDescent="0.3">
      <c r="A219" s="86"/>
      <c r="B219" s="87"/>
      <c r="C219" s="88" t="str">
        <f t="shared" ref="C219:C225" si="72">C210</f>
        <v xml:space="preserve">DIVERSOS TRECHOS </v>
      </c>
      <c r="D219" s="87"/>
      <c r="E219" s="87"/>
      <c r="F219" s="89"/>
      <c r="G219" s="89"/>
      <c r="H219" s="89">
        <v>2000</v>
      </c>
      <c r="I219" s="89"/>
      <c r="J219" s="89"/>
      <c r="K219" s="90">
        <f>H219</f>
        <v>2000</v>
      </c>
      <c r="L219" s="255"/>
      <c r="M219" s="69"/>
    </row>
    <row r="220" spans="1:13" s="91" customFormat="1" hidden="1" x14ac:dyDescent="0.3">
      <c r="A220" s="86"/>
      <c r="B220" s="87"/>
      <c r="C220" s="88">
        <f t="shared" si="72"/>
        <v>0</v>
      </c>
      <c r="D220" s="87"/>
      <c r="E220" s="87"/>
      <c r="F220" s="89"/>
      <c r="G220" s="89"/>
      <c r="H220" s="89">
        <v>0</v>
      </c>
      <c r="I220" s="89"/>
      <c r="J220" s="89"/>
      <c r="K220" s="90">
        <f t="shared" ref="K220:K225" si="73">H220</f>
        <v>0</v>
      </c>
      <c r="L220" s="255"/>
      <c r="M220" s="69"/>
    </row>
    <row r="221" spans="1:13" s="91" customFormat="1" hidden="1" x14ac:dyDescent="0.3">
      <c r="A221" s="86"/>
      <c r="B221" s="87"/>
      <c r="C221" s="88">
        <f t="shared" si="72"/>
        <v>0</v>
      </c>
      <c r="D221" s="87"/>
      <c r="E221" s="87"/>
      <c r="F221" s="89"/>
      <c r="G221" s="89"/>
      <c r="H221" s="89"/>
      <c r="I221" s="89"/>
      <c r="J221" s="89"/>
      <c r="K221" s="90">
        <f t="shared" si="73"/>
        <v>0</v>
      </c>
      <c r="L221" s="255"/>
      <c r="M221" s="69"/>
    </row>
    <row r="222" spans="1:13" s="91" customFormat="1" hidden="1" x14ac:dyDescent="0.3">
      <c r="A222" s="86"/>
      <c r="B222" s="87"/>
      <c r="C222" s="88">
        <f t="shared" si="72"/>
        <v>0</v>
      </c>
      <c r="D222" s="87"/>
      <c r="E222" s="87"/>
      <c r="F222" s="89"/>
      <c r="G222" s="89"/>
      <c r="H222" s="89"/>
      <c r="I222" s="89"/>
      <c r="J222" s="89"/>
      <c r="K222" s="90">
        <f t="shared" si="73"/>
        <v>0</v>
      </c>
      <c r="L222" s="255"/>
      <c r="M222" s="69"/>
    </row>
    <row r="223" spans="1:13" s="91" customFormat="1" hidden="1" x14ac:dyDescent="0.3">
      <c r="A223" s="86"/>
      <c r="B223" s="87"/>
      <c r="C223" s="88">
        <f t="shared" si="72"/>
        <v>0</v>
      </c>
      <c r="D223" s="87"/>
      <c r="E223" s="87"/>
      <c r="F223" s="89"/>
      <c r="G223" s="89"/>
      <c r="H223" s="89"/>
      <c r="I223" s="89"/>
      <c r="J223" s="89"/>
      <c r="K223" s="90">
        <f t="shared" si="73"/>
        <v>0</v>
      </c>
      <c r="L223" s="255"/>
      <c r="M223" s="69"/>
    </row>
    <row r="224" spans="1:13" s="91" customFormat="1" hidden="1" x14ac:dyDescent="0.3">
      <c r="A224" s="86"/>
      <c r="B224" s="87"/>
      <c r="C224" s="88">
        <f t="shared" si="72"/>
        <v>0</v>
      </c>
      <c r="D224" s="87"/>
      <c r="E224" s="87"/>
      <c r="F224" s="89"/>
      <c r="G224" s="89"/>
      <c r="H224" s="89"/>
      <c r="I224" s="89"/>
      <c r="J224" s="89"/>
      <c r="K224" s="90">
        <f t="shared" si="73"/>
        <v>0</v>
      </c>
      <c r="L224" s="255"/>
      <c r="M224" s="69"/>
    </row>
    <row r="225" spans="1:20" s="91" customFormat="1" hidden="1" x14ac:dyDescent="0.3">
      <c r="A225" s="86"/>
      <c r="B225" s="87"/>
      <c r="C225" s="88">
        <f t="shared" si="72"/>
        <v>0</v>
      </c>
      <c r="D225" s="87"/>
      <c r="E225" s="87"/>
      <c r="F225" s="89"/>
      <c r="G225" s="89"/>
      <c r="H225" s="89">
        <v>0</v>
      </c>
      <c r="I225" s="89"/>
      <c r="J225" s="89"/>
      <c r="K225" s="90">
        <f t="shared" si="73"/>
        <v>0</v>
      </c>
      <c r="L225" s="255"/>
      <c r="M225" s="69"/>
    </row>
    <row r="226" spans="1:20" s="91" customFormat="1" ht="15" thickBot="1" x14ac:dyDescent="0.35">
      <c r="A226" s="257"/>
      <c r="B226" s="258"/>
      <c r="C226" s="258"/>
      <c r="D226" s="92"/>
      <c r="E226" s="92"/>
      <c r="F226" s="93"/>
      <c r="G226" s="93"/>
      <c r="H226" s="123"/>
      <c r="I226" s="95"/>
      <c r="J226" s="95">
        <f>SUM(K219:K225)</f>
        <v>2000</v>
      </c>
      <c r="K226" s="96" t="str">
        <f>D218</f>
        <v>m</v>
      </c>
      <c r="L226" s="256"/>
      <c r="M226" s="69"/>
    </row>
    <row r="227" spans="1:20" ht="18.600000000000001" customHeight="1" x14ac:dyDescent="0.3"/>
    <row r="228" spans="1:20" s="68" customFormat="1" ht="18.600000000000001" customHeight="1" x14ac:dyDescent="0.3">
      <c r="N228" s="69"/>
      <c r="O228" s="69"/>
      <c r="P228" s="69"/>
      <c r="Q228" s="69"/>
      <c r="R228" s="69"/>
      <c r="S228" s="69"/>
      <c r="T228" s="69"/>
    </row>
    <row r="229" spans="1:20" s="68" customFormat="1" x14ac:dyDescent="0.3">
      <c r="A229" s="273" t="str">
        <f>DADOS!F6</f>
        <v>SÃO FELIPE/BA</v>
      </c>
      <c r="B229" s="274"/>
      <c r="C229" s="274"/>
      <c r="D229" s="274"/>
      <c r="E229" s="70"/>
      <c r="F229" s="70"/>
      <c r="G229" s="278">
        <f>DADOS!F25</f>
        <v>45734</v>
      </c>
      <c r="H229" s="278"/>
      <c r="I229" s="278"/>
      <c r="J229" s="278"/>
      <c r="N229" s="69"/>
      <c r="O229" s="69"/>
      <c r="P229" s="69"/>
      <c r="Q229" s="69"/>
      <c r="R229" s="69"/>
      <c r="S229" s="69"/>
      <c r="T229" s="69"/>
    </row>
    <row r="230" spans="1:20" s="68" customFormat="1" x14ac:dyDescent="0.3">
      <c r="A230" s="275" t="s">
        <v>175</v>
      </c>
      <c r="B230" s="275"/>
      <c r="C230" s="275"/>
      <c r="D230" s="275"/>
      <c r="E230" s="70"/>
      <c r="F230" s="70"/>
      <c r="G230" s="275" t="s">
        <v>176</v>
      </c>
      <c r="H230" s="275"/>
      <c r="I230" s="275"/>
      <c r="J230" s="275"/>
      <c r="N230" s="69"/>
      <c r="O230" s="69"/>
      <c r="P230" s="69"/>
      <c r="Q230" s="69"/>
      <c r="R230" s="69"/>
      <c r="S230" s="69"/>
      <c r="T230" s="69"/>
    </row>
    <row r="231" spans="1:20" s="68" customFormat="1" x14ac:dyDescent="0.3">
      <c r="A231" s="70"/>
      <c r="B231" s="70"/>
      <c r="C231" s="70"/>
      <c r="D231" s="71"/>
      <c r="E231" s="70"/>
      <c r="F231" s="70"/>
      <c r="G231" s="70"/>
      <c r="H231" s="70"/>
      <c r="I231" s="70"/>
      <c r="N231" s="69"/>
      <c r="O231" s="69"/>
      <c r="P231" s="69"/>
      <c r="Q231" s="69"/>
      <c r="R231" s="69"/>
      <c r="S231" s="69"/>
      <c r="T231" s="69"/>
    </row>
    <row r="232" spans="1:20" s="68" customFormat="1" hidden="1" x14ac:dyDescent="0.3">
      <c r="A232" s="70"/>
      <c r="B232" s="70"/>
      <c r="C232" s="70"/>
      <c r="D232" s="71"/>
      <c r="E232" s="70"/>
      <c r="F232" s="70"/>
      <c r="G232" s="70"/>
      <c r="H232" s="70"/>
      <c r="I232" s="70"/>
      <c r="N232" s="69"/>
      <c r="O232" s="69"/>
      <c r="P232" s="69"/>
      <c r="Q232" s="69"/>
      <c r="R232" s="69"/>
      <c r="S232" s="69"/>
      <c r="T232" s="69"/>
    </row>
    <row r="233" spans="1:20" s="68" customFormat="1" hidden="1" x14ac:dyDescent="0.3">
      <c r="A233" s="70"/>
      <c r="B233" s="70"/>
      <c r="C233" s="70"/>
      <c r="D233" s="71"/>
      <c r="E233" s="70"/>
      <c r="F233" s="70"/>
      <c r="G233" s="70"/>
      <c r="H233" s="70"/>
      <c r="I233" s="70"/>
      <c r="N233" s="69"/>
      <c r="O233" s="69"/>
      <c r="P233" s="69"/>
      <c r="Q233" s="69"/>
      <c r="R233" s="69"/>
      <c r="S233" s="69"/>
      <c r="T233" s="69"/>
    </row>
    <row r="234" spans="1:20" s="68" customFormat="1" hidden="1" x14ac:dyDescent="0.3">
      <c r="A234" s="70"/>
      <c r="B234" s="70"/>
      <c r="C234" s="70"/>
      <c r="D234" s="71"/>
      <c r="E234" s="70"/>
      <c r="F234" s="70"/>
      <c r="G234" s="70"/>
      <c r="H234" s="70"/>
      <c r="I234" s="70"/>
      <c r="N234" s="69"/>
      <c r="O234" s="69"/>
      <c r="P234" s="69"/>
      <c r="Q234" s="69"/>
      <c r="R234" s="69"/>
      <c r="S234" s="69"/>
      <c r="T234" s="69"/>
    </row>
    <row r="235" spans="1:20" s="68" customFormat="1" hidden="1" x14ac:dyDescent="0.3">
      <c r="A235" s="70"/>
      <c r="B235" s="70"/>
      <c r="C235" s="70"/>
      <c r="D235" s="71"/>
      <c r="E235" s="70"/>
      <c r="F235" s="70"/>
      <c r="G235" s="70"/>
      <c r="H235" s="70"/>
      <c r="I235" s="70"/>
      <c r="N235" s="69"/>
      <c r="O235" s="69"/>
      <c r="P235" s="69"/>
      <c r="Q235" s="69"/>
      <c r="R235" s="69"/>
      <c r="S235" s="69"/>
      <c r="T235" s="69"/>
    </row>
    <row r="236" spans="1:20" s="68" customFormat="1" x14ac:dyDescent="0.3">
      <c r="A236" s="70"/>
      <c r="B236" s="70"/>
      <c r="C236" s="70"/>
      <c r="D236" s="71"/>
      <c r="E236" s="70"/>
      <c r="F236" s="70"/>
      <c r="G236" s="70"/>
      <c r="H236" s="70"/>
      <c r="I236" s="70"/>
      <c r="N236" s="69"/>
      <c r="O236" s="69"/>
      <c r="P236" s="69"/>
      <c r="Q236" s="69"/>
      <c r="R236" s="69"/>
      <c r="S236" s="69"/>
      <c r="T236" s="69"/>
    </row>
    <row r="237" spans="1:20" s="68" customFormat="1" x14ac:dyDescent="0.3">
      <c r="A237" s="276"/>
      <c r="B237" s="276"/>
      <c r="C237" s="276"/>
      <c r="D237" s="276"/>
      <c r="E237" s="70"/>
      <c r="F237" s="70"/>
      <c r="G237" s="70"/>
      <c r="H237" s="70"/>
      <c r="I237" s="70"/>
      <c r="N237" s="69"/>
      <c r="O237" s="69"/>
      <c r="P237" s="69"/>
      <c r="Q237" s="69"/>
      <c r="R237" s="69"/>
      <c r="S237" s="69"/>
      <c r="T237" s="69"/>
    </row>
    <row r="238" spans="1:20" s="68" customFormat="1" x14ac:dyDescent="0.3">
      <c r="A238" s="277" t="s">
        <v>177</v>
      </c>
      <c r="B238" s="277"/>
      <c r="C238" s="277"/>
      <c r="D238" s="277"/>
      <c r="E238" s="70"/>
      <c r="F238" s="70"/>
      <c r="G238" s="70"/>
      <c r="H238" s="70"/>
      <c r="I238" s="70"/>
      <c r="N238" s="69"/>
      <c r="O238" s="69"/>
      <c r="P238" s="69"/>
      <c r="Q238" s="69"/>
      <c r="R238" s="69"/>
      <c r="S238" s="69"/>
      <c r="T238" s="69"/>
    </row>
    <row r="239" spans="1:20" s="68" customFormat="1" x14ac:dyDescent="0.3">
      <c r="A239" s="270" t="s">
        <v>108</v>
      </c>
      <c r="B239" s="270"/>
      <c r="C239" s="271" t="str">
        <f>DADOS!F22</f>
        <v>Eliabe Vitória Souza</v>
      </c>
      <c r="D239" s="271"/>
      <c r="E239" s="70"/>
      <c r="F239" s="70"/>
      <c r="G239" s="70"/>
      <c r="H239" s="70"/>
      <c r="I239" s="70"/>
      <c r="N239" s="69"/>
      <c r="O239" s="69"/>
      <c r="P239" s="69"/>
      <c r="Q239" s="69"/>
      <c r="R239" s="69"/>
      <c r="S239" s="69"/>
      <c r="T239" s="69"/>
    </row>
    <row r="240" spans="1:20" s="68" customFormat="1" x14ac:dyDescent="0.3">
      <c r="A240" s="270" t="s">
        <v>272</v>
      </c>
      <c r="B240" s="270"/>
      <c r="C240" s="271" t="s">
        <v>300</v>
      </c>
      <c r="D240" s="271"/>
      <c r="E240" s="70"/>
      <c r="F240" s="70"/>
      <c r="G240" s="70"/>
      <c r="H240" s="70"/>
      <c r="I240" s="70"/>
      <c r="N240" s="69"/>
      <c r="O240" s="69"/>
      <c r="P240" s="69"/>
      <c r="Q240" s="69"/>
      <c r="R240" s="69"/>
      <c r="S240" s="69"/>
      <c r="T240" s="69"/>
    </row>
    <row r="241" spans="1:20" s="68" customFormat="1" x14ac:dyDescent="0.3">
      <c r="A241" s="270" t="s">
        <v>109</v>
      </c>
      <c r="B241" s="270"/>
      <c r="C241" s="272" t="str">
        <f>DADOS!F23</f>
        <v>CREA/BA:051487735-9</v>
      </c>
      <c r="D241" s="271"/>
      <c r="E241" s="70"/>
      <c r="F241" s="70"/>
      <c r="G241" s="70"/>
      <c r="H241" s="70"/>
      <c r="I241" s="70"/>
      <c r="N241" s="69"/>
      <c r="O241" s="69"/>
      <c r="P241" s="69"/>
      <c r="Q241" s="69"/>
      <c r="R241" s="69"/>
      <c r="S241" s="69"/>
      <c r="T241" s="69"/>
    </row>
  </sheetData>
  <mergeCells count="89">
    <mergeCell ref="G229:J229"/>
    <mergeCell ref="G230:J230"/>
    <mergeCell ref="L191:L199"/>
    <mergeCell ref="A199:C199"/>
    <mergeCell ref="L209:L217"/>
    <mergeCell ref="A217:C217"/>
    <mergeCell ref="L218:L226"/>
    <mergeCell ref="A226:C226"/>
    <mergeCell ref="L200:L208"/>
    <mergeCell ref="A208:C208"/>
    <mergeCell ref="A240:B240"/>
    <mergeCell ref="C240:D240"/>
    <mergeCell ref="A241:B241"/>
    <mergeCell ref="C241:D241"/>
    <mergeCell ref="A229:D229"/>
    <mergeCell ref="A230:D230"/>
    <mergeCell ref="A237:D237"/>
    <mergeCell ref="A238:D238"/>
    <mergeCell ref="A239:B239"/>
    <mergeCell ref="C239:D239"/>
    <mergeCell ref="L164:L172"/>
    <mergeCell ref="A172:C172"/>
    <mergeCell ref="L182:L190"/>
    <mergeCell ref="A190:C190"/>
    <mergeCell ref="A145:L145"/>
    <mergeCell ref="L146:L154"/>
    <mergeCell ref="A154:C154"/>
    <mergeCell ref="L155:L163"/>
    <mergeCell ref="A163:C163"/>
    <mergeCell ref="L173:L181"/>
    <mergeCell ref="A181:C181"/>
    <mergeCell ref="L81:L89"/>
    <mergeCell ref="A89:C89"/>
    <mergeCell ref="A90:L90"/>
    <mergeCell ref="L136:L144"/>
    <mergeCell ref="A144:C144"/>
    <mergeCell ref="L100:L108"/>
    <mergeCell ref="A108:C108"/>
    <mergeCell ref="L118:L126"/>
    <mergeCell ref="A126:C126"/>
    <mergeCell ref="L127:L135"/>
    <mergeCell ref="A135:C135"/>
    <mergeCell ref="A99:C99"/>
    <mergeCell ref="L91:L99"/>
    <mergeCell ref="L109:L117"/>
    <mergeCell ref="A117:C117"/>
    <mergeCell ref="L32:L34"/>
    <mergeCell ref="A80:C80"/>
    <mergeCell ref="L63:L71"/>
    <mergeCell ref="A71:C71"/>
    <mergeCell ref="L72:L80"/>
    <mergeCell ref="A13:L13"/>
    <mergeCell ref="L54:L62"/>
    <mergeCell ref="A62:C62"/>
    <mergeCell ref="A22:L22"/>
    <mergeCell ref="L23:L25"/>
    <mergeCell ref="A25:C25"/>
    <mergeCell ref="L26:L28"/>
    <mergeCell ref="A28:C28"/>
    <mergeCell ref="L29:L31"/>
    <mergeCell ref="A31:C31"/>
    <mergeCell ref="A35:L35"/>
    <mergeCell ref="L36:L44"/>
    <mergeCell ref="A44:C44"/>
    <mergeCell ref="L45:L53"/>
    <mergeCell ref="A53:C53"/>
    <mergeCell ref="A34:C34"/>
    <mergeCell ref="L19:L21"/>
    <mergeCell ref="A21:C21"/>
    <mergeCell ref="E14:K14"/>
    <mergeCell ref="A15:L15"/>
    <mergeCell ref="L16:L18"/>
    <mergeCell ref="A18:C18"/>
    <mergeCell ref="A1:F1"/>
    <mergeCell ref="A2:F2"/>
    <mergeCell ref="A3:F3"/>
    <mergeCell ref="A5:D5"/>
    <mergeCell ref="E5:I5"/>
    <mergeCell ref="A6:D6"/>
    <mergeCell ref="E6:J6"/>
    <mergeCell ref="A7:D7"/>
    <mergeCell ref="E7:F7"/>
    <mergeCell ref="G7:H7"/>
    <mergeCell ref="I7:J7"/>
    <mergeCell ref="A8:D8"/>
    <mergeCell ref="E8:F8"/>
    <mergeCell ref="G8:H8"/>
    <mergeCell ref="I8:J8"/>
    <mergeCell ref="A10:K10"/>
  </mergeCells>
  <phoneticPr fontId="33" type="noConversion"/>
  <printOptions horizontalCentered="1"/>
  <pageMargins left="0.59055118110236227" right="0.59055118110236227" top="0.88" bottom="0.89" header="0.31496062992125984" footer="0.31496062992125984"/>
  <pageSetup paperSize="9" scale="55" fitToHeight="0" orientation="portrait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MENU</vt:lpstr>
      <vt:lpstr>DADOS</vt:lpstr>
      <vt:lpstr>BDI SERVIÇO</vt:lpstr>
      <vt:lpstr>BDI INSUMO</vt:lpstr>
      <vt:lpstr>PLQ</vt:lpstr>
      <vt:lpstr>'BDI INSUMO'!Area_de_impressao</vt:lpstr>
      <vt:lpstr>'BDI SERVIÇO'!Area_de_impressao</vt:lpstr>
      <vt:lpstr>MENU!Area_de_impressao</vt:lpstr>
      <vt:lpstr>PLQ!Area_de_impressao</vt:lpstr>
      <vt:lpstr>PLQ!Titulos_de_impressao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Karolyne Santana dos Santos</cp:lastModifiedBy>
  <cp:revision>5</cp:revision>
  <cp:lastPrinted>2025-05-26T16:27:53Z</cp:lastPrinted>
  <dcterms:created xsi:type="dcterms:W3CDTF">1997-01-10T22:22:50Z</dcterms:created>
  <dcterms:modified xsi:type="dcterms:W3CDTF">2025-06-04T16:06:16Z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