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updateLinks="never"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G:\Meu Drive\CAMPO\SÃO FELIPE\ATA ASFALTO\SÃO FELIPE_ATA ASFALTO\EDITÁVEIS\"/>
    </mc:Choice>
  </mc:AlternateContent>
  <xr:revisionPtr revIDLastSave="0" documentId="13_ncr:1_{BABF13FB-B663-474C-B254-6AA3E69CA71A}" xr6:coauthVersionLast="47" xr6:coauthVersionMax="47" xr10:uidLastSave="{00000000-0000-0000-0000-000000000000}"/>
  <bookViews>
    <workbookView xWindow="-108" yWindow="-108" windowWidth="23256" windowHeight="12456" tabRatio="732" activeTab="6" xr2:uid="{00000000-000D-0000-FFFF-FFFF00000000}"/>
  </bookViews>
  <sheets>
    <sheet name="DADOS" sheetId="2" r:id="rId1"/>
    <sheet name="BDI SERVIÇO" sheetId="25" r:id="rId2"/>
    <sheet name="BDI (2)" sheetId="24" state="hidden" r:id="rId3"/>
    <sheet name="SÃO SEBASTIAO" sheetId="27" state="hidden" r:id="rId4"/>
    <sheet name="SÃO BENEDITO" sheetId="28" state="hidden" r:id="rId5"/>
    <sheet name="RUA DA LINHA" sheetId="29" state="hidden" r:id="rId6"/>
    <sheet name="BDI INSUMO" sheetId="33" r:id="rId7"/>
    <sheet name="PLQ" sheetId="32" r:id="rId8"/>
    <sheet name="COMPOSIÇÕES" sheetId="19" state="hidden" r:id="rId9"/>
    <sheet name="Cotações " sheetId="26" state="hidden" r:id="rId10"/>
    <sheet name="PLANILHA REPROGRAMAÇÃO" sheetId="6" state="hidden" r:id="rId11"/>
    <sheet name="PLANILHA SERVIÇOS EXTRAS" sheetId="11" state="hidden" r:id="rId12"/>
    <sheet name="PLANILHA CONTROLE" sheetId="12" state="hidden" r:id="rId13"/>
  </sheets>
  <externalReferences>
    <externalReference r:id="rId14"/>
    <externalReference r:id="rId15"/>
    <externalReference r:id="rId16"/>
    <externalReference r:id="rId17"/>
    <externalReference r:id="rId18"/>
  </externalReferences>
  <definedNames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ACOMPANHAMENTO" hidden="1">IF(VALUE([1]MENU!$O$4)=2,"BM","PLE")</definedName>
    <definedName name="ACRE" hidden="1">#REF!</definedName>
    <definedName name="ademir" hidden="1">{#N/A,#N/A,FALSE,"Cronograma";#N/A,#N/A,FALSE,"Cronogr. 2"}</definedName>
    <definedName name="_xlnm.Print_Area" localSheetId="2">'BDI (2)'!$A$1:$R$57</definedName>
    <definedName name="_xlnm.Print_Area" localSheetId="6">'BDI INSUMO'!$I$1:$R$61</definedName>
    <definedName name="_xlnm.Print_Area" localSheetId="1">'BDI SERVIÇO'!$I$1:$R$61</definedName>
    <definedName name="_xlnm.Print_Area" localSheetId="8">COMPOSIÇÕES!$A$1:$J$43</definedName>
    <definedName name="_xlnm.Print_Area" localSheetId="9">'Cotações '!$A$1:$F$140</definedName>
    <definedName name="_xlnm.Print_Area" localSheetId="12">'PLANILHA CONTROLE'!$A$1:$O$76</definedName>
    <definedName name="_xlnm.Print_Area" localSheetId="10">'PLANILHA REPROGRAMAÇÃO'!$A$1:$N$85</definedName>
    <definedName name="_xlnm.Print_Area" localSheetId="11">'PLANILHA SERVIÇOS EXTRAS'!$A$1:$K$48</definedName>
    <definedName name="_xlnm.Print_Area" localSheetId="7">PLQ!$A$1:$L$349</definedName>
    <definedName name="_xlnm.Print_Area" localSheetId="5">'RUA DA LINHA'!$A$1:$J$47</definedName>
    <definedName name="_xlnm.Print_Area" localSheetId="4">'SÃO BENEDITO'!$A$1:$J$49</definedName>
    <definedName name="_xlnm.Print_Area" localSheetId="3">'SÃO SEBASTIAO'!$A$1:$J$49</definedName>
    <definedName name="AUTOEVENTO" hidden="1">[1]CÁLCULO!$A$12</definedName>
    <definedName name="BDI.Opcao" hidden="1">[1]DADOS!$F$18</definedName>
    <definedName name="BDI.TipoObra" hidden="1">[1]BDI!$A$138:$A$146</definedName>
    <definedName name="BM.AFAcumulado" hidden="1">[1]BM!$R1</definedName>
    <definedName name="BM.AFAnterior" hidden="1">[1]BM!$Q1</definedName>
    <definedName name="BM.MaxMed" hidden="1">IF(RegimeExecucao="Global",1,[1]BM!$G1)</definedName>
    <definedName name="BM.MEDAcumulado" hidden="1">IF(COUNTIF([1]BM!$AB$13:$AM$13,BM.medicao)&gt;0,SUM(OFFSET([1]BM!$AB1,0,0,1,MATCH(BM.medicao,[1]BM!$AB$13:$AM$13,0))),0)</definedName>
    <definedName name="BM.MEDAnterior" hidden="1">IF(COUNTIF([1]BM!$AB$13:$AM$13,BM.medicao-1)&gt;0,SUM(OFFSET([1]BM!$AB1,0,0,1,MATCH(BM.medicao-1,[1]BM!$AB$13:$AM$13,0))),0)</definedName>
    <definedName name="BM.medicao" hidden="1">OFFSET([1]BM!$O$7,1,0)</definedName>
    <definedName name="BM.MinMed" hidden="1">IF(RegimeExecucao="Global",-1,-[1]BM!$G1)</definedName>
    <definedName name="bosta" hidden="1">{#N/A,#N/A,FALSE,"Cronograma";#N/A,#N/A,FALSE,"Cronogr. 2"}</definedName>
    <definedName name="CA´L" hidden="1">{#N/A,#N/A,FALSE,"Cronograma";#N/A,#N/A,FALSE,"Cronogr. 2"}</definedName>
    <definedName name="CAIXA.Modo" hidden="1">[1]BM!$A$3</definedName>
    <definedName name="CÁLCULO.NúmeroDeEventos" hidden="1">IF(AUTOEVENTO&lt;&gt;"manual",MAX([1]CÁLCULO!$M$15:$M$39),MAX(OFFSET([1]EVENTOS!$C$14:$C$21,1,0)))</definedName>
    <definedName name="CÁLCULO.NúmeroDeFrentes" hidden="1">COLUMN([1]CÁLCULO!$AA$15)-COLUMN([1]CÁLCULO!$Q$15)</definedName>
    <definedName name="CÁLCULO.TotalAdmLocal" hidden="1">IF(AUTOEVENTO="manual",SUMIF([1]CÁLCULO!$M$15:$M$39,1,[1]ORÇAMENTO!$X$15:$X$39),0)</definedName>
    <definedName name="CONCATENAR" localSheetId="9">CONCATENATE('Cotações '!$A1," ",'Cotações '!$B1)</definedName>
    <definedName name="CONCATENAR">CONCATENATE([2]Banco!$B1," ",[2]Banco!$C1)</definedName>
    <definedName name="concorrentes" hidden="1">{#N/A,#N/A,FALSE,"Cronograma";#N/A,#N/A,FALSE,"Cronogr. 2"}</definedName>
    <definedName name="Cot.LP.Banco" localSheetId="9">#REF!</definedName>
    <definedName name="Cot.LP.Banco">#REF!</definedName>
    <definedName name="Cot.LP.Cot" localSheetId="9">#REF!</definedName>
    <definedName name="Cot.LP.Cot">#REF!</definedName>
    <definedName name="Cot.LP.Cotacao" localSheetId="9">#REF!</definedName>
    <definedName name="Cot.LP.Cotacao">#REF!</definedName>
    <definedName name="Cot.LP.Empresa" localSheetId="9">#REF!</definedName>
    <definedName name="Cot.LP.Empresa">#REF!</definedName>
    <definedName name="Cot.LP.Indice" localSheetId="9">#REF!</definedName>
    <definedName name="Cot.LP.Indice">#REF!</definedName>
    <definedName name="CRONO.LinhasNecessarias" hidden="1">COUNTIF([1]QCI!$B$13:$B$24,"Manual")+COUNTIF([1]QCI!$B$13:$B$24,"SemiAuto")+COUNT(ORÇAMENTO.ListaCrono)</definedName>
    <definedName name="CRONO.MaxParc" hidden="1">[1]CRONO!$G1048576+[1]CRONO!A1</definedName>
    <definedName name="CRONO.NivelExibicao" hidden="1">[1]CRONO!$G$10</definedName>
    <definedName name="CRONOPLE.ValorDoEvento" hidden="1">SUMIF([1]CÁLCULO!$M$15:$M$39,[1]CRONOPLE!$B1,OFFSET([1]CÁLCULO!$AA$15:$AA$39,0,[1]CRONOPLE!A$12))</definedName>
    <definedName name="DescForms" localSheetId="2">#REF!</definedName>
    <definedName name="DescForms" localSheetId="6">#REF!</definedName>
    <definedName name="DescForms" localSheetId="1">#REF!</definedName>
    <definedName name="DescForms" localSheetId="9">#REF!</definedName>
    <definedName name="DescForms">#REF!</definedName>
    <definedName name="DESONERACAO" hidden="1">IF(OR(Import.Desoneracao="DESONERADO",Import.Desoneracao="SIM"),"SIM","NÃO")</definedName>
    <definedName name="EMPRESAS" localSheetId="2">OFFSET([3]Cotações!#REF!,1,0):OFFSET([3]Cotações!#REF!,-1,0)</definedName>
    <definedName name="EMPRESAS" localSheetId="6">OFFSET([3]Cotações!#REF!,1,0):OFFSET([3]Cotações!#REF!,-1,0)</definedName>
    <definedName name="EMPRESAS" localSheetId="1">OFFSET([3]Cotações!#REF!,1,0):OFFSET([3]Cotações!#REF!,-1,0)</definedName>
    <definedName name="EMPRESAS" localSheetId="9">OFFSET('Cotações '!#REF!,1,0):OFFSET('Cotações '!#REF!,-1,0)</definedName>
    <definedName name="EMPRESAS">OFFSET([4]Cotações!#REF!,1,0):OFFSET([4]Cotações!#REF!,-1,0)</definedName>
    <definedName name="EVENTOS.Lista" hidden="1">[1]EVENTOS!$C$15:OFFSET([1]EVENTOS!$C$21,-1,0)</definedName>
    <definedName name="EVENTOS.ListaValidacao" hidden="1">[1]EVENTOS!$B$15:OFFSET([1]EVENTOS!$B$21,-1,0)</definedName>
    <definedName name="Excel_BuiltIn_Database" hidden="1">TEXT(Import.DataBase,"mm-aaaa")</definedName>
    <definedName name="FiltroCot" localSheetId="9">#REF!</definedName>
    <definedName name="FiltroCot">#REF!</definedName>
    <definedName name="Import.Apelido" hidden="1">[1]DADOS!$F$16</definedName>
    <definedName name="Import.BMAFAcumulado" hidden="1">OFFSET([1]BM!$R$15,1,0):OFFSET([1]BM!$R$39,-1,0)</definedName>
    <definedName name="Import.CNPJ" hidden="1">[1]DADOS!$F$38</definedName>
    <definedName name="Import.Código" hidden="1">OFFSET([1]ORÇAMENTO!$Q$15,1,0):OFFSET([1]ORÇAMENTO!$Q$39,-1,0)</definedName>
    <definedName name="Import.Contrapartida" hidden="1">[1]DADOS!$F$10</definedName>
    <definedName name="Import.CPMaxPerc" hidden="1">[1]DADOS!$F$13</definedName>
    <definedName name="Import.CPMinAbsoluta" hidden="1">[1]DADOS!$F$12</definedName>
    <definedName name="Import.CPMinPerc" hidden="1">[1]DADOS!$F$11</definedName>
    <definedName name="Import.CR" hidden="1">[1]DADOS!$F$7</definedName>
    <definedName name="Import.CRONOPLE" hidden="1">OFFSET([1]CRONOPLE!$F$15,1,1):OFFSET([1]CRONOPLE!$AF$21,-1,-1)</definedName>
    <definedName name="Import.CTEF" hidden="1">[1]DADOS!$F$36</definedName>
    <definedName name="Import.CustoUnitário" hidden="1">OFFSET([1]ORÇAMENTO!$U$15,1,0):OFFSET([1]ORÇAMENTO!$U$39,-1,0)</definedName>
    <definedName name="Import.DataBase" hidden="1">OFFSET([1]DADOS!$G$19,0,-1)</definedName>
    <definedName name="Import.DataBaseLicit" hidden="1">OFFSET([1]DADOS!$G$40,0,-1)</definedName>
    <definedName name="Import.DataInicioObra" hidden="1">[1]DADOS!$F$46</definedName>
    <definedName name="Import.DescLote" hidden="1">[1]DADOS!$F$17</definedName>
    <definedName name="Import.Descrição" hidden="1">OFFSET([1]ORÇAMENTO!$R$15,1,0):OFFSET([1]ORÇAMENTO!$R$39,-1,0)</definedName>
    <definedName name="Import.Desoneracao" hidden="1">OFFSET([1]DADOS!$G$18,0,-1)</definedName>
    <definedName name="Import.empresa" hidden="1">[1]DADOS!$F$37</definedName>
    <definedName name="Import.Eventos.Nomes" hidden="1">OFFSET([1]EVENTOS!$D$15,1,0):OFFSET([1]EVENTOS!$D$21,-1,0)</definedName>
    <definedName name="Import.Fonte" hidden="1">OFFSET([1]ORÇAMENTO!$P$15,1,0):OFFSET([1]ORÇAMENTO!$P$39,-1,0)</definedName>
    <definedName name="Import.FrenteDeObra" hidden="1">[1]CÁLCULO!$Q$12:OFFSET([1]CÁLCULO!$AA$12,0,-1)</definedName>
    <definedName name="Import.Município" hidden="1">[1]DADOS!$F$6</definedName>
    <definedName name="Import.Nível" hidden="1">OFFSET([1]ORÇAMENTO!$M$15,1,0):OFFSET([1]ORÇAMENTO!$M$39,-1,0)</definedName>
    <definedName name="Import.OpcaoBDI" hidden="1">OFFSET([1]ORÇAMENTO!$V$15,1,0):OFFSET([1]ORÇAMENTO!$V$39,-1,0)</definedName>
    <definedName name="Import.ORÇAMENTO.DivRecurso" hidden="1">OFFSET([1]ORÇAMENTO!$Y$15,1,0):OFFSET([1]ORÇAMENTO!$Y$39,-1,0)</definedName>
    <definedName name="Import.PLE" hidden="1">OFFSET([1]PLE!$G$15,1,1):OFFSET([1]PLE!$AG$21,-1,-1)</definedName>
    <definedName name="Import.PLQ" hidden="1">OFFSET([1]CÁLCULO!$P$15,1,1):OFFSET([1]CÁLCULO!$AA$39,-1,-1)</definedName>
    <definedName name="Import.PLQ.MemCalc" hidden="1">OFFSET([1]CÁLCULO!$I$15,1,0):OFFSET([1]CÁLCULO!$I$39,-1,0)</definedName>
    <definedName name="Import.Proponente" hidden="1">[1]DADOS!$F$5</definedName>
    <definedName name="Import.QCI.Divisao" hidden="1">OFFSET([1]QCI!$V$13,1,0):OFFSET([1]QCI!$V$24,-1,0)</definedName>
    <definedName name="Import.QCI.ItemInv" hidden="1">OFFSET([1]QCI!$E$13,1,0):OFFSET([1]QCI!$E$24,-1,0)</definedName>
    <definedName name="Import.QCI.Qtde" hidden="1">OFFSET([1]QCI!$I$13,1,0):OFFSET([1]QCI!$I$24,-1,0)</definedName>
    <definedName name="Import.QCI.Situacao" hidden="1">OFFSET([1]QCI!$H$13,1,0):OFFSET([1]QCI!$H$24,-1,0)</definedName>
    <definedName name="Import.QCI.SubItemInv" hidden="1">OFFSET([1]QCI!$F$13,1,0):OFFSET([1]QCI!$F$24,-1,0)</definedName>
    <definedName name="Import.QCICP" hidden="1">OFFSET([1]QCI!$W$13,1,0):OFFSET([1]QCI!$W$24,-1,0)</definedName>
    <definedName name="Import.QCIDesc" hidden="1">OFFSET([1]QCI!$R$13,1,0):OFFSET([1]QCI!$R$24,-1,0)</definedName>
    <definedName name="Import.QCIInv" hidden="1">OFFSET([1]QCI!$U$13,1,0):OFFSET([1]QCI!$U$24,-1,0)</definedName>
    <definedName name="Import.QCILote" hidden="1">OFFSET([1]QCI!$T$13,1,0):OFFSET([1]QCI!$T$24,-1,0)</definedName>
    <definedName name="Import.QCIOutros" hidden="1">OFFSET([1]QCI!$X$13,1,0):OFFSET([1]QCI!$X$24,-1,0)</definedName>
    <definedName name="Import.Quantidade" hidden="1">OFFSET([1]ORÇAMENTO!$AJ$15,1,0):OFFSET([1]ORÇAMENTO!$AJ$39,-1,0)</definedName>
    <definedName name="import.recurso" hidden="1">[1]DADOS!$F$4</definedName>
    <definedName name="Import.RegimeExecução" hidden="1">OFFSET([1]DADOS!$G$39,0,-1)</definedName>
    <definedName name="Import.Repasse" hidden="1">[1]DADOS!$F$9</definedName>
    <definedName name="Import.RespFiscalização" hidden="1">[1]DADOS!$F$50:$F$53</definedName>
    <definedName name="Import.RespOrçamento" hidden="1">[1]DADOS!$F$22:$F$24</definedName>
    <definedName name="Import.SICONV" hidden="1">[1]DADOS!$F$8</definedName>
    <definedName name="Import.Unidade" hidden="1">OFFSET([1]ORÇAMENTO!$S$15,1,0):OFFSET([1]ORÇAMENTO!$S$39,-1,0)</definedName>
    <definedName name="Import.UnitarioLicitado" hidden="1">OFFSET([1]ORÇAMENTO!$AL$15,1,0):OFFSET([1]ORÇAMENTO!$AL$39,-1,0)</definedName>
    <definedName name="INDICES" localSheetId="2">OFFSET([3]Cotações!#REF!,1,0):OFFSET([3]Cotações!#REF!,-1,0)</definedName>
    <definedName name="INDICES" localSheetId="6">OFFSET([3]Cotações!#REF!,1,0):OFFSET([3]Cotações!#REF!,-1,0)</definedName>
    <definedName name="INDICES" localSheetId="1">OFFSET([3]Cotações!#REF!,1,0):OFFSET([3]Cotações!#REF!,-1,0)</definedName>
    <definedName name="INDICES" localSheetId="9">OFFSET('Cotações '!#REF!,1,0):OFFSET('Cotações '!#REF!,-1,0)</definedName>
    <definedName name="INDICES">OFFSET([4]Cotações!#REF!,1,0):OFFSET([4]Cotações!#REF!,-1,0)</definedName>
    <definedName name="MENU.CRONO" hidden="1">OFFSET([1]CRONO!$T$11,1,0)</definedName>
    <definedName name="NCOMPOSICOES" localSheetId="9">27</definedName>
    <definedName name="NCOMPOSICOES">27</definedName>
    <definedName name="NCOTACOES" localSheetId="9">19</definedName>
    <definedName name="NCOTACOES">19</definedName>
    <definedName name="NEMPRESAS" localSheetId="9">33</definedName>
    <definedName name="NEMPRESAS">33</definedName>
    <definedName name="NINDICES">3</definedName>
    <definedName name="NRELATORIOS" localSheetId="9">COUNTA([2]Relatórios!$A:$A)-2</definedName>
    <definedName name="NRELATORIOS">COUNTA([2]Relatórios!$A:$A)-2</definedName>
    <definedName name="NumerEmpresa" localSheetId="9">33</definedName>
    <definedName name="NumerEmpresa">33</definedName>
    <definedName name="NumerIndice">3</definedName>
    <definedName name="Objeto" localSheetId="7" hidden="1">[1]MENU!$J$1</definedName>
    <definedName name="Objeto">"Referência"</definedName>
    <definedName name="OQUE">#REF!</definedName>
    <definedName name="ORÇAMENTO.BancoRef" localSheetId="9" hidden="1">#REF!</definedName>
    <definedName name="ORÇAMENTO.BancoRef" localSheetId="7" hidden="1">[1]ORÇAMENTO!$F$8</definedName>
    <definedName name="ORÇAMENTO.BancoRef" hidden="1">#REF!</definedName>
    <definedName name="ORÇAMENTO.CodBarra" hidden="1">IF(ORÇAMENTO.Fonte="Sinapi",SUBSTITUTE(SUBSTITUTE(ORÇAMENTO.Codigo,"/00","/"),"/0","/"),ORÇAMENTO.Codigo)</definedName>
    <definedName name="ORÇAMENTO.Codigo" hidden="1">[1]ORÇAMENTO!$Q1</definedName>
    <definedName name="ORÇAMENTO.CustoUnitario" hidden="1">ROUND([1]ORÇAMENTO!$U1,15-13*[1]ORÇAMENTO!$AF$8)</definedName>
    <definedName name="ORÇAMENTO.Descricao" hidden="1">[1]ORÇAMENTO!$R1</definedName>
    <definedName name="ORÇAMENTO.Fonte" hidden="1">[1]ORÇAMENTO!$P1</definedName>
    <definedName name="ORÇAMENTO.ListaCrono" hidden="1">OFFSET([1]ORÇAMENTO!$AD$15,1,0):OFFSET([1]ORÇAMENTO!$AD$39,-1,0)</definedName>
    <definedName name="ORÇAMENTO.MáximoListaCrono" hidden="1">MAX(ORÇAMENTO.ListaCrono)</definedName>
    <definedName name="ORÇAMENTO.Nivel" hidden="1">[1]ORÇAMENTO!$M1</definedName>
    <definedName name="ORÇAMENTO.OpcaoBDI" hidden="1">[1]ORÇAMENTO!$V1</definedName>
    <definedName name="ORÇAMENTO.PasteFormat1" hidden="1">OFFSET([1]ORÇAMENTO!$P$15,1,0):OFFSET([1]ORÇAMENTO!$S$39,-1,0)</definedName>
    <definedName name="ORÇAMENTO.PasteFormat2" hidden="1">OFFSET([1]ORÇAMENTO!$U$15,1,0):OFFSET([1]ORÇAMENTO!$V$39,-1,0)</definedName>
    <definedName name="ORÇAMENTO.PrecoUnitarioLicitado" hidden="1">[1]ORÇAMENTO!$AL1</definedName>
    <definedName name="ORÇAMENTO.RangeQuant" hidden="1">OFFSET([1]ORÇAMENTO!$T$15,1,0):OFFSET([1]ORÇAMENTO!$T$39,-1,0)</definedName>
    <definedName name="ORÇAMENTO.SumCPMANUAL" hidden="1">SUMIF([1]ORÇAMENTO!$Z$15:$Z$39,"CP",[1]ORÇAMENTO!$AA$15:$AA$39)</definedName>
    <definedName name="ORÇAMENTO.SumINVMANUAL" hidden="1">SUMIF([1]ORÇAMENTO!$Z$15:$Z$39,"RP",[1]ORÇAMENTO!$X$15:$X$39)+SUMIF([1]ORÇAMENTO!$Z$15:$Z$39,"CP",[1]ORÇAMENTO!$X$15:$X$39)+SUMIF([1]ORÇAMENTO!$Z$15:$Z$39,"OU",[1]ORÇAMENTO!$X$15:$X$39)</definedName>
    <definedName name="ORÇAMENTO.SumOUTROSMANUAL" hidden="1">SUMIF([1]ORÇAMENTO!$Z$15:$Z$39,"OU",[1]ORÇAMENTO!$AB$15:$AB$39)</definedName>
    <definedName name="ORÇAMENTO.SumREPASSEMANUAL" hidden="1">ORÇAMENTO.SumINVMANUAL-ORÇAMENTO.SumCPMANUAL-ORÇAMENTO.SumOUTROSMANUAL</definedName>
    <definedName name="ORÇAMENTO.Unidade" hidden="1">[1]ORÇAMENTO!$S1</definedName>
    <definedName name="PLANOS" localSheetId="2">#REF!</definedName>
    <definedName name="PLANOS" localSheetId="6">#REF!</definedName>
    <definedName name="PLANOS" localSheetId="1">#REF!</definedName>
    <definedName name="PLANOS" localSheetId="9">#REF!</definedName>
    <definedName name="PLANOS">#REF!</definedName>
    <definedName name="PLANOS." localSheetId="2">#REF!</definedName>
    <definedName name="PLANOS." localSheetId="6">#REF!</definedName>
    <definedName name="PLANOS." localSheetId="1">#REF!</definedName>
    <definedName name="PLANOS." localSheetId="9">#REF!</definedName>
    <definedName name="PLANOS.">#REF!</definedName>
    <definedName name="PLE.firstrow" hidden="1">[1]PLE!$15:$15</definedName>
    <definedName name="PLE.lastrow" hidden="1">[1]PLE!$21:$21</definedName>
    <definedName name="PLE.Medicao" hidden="1">[1]PLE!$J$9</definedName>
    <definedName name="PLE.ValorDoEvento" hidden="1">SUMIF([1]CÁLCULO!$M$15:$M$39,[1]PLE!$B1,OFFSET([1]CÁLCULO!$AA$15:$AA$39,0,[1]PLE!A$12))</definedName>
    <definedName name="PO.ValoresBDI" hidden="1">OFFSET([1]ORÇAMENTO!$AH$15,1,0):OFFSET([1]ORÇAMENTO!$AH$39,-1,0)</definedName>
    <definedName name="Popular" hidden="1">{#N/A,#N/A,FALSE,"Cronograma";#N/A,#N/A,FALSE,"Cronogr. 2"}</definedName>
    <definedName name="QCI.CPManual" hidden="1">ROUND([1]QCI!$W1,2)</definedName>
    <definedName name="QCI.DescManual" hidden="1">[1]QCI!$R1</definedName>
    <definedName name="QCI.Divisao" hidden="1">[1]QCI!$V1</definedName>
    <definedName name="QCI.ExisteManual" hidden="1">(COUNTIF([1]QCI!$B$13:$B$24,"Manual")+COUNTIF([1]QCI!$B$13:$B$24,"SemiAuto"))&gt;0</definedName>
    <definedName name="QCI.InvManual" hidden="1">ROUND([1]QCI!$U1,2)</definedName>
    <definedName name="QCI.ItemInvestimento" hidden="1">OFFSET([1]DADOS!$J$2,1,0,COUNTA([1]DADOS!$J:$J)-1,1)</definedName>
    <definedName name="QCI.LoteManual" hidden="1">[1]QCI!$T1</definedName>
    <definedName name="QCI.MaxCPManual" hidden="1">[1]QCI!$O1-[1]QCI!$X1</definedName>
    <definedName name="QCI.MaxOUManual" hidden="1">[1]QCI!$O1-[1]QCI!$W1</definedName>
    <definedName name="QCI.OutrosManual" hidden="1">ROUND([1]QCI!$X1,2)</definedName>
    <definedName name="QCI.SubItemInvestimento" hidden="1">OFFSET([1]DADOS!$A$2,1,MATCH([1]QCI!$E1,[1]DADOS!$2:$2,0)-1,INDEX([1]DADOS!$2:$2,MATCH([1]QCI!$E1,[1]DADOS!$2:$2,0)+1))</definedName>
    <definedName name="QCI.SumCPMANUAL" hidden="1">SUMIF([1]QCI!$B$13:$B$24,"Manual",[1]QCI!$AA$13:$AA$24)</definedName>
    <definedName name="QCI.SumINVMANUAL" hidden="1">SUMIF([1]QCI!$B$13:$B$24,"Manual",[1]QCI!$O$13:$O$24)</definedName>
    <definedName name="QCI.SumOUTROSMANUAL" hidden="1">SUMIF([1]QCI!$B$13:$B$24,"Manual",[1]QCI!$AB$13:$AB$24)</definedName>
    <definedName name="QCI.SumREPASSEMANUAL" hidden="1">QCI.SumINVMANUAL-QCI.CPManual-QCI.OutrosManual</definedName>
    <definedName name="REFERENCIA.Descricao" localSheetId="9" hidden="1">IF(ISNUMBER(#REF!),OFFSET(INDIRECT('Cotações '!ORÇAMENTO.BancoRef),#REF!-1,3,1),#REF!)</definedName>
    <definedName name="REFERENCIA.Descricao" localSheetId="7" hidden="1">IF(ISNUMBER([1]ORÇAMENTO!$AF1),OFFSET(INDIRECT(PLQ!ORÇAMENTO.BancoRef),[1]ORÇAMENTO!$AF1-1,3,1),[1]ORÇAMENTO!$AF1)</definedName>
    <definedName name="REFERENCIA.Descricao" hidden="1">IF(ISNUMBER(#REF!),OFFSET(INDIRECT(ORÇAMENTO.BancoRef),#REF!-1,3,1),#REF!)</definedName>
    <definedName name="REFERENCIA.Desonerado" hidden="1">IF(ISNUMBER([1]ORÇAMENTO!$AF1),VALUE(OFFSET(INDIRECT(PLQ!ORÇAMENTO.BancoRef),[1]ORÇAMENTO!$AF1-1,5,1)),0)</definedName>
    <definedName name="REFERENCIA.NaoDesonerado" hidden="1">IF(ISNUMBER([1]ORÇAMENTO!$AF1),VALUE(OFFSET(INDIRECT(PLQ!ORÇAMENTO.BancoRef),[1]ORÇAMENTO!$AF1-1,6,1)),0)</definedName>
    <definedName name="REFERENCIA.Unidade" hidden="1">IF(ISNUMBER([1]ORÇAMENTO!$AF1),OFFSET(INDIRECT(PLQ!ORÇAMENTO.BancoRef),[1]ORÇAMENTO!$AF1-1,4,1),"-")</definedName>
    <definedName name="RegimeExecucao" hidden="1">IF(OR(Import.RegimeExecução="",Import.RegimeExecução="Empreitada por Preço Global",Import.RegimeExecução="Empreitada Integral"),"Global","Unitário")</definedName>
    <definedName name="RelatoriosFontes" localSheetId="9">OFFSET([2]Relatórios!$A$5,1,0,'Cotações '!NRELATORIOS)</definedName>
    <definedName name="RelatoriosFontes">OFFSET([2]Relatórios!$A$5,1,0,NRELATORIOS)</definedName>
    <definedName name="rio" hidden="1">{#N/A,#N/A,FALSE,"Cronograma";#N/A,#N/A,FALSE,"Cronogr. 2"}</definedName>
    <definedName name="RRE.MaxCPAcum" hidden="1">[1]RRE!$AD$26</definedName>
    <definedName name="RRE.MaxCPAnt" hidden="1">[1]RRE!$AC$26</definedName>
    <definedName name="RRE.MaxOUAcum" hidden="1">[1]RRE!$AD$27</definedName>
    <definedName name="RRE.MaxOUAnt" hidden="1">[1]RRE!$AC$27</definedName>
    <definedName name="RRE.Numero" hidden="1">OFFSET([1]RRE!$O$7,0,1)</definedName>
    <definedName name="RRE.VIMeta" hidden="1">[1]RRE!$L1</definedName>
    <definedName name="SENHAGT" localSheetId="7" hidden="1">"PM3CAIXA"</definedName>
    <definedName name="SENHAGT" hidden="1">"PM2CAIXA"</definedName>
    <definedName name="SINAPI_AC" hidden="1">#REF!</definedName>
    <definedName name="SomaAgrup" hidden="1">SUMIF(OFFSET([1]ORÇAMENTO!$C1,1,0,[1]ORÇAMENTO!$D1),"S",OFFSET([1]ORÇAMENTO!A1,1,0,[1]ORÇAMENTO!$D1))</definedName>
    <definedName name="SomaAgrupBM" hidden="1">SUMIF(OFFSET([1]BM!$A1,1,0,[1]BM!$B1),"S",OFFSET([1]BM!A1,1,0,[1]BM!$B1))</definedName>
    <definedName name="ss" hidden="1">{#N/A,#N/A,FALSE,"Cronograma";#N/A,#N/A,FALSE,"Cronogr. 2"}</definedName>
    <definedName name="TIPOORCAMENTO" hidden="1">IF(VALUE([1]MENU!$O$3)=2,"Licitado","Proposto")</definedName>
    <definedName name="_xlnm.Print_Titles" localSheetId="8">COMPOSIÇÕES!$1:$10</definedName>
    <definedName name="_xlnm.Print_Titles" localSheetId="9">'Cotações '!$9:$10</definedName>
    <definedName name="_xlnm.Print_Titles" localSheetId="12">'PLANILHA CONTROLE'!$9:$12</definedName>
    <definedName name="_xlnm.Print_Titles" localSheetId="10">'PLANILHA REPROGRAMAÇÃO'!$10:$12</definedName>
    <definedName name="_xlnm.Print_Titles" localSheetId="11">'PLANILHA SERVIÇOS EXTRAS'!$9:$11</definedName>
    <definedName name="_xlnm.Print_Titles" localSheetId="7">PLQ!$1:$12</definedName>
    <definedName name="_xlnm.Print_Titles" localSheetId="5">'RUA DA LINHA'!$9:$12</definedName>
    <definedName name="_xlnm.Print_Titles" localSheetId="4">'SÃO BENEDITO'!$9:$12</definedName>
    <definedName name="_xlnm.Print_Titles" localSheetId="3">'SÃO SEBASTIAO'!$9:$12</definedName>
    <definedName name="Versao" hidden="1">[1]MENU!$J$2</definedName>
    <definedName name="VTOTAL1" hidden="1">ROUND([1]ORÇAMENTO!$T1*[1]ORÇAMENTO!$W1,15-13*[1]ORÇAMENTO!$AF$11)</definedName>
    <definedName name="VTOTALBM" hidden="1">IF([1]BM!$I1=0,0,CHOOSE(MATCH(RegimeExecucao,{"Global","Unitário"},0),ROUND(ROUND([1]BM!XFB1,15-13*[1]BM!$A$9)/100*[1]BM!$I1,15-13*[1]ORÇAMENTO!$AF$11),ROUND(ROUND([1]BM!XFB1,15-13*[1]BM!$A$9)*ROUND([1]BM!$H1,15-13*[1]ORÇAMENTO!$AF$10),15-13*[1]ORÇAMENTO!$AF$11)))</definedName>
    <definedName name="wrn.Cronograma." hidden="1">{#N/A,#N/A,FALSE,"Cronograma";#N/A,#N/A,FALSE,"Cronogr. 2"}</definedName>
    <definedName name="wrn.GERAL." hidden="1">{#N/A,#N/A,FALSE,"ET-CAPA";#N/A,#N/A,FALSE,"ET-PAG1";#N/A,#N/A,FALSE,"ET-PAG2";#N/A,#N/A,FALSE,"ET-PAG3";#N/A,#N/A,FALSE,"ET-PAG4";#N/A,#N/A,FALSE,"ET-PAG5"}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1" i="33" l="1"/>
  <c r="J60" i="33"/>
  <c r="J59" i="33"/>
  <c r="A58" i="33"/>
  <c r="A59" i="33" s="1"/>
  <c r="C57" i="33"/>
  <c r="A57" i="33"/>
  <c r="C56" i="33"/>
  <c r="I54" i="33"/>
  <c r="A51" i="33"/>
  <c r="A52" i="33" s="1"/>
  <c r="C50" i="33"/>
  <c r="I49" i="33"/>
  <c r="I47" i="33"/>
  <c r="M45" i="33"/>
  <c r="M44" i="33"/>
  <c r="L44" i="33"/>
  <c r="I41" i="33"/>
  <c r="A40" i="33"/>
  <c r="A41" i="33" s="1"/>
  <c r="O39" i="33"/>
  <c r="C39" i="33"/>
  <c r="N38" i="33"/>
  <c r="N37" i="33"/>
  <c r="O37" i="33" s="1"/>
  <c r="N36" i="33"/>
  <c r="A35" i="33"/>
  <c r="A36" i="33" s="1"/>
  <c r="M34" i="33"/>
  <c r="I34" i="33"/>
  <c r="A34" i="33"/>
  <c r="C34" i="33" s="1"/>
  <c r="M33" i="33"/>
  <c r="I33" i="33"/>
  <c r="C33" i="33"/>
  <c r="M32" i="33"/>
  <c r="I32" i="33"/>
  <c r="M31" i="33"/>
  <c r="I31" i="33"/>
  <c r="M30" i="33"/>
  <c r="I30" i="33"/>
  <c r="A29" i="33"/>
  <c r="A30" i="33" s="1"/>
  <c r="A27" i="33"/>
  <c r="C27" i="33" s="1"/>
  <c r="C26" i="33"/>
  <c r="C25" i="33"/>
  <c r="C24" i="33"/>
  <c r="C23" i="33"/>
  <c r="C22" i="33"/>
  <c r="I18" i="33"/>
  <c r="N16" i="33"/>
  <c r="I16" i="33"/>
  <c r="C10" i="33"/>
  <c r="C9" i="33"/>
  <c r="A3" i="33"/>
  <c r="A4" i="33" s="1"/>
  <c r="C2" i="33"/>
  <c r="N1" i="33"/>
  <c r="N39" i="33" l="1"/>
  <c r="A5" i="33"/>
  <c r="C4" i="33"/>
  <c r="A44" i="33"/>
  <c r="C41" i="33"/>
  <c r="A53" i="33"/>
  <c r="C52" i="33"/>
  <c r="A37" i="33"/>
  <c r="C36" i="33"/>
  <c r="C30" i="33"/>
  <c r="A31" i="33"/>
  <c r="A60" i="33"/>
  <c r="C59" i="33"/>
  <c r="C3" i="33"/>
  <c r="C29" i="33"/>
  <c r="C40" i="33"/>
  <c r="C58" i="33"/>
  <c r="C51" i="33"/>
  <c r="C35" i="33"/>
  <c r="C60" i="33" l="1"/>
  <c r="A61" i="33"/>
  <c r="C61" i="33" s="1"/>
  <c r="C44" i="33"/>
  <c r="A45" i="33"/>
  <c r="C31" i="33"/>
  <c r="A32" i="33"/>
  <c r="C32" i="33" s="1"/>
  <c r="C53" i="33"/>
  <c r="A54" i="33"/>
  <c r="A38" i="33"/>
  <c r="C38" i="33" s="1"/>
  <c r="C37" i="33"/>
  <c r="A7" i="33"/>
  <c r="C5" i="33"/>
  <c r="Q33" i="33" l="1"/>
  <c r="Q30" i="33"/>
  <c r="P31" i="33"/>
  <c r="P32" i="33"/>
  <c r="Q32" i="33"/>
  <c r="P33" i="33"/>
  <c r="R32" i="33"/>
  <c r="A55" i="33"/>
  <c r="C55" i="33" s="1"/>
  <c r="C54" i="33"/>
  <c r="A46" i="33"/>
  <c r="C46" i="33" s="1"/>
  <c r="C45" i="33"/>
  <c r="C7" i="33"/>
  <c r="R34" i="33" s="1"/>
  <c r="A8" i="33"/>
  <c r="C8" i="33" s="1"/>
  <c r="R38" i="33" s="1"/>
  <c r="R30" i="33"/>
  <c r="P30" i="33" l="1"/>
  <c r="R31" i="33"/>
  <c r="Q34" i="33"/>
  <c r="P38" i="33"/>
  <c r="O38" i="33" s="1"/>
  <c r="V39" i="33" s="1"/>
  <c r="T28" i="33" s="1"/>
  <c r="R33" i="33"/>
  <c r="P34" i="33"/>
  <c r="Q38" i="33"/>
  <c r="Q31" i="33"/>
  <c r="G8" i="32" l="1"/>
  <c r="I31" i="32"/>
  <c r="K31" i="32" s="1"/>
  <c r="J32" i="32" s="1"/>
  <c r="G34" i="32"/>
  <c r="P16" i="32"/>
  <c r="K32" i="32"/>
  <c r="Q35" i="32" l="1"/>
  <c r="H36" i="32"/>
  <c r="G166" i="32"/>
  <c r="G167" i="32"/>
  <c r="H39" i="32"/>
  <c r="H40" i="32"/>
  <c r="H41" i="32"/>
  <c r="K28" i="32"/>
  <c r="H34" i="32" s="1"/>
  <c r="K333" i="32"/>
  <c r="E194" i="32"/>
  <c r="E195" i="32" s="1"/>
  <c r="E196" i="32" s="1"/>
  <c r="E197" i="32" s="1"/>
  <c r="E198" i="32" s="1"/>
  <c r="E199" i="32" s="1"/>
  <c r="E200" i="32" s="1"/>
  <c r="E201" i="32" s="1"/>
  <c r="E202" i="32" s="1"/>
  <c r="E203" i="32" s="1"/>
  <c r="E204" i="32" s="1"/>
  <c r="E205" i="32" s="1"/>
  <c r="K206" i="32"/>
  <c r="K191" i="32"/>
  <c r="K160" i="32"/>
  <c r="K158" i="32"/>
  <c r="K156" i="32"/>
  <c r="K155" i="32"/>
  <c r="K152" i="32"/>
  <c r="K149" i="32"/>
  <c r="K151" i="32"/>
  <c r="K153" i="32"/>
  <c r="K154" i="32"/>
  <c r="K157" i="32"/>
  <c r="K150" i="32"/>
  <c r="K148" i="32"/>
  <c r="K304" i="32"/>
  <c r="H127" i="32"/>
  <c r="F165" i="32"/>
  <c r="V35" i="32"/>
  <c r="N35" i="32"/>
  <c r="C35" i="32"/>
  <c r="C93" i="32" s="1"/>
  <c r="C112" i="32" s="1"/>
  <c r="G169" i="32" l="1"/>
  <c r="G168" i="32"/>
  <c r="H38" i="32"/>
  <c r="G170" i="32"/>
  <c r="H37" i="32"/>
  <c r="G163" i="32"/>
  <c r="K163" i="32" s="1"/>
  <c r="J176" i="32" s="1"/>
  <c r="G165" i="32"/>
  <c r="K165" i="32" s="1"/>
  <c r="G164" i="32"/>
  <c r="K164" i="32" s="1"/>
  <c r="H35" i="32"/>
  <c r="G179" i="32"/>
  <c r="C127" i="32"/>
  <c r="C149" i="32" s="1"/>
  <c r="C164" i="32" s="1"/>
  <c r="C179" i="32" s="1"/>
  <c r="C194" i="32" s="1"/>
  <c r="F166" i="32"/>
  <c r="F167" i="32" s="1"/>
  <c r="F168" i="32" s="1"/>
  <c r="F169" i="32" s="1"/>
  <c r="F170" i="32" s="1"/>
  <c r="F171" i="32" s="1"/>
  <c r="F172" i="32" s="1"/>
  <c r="F173" i="32" s="1"/>
  <c r="F174" i="32" s="1"/>
  <c r="F175" i="32" s="1"/>
  <c r="K175" i="32" s="1"/>
  <c r="R35" i="32"/>
  <c r="O35" i="32"/>
  <c r="K289" i="32"/>
  <c r="K282" i="32"/>
  <c r="J276" i="32"/>
  <c r="H276" i="32"/>
  <c r="G272" i="32"/>
  <c r="K268" i="32"/>
  <c r="H272" i="32" s="1"/>
  <c r="K229" i="32"/>
  <c r="K230" i="32"/>
  <c r="K240" i="32"/>
  <c r="K264" i="32"/>
  <c r="E308" i="32"/>
  <c r="E309" i="32" s="1"/>
  <c r="E310" i="32" s="1"/>
  <c r="I251" i="32"/>
  <c r="K251" i="32" s="1"/>
  <c r="H308" i="32"/>
  <c r="H309" i="32"/>
  <c r="H310" i="32"/>
  <c r="H311" i="32"/>
  <c r="H312" i="32"/>
  <c r="H313" i="32"/>
  <c r="H314" i="32"/>
  <c r="H307" i="32"/>
  <c r="K302" i="32"/>
  <c r="G259" i="32"/>
  <c r="G260" i="32" s="1"/>
  <c r="G261" i="32" s="1"/>
  <c r="G262" i="32" s="1"/>
  <c r="G263" i="32" s="1"/>
  <c r="H280" i="32"/>
  <c r="K288" i="32"/>
  <c r="I241" i="32"/>
  <c r="I242" i="32" s="1"/>
  <c r="I243" i="32" s="1"/>
  <c r="I244" i="32" s="1"/>
  <c r="I245" i="32" s="1"/>
  <c r="I246" i="32" s="1"/>
  <c r="I247" i="32" s="1"/>
  <c r="I248" i="32" s="1"/>
  <c r="I249" i="32" s="1"/>
  <c r="H241" i="32"/>
  <c r="H242" i="32" s="1"/>
  <c r="H243" i="32" s="1"/>
  <c r="H244" i="32" s="1"/>
  <c r="H245" i="32" s="1"/>
  <c r="H246" i="32" s="1"/>
  <c r="H247" i="32" s="1"/>
  <c r="H248" i="32" s="1"/>
  <c r="H249" i="32" s="1"/>
  <c r="G241" i="32"/>
  <c r="G242" i="32" s="1"/>
  <c r="G243" i="32" s="1"/>
  <c r="G244" i="32" s="1"/>
  <c r="G245" i="32" s="1"/>
  <c r="G246" i="32" s="1"/>
  <c r="G247" i="32" s="1"/>
  <c r="G248" i="32" s="1"/>
  <c r="G249" i="32" s="1"/>
  <c r="K167" i="32" l="1"/>
  <c r="J290" i="32"/>
  <c r="K168" i="32"/>
  <c r="K169" i="32"/>
  <c r="K166" i="32"/>
  <c r="K170" i="32"/>
  <c r="K179" i="32"/>
  <c r="G194" i="32"/>
  <c r="K194" i="32" s="1"/>
  <c r="K35" i="32"/>
  <c r="F93" i="32" s="1"/>
  <c r="K173" i="32"/>
  <c r="K171" i="32"/>
  <c r="K172" i="32"/>
  <c r="K174" i="32"/>
  <c r="K272" i="32"/>
  <c r="K249" i="32"/>
  <c r="K243" i="32"/>
  <c r="K242" i="32"/>
  <c r="K241" i="32"/>
  <c r="K248" i="32"/>
  <c r="K246" i="32"/>
  <c r="K247" i="32"/>
  <c r="K245" i="32"/>
  <c r="K244" i="32"/>
  <c r="E311" i="32"/>
  <c r="G276" i="32" l="1"/>
  <c r="E312" i="32"/>
  <c r="E313" i="32" l="1"/>
  <c r="K93" i="32" l="1"/>
  <c r="E314" i="32"/>
  <c r="K290" i="32"/>
  <c r="I258" i="32"/>
  <c r="I314" i="32" s="1"/>
  <c r="H263" i="32"/>
  <c r="H262" i="32"/>
  <c r="H261" i="32"/>
  <c r="H260" i="32"/>
  <c r="H259" i="32"/>
  <c r="I262" i="32" l="1"/>
  <c r="K262" i="32" s="1"/>
  <c r="I261" i="32"/>
  <c r="K261" i="32" s="1"/>
  <c r="I260" i="32"/>
  <c r="K260" i="32" s="1"/>
  <c r="I263" i="32"/>
  <c r="K263" i="32" s="1"/>
  <c r="K314" i="32"/>
  <c r="H281" i="32"/>
  <c r="H301" i="32" s="1"/>
  <c r="K301" i="32" s="1"/>
  <c r="I259" i="32"/>
  <c r="K259" i="32" s="1"/>
  <c r="I250" i="32"/>
  <c r="K250" i="32" s="1"/>
  <c r="K315" i="32"/>
  <c r="K305" i="32"/>
  <c r="K299" i="32"/>
  <c r="K283" i="32"/>
  <c r="K280" i="32"/>
  <c r="K293" i="32"/>
  <c r="K292" i="32"/>
  <c r="K273" i="32"/>
  <c r="K269" i="32"/>
  <c r="K265" i="32"/>
  <c r="I257" i="32"/>
  <c r="I313" i="32" s="1"/>
  <c r="K313" i="32" s="1"/>
  <c r="I256" i="32"/>
  <c r="I312" i="32" s="1"/>
  <c r="K312" i="32" s="1"/>
  <c r="I255" i="32"/>
  <c r="I311" i="32" s="1"/>
  <c r="K311" i="32" s="1"/>
  <c r="I254" i="32"/>
  <c r="I310" i="32" s="1"/>
  <c r="K310" i="32" s="1"/>
  <c r="I253" i="32"/>
  <c r="I309" i="32" s="1"/>
  <c r="K309" i="32" s="1"/>
  <c r="I252" i="32"/>
  <c r="I308" i="32" s="1"/>
  <c r="K308" i="32" s="1"/>
  <c r="G252" i="32"/>
  <c r="H231" i="32"/>
  <c r="H232" i="32" s="1"/>
  <c r="H233" i="32" s="1"/>
  <c r="H234" i="32" s="1"/>
  <c r="H235" i="32" s="1"/>
  <c r="H236" i="32" s="1"/>
  <c r="H237" i="32" s="1"/>
  <c r="H238" i="32" s="1"/>
  <c r="H239" i="32" s="1"/>
  <c r="G231" i="32"/>
  <c r="K22" i="32"/>
  <c r="J23" i="32" s="1"/>
  <c r="K25" i="32"/>
  <c r="F15" i="32"/>
  <c r="K159" i="32"/>
  <c r="J161" i="32" s="1"/>
  <c r="N44" i="32"/>
  <c r="N42" i="32"/>
  <c r="N36" i="32"/>
  <c r="N37" i="32"/>
  <c r="N38" i="32"/>
  <c r="N39" i="32"/>
  <c r="N40" i="32"/>
  <c r="N41" i="32"/>
  <c r="N43" i="32"/>
  <c r="N45" i="32"/>
  <c r="E76" i="32" s="1"/>
  <c r="N46" i="32"/>
  <c r="H129" i="32"/>
  <c r="H128" i="32"/>
  <c r="C46" i="32"/>
  <c r="C104" i="32" s="1"/>
  <c r="C138" i="32" s="1"/>
  <c r="C160" i="32" s="1"/>
  <c r="C175" i="32" s="1"/>
  <c r="C190" i="32" s="1"/>
  <c r="C205" i="32" s="1"/>
  <c r="C36" i="32"/>
  <c r="C94" i="32" s="1"/>
  <c r="C37" i="32"/>
  <c r="C95" i="32" s="1"/>
  <c r="C38" i="32"/>
  <c r="C96" i="32" s="1"/>
  <c r="C39" i="32"/>
  <c r="C97" i="32" s="1"/>
  <c r="C40" i="32"/>
  <c r="C98" i="32" s="1"/>
  <c r="C41" i="32"/>
  <c r="C99" i="32" s="1"/>
  <c r="C42" i="32"/>
  <c r="C100" i="32" s="1"/>
  <c r="C43" i="32"/>
  <c r="C44" i="32"/>
  <c r="C102" i="32" s="1"/>
  <c r="C45" i="32"/>
  <c r="C34" i="32"/>
  <c r="C85" i="32" s="1"/>
  <c r="C92" i="32" s="1"/>
  <c r="K49" i="32"/>
  <c r="G185" i="32"/>
  <c r="V40" i="32"/>
  <c r="V36" i="32"/>
  <c r="V34" i="32"/>
  <c r="N28" i="32"/>
  <c r="N34" i="32" s="1"/>
  <c r="G178" i="32"/>
  <c r="C113" i="32" l="1"/>
  <c r="C116" i="32"/>
  <c r="C114" i="32"/>
  <c r="C118" i="32"/>
  <c r="C117" i="32"/>
  <c r="C115" i="32"/>
  <c r="F112" i="32"/>
  <c r="K112" i="32" s="1"/>
  <c r="F127" i="32"/>
  <c r="K127" i="32" s="1"/>
  <c r="C101" i="32"/>
  <c r="C103" i="32"/>
  <c r="Q46" i="32"/>
  <c r="R46" i="32" s="1"/>
  <c r="G190" i="32"/>
  <c r="G182" i="32"/>
  <c r="Q43" i="32"/>
  <c r="R43" i="32" s="1"/>
  <c r="G187" i="32"/>
  <c r="Q44" i="32"/>
  <c r="R44" i="32" s="1"/>
  <c r="G188" i="32"/>
  <c r="K178" i="32"/>
  <c r="G193" i="32"/>
  <c r="K193" i="32" s="1"/>
  <c r="G180" i="32"/>
  <c r="G181" i="32"/>
  <c r="G183" i="32"/>
  <c r="G184" i="32"/>
  <c r="K185" i="32"/>
  <c r="G200" i="32"/>
  <c r="K200" i="32" s="1"/>
  <c r="Q45" i="32"/>
  <c r="R45" i="32" s="1"/>
  <c r="G189" i="32"/>
  <c r="G186" i="32"/>
  <c r="J29" i="32"/>
  <c r="J305" i="32"/>
  <c r="J302" i="32"/>
  <c r="J293" i="32"/>
  <c r="K252" i="32"/>
  <c r="G232" i="32"/>
  <c r="K231" i="32"/>
  <c r="I307" i="32"/>
  <c r="K307" i="32" s="1"/>
  <c r="J315" i="32" s="1"/>
  <c r="K281" i="32"/>
  <c r="K279" i="32" s="1"/>
  <c r="G253" i="32"/>
  <c r="K253" i="32" s="1"/>
  <c r="O41" i="32"/>
  <c r="H298" i="32"/>
  <c r="K298" i="32" s="1"/>
  <c r="E80" i="32"/>
  <c r="O42" i="32"/>
  <c r="Q42" i="32"/>
  <c r="R42" i="32" s="1"/>
  <c r="Q38" i="32"/>
  <c r="R38" i="32" s="1"/>
  <c r="K38" i="32" s="1"/>
  <c r="F96" i="32" s="1"/>
  <c r="O46" i="32"/>
  <c r="Q41" i="32"/>
  <c r="R41" i="32" s="1"/>
  <c r="O39" i="32"/>
  <c r="Q40" i="32"/>
  <c r="R40" i="32" s="1"/>
  <c r="O38" i="32"/>
  <c r="Q39" i="32"/>
  <c r="R39" i="32" s="1"/>
  <c r="K39" i="32" s="1"/>
  <c r="F97" i="32" s="1"/>
  <c r="O37" i="32"/>
  <c r="O40" i="32"/>
  <c r="Q37" i="32"/>
  <c r="R37" i="32" s="1"/>
  <c r="Q36" i="32"/>
  <c r="R36" i="32" s="1"/>
  <c r="O36" i="32"/>
  <c r="O44" i="32"/>
  <c r="O43" i="32"/>
  <c r="O45" i="32"/>
  <c r="O34" i="32"/>
  <c r="Q34" i="32"/>
  <c r="K40" i="32" l="1"/>
  <c r="F98" i="32" s="1"/>
  <c r="G201" i="32"/>
  <c r="K201" i="32" s="1"/>
  <c r="K186" i="32"/>
  <c r="K180" i="32"/>
  <c r="G195" i="32"/>
  <c r="K195" i="32" s="1"/>
  <c r="G204" i="32"/>
  <c r="G203" i="32"/>
  <c r="K184" i="32"/>
  <c r="G199" i="32"/>
  <c r="K199" i="32" s="1"/>
  <c r="G202" i="32"/>
  <c r="K202" i="32" s="1"/>
  <c r="K187" i="32"/>
  <c r="K183" i="32"/>
  <c r="G198" i="32"/>
  <c r="K198" i="32" s="1"/>
  <c r="K182" i="32"/>
  <c r="G197" i="32"/>
  <c r="K197" i="32" s="1"/>
  <c r="K181" i="32"/>
  <c r="G196" i="32"/>
  <c r="K196" i="32" s="1"/>
  <c r="G205" i="32"/>
  <c r="J299" i="32"/>
  <c r="J283" i="32"/>
  <c r="G233" i="32"/>
  <c r="K232" i="32"/>
  <c r="G254" i="32"/>
  <c r="K254" i="32" s="1"/>
  <c r="K57" i="32"/>
  <c r="K45" i="32"/>
  <c r="K46" i="32"/>
  <c r="K41" i="32"/>
  <c r="F99" i="32" s="1"/>
  <c r="K42" i="32"/>
  <c r="K215" i="32"/>
  <c r="F212" i="32" s="1"/>
  <c r="K212" i="32" s="1"/>
  <c r="J213" i="32" s="1"/>
  <c r="C212" i="32"/>
  <c r="K213" i="32"/>
  <c r="E221" i="32"/>
  <c r="K221" i="32" s="1"/>
  <c r="F209" i="32"/>
  <c r="K209" i="32" s="1"/>
  <c r="K68" i="32"/>
  <c r="K203" i="32" l="1"/>
  <c r="K188" i="32"/>
  <c r="K204" i="32"/>
  <c r="H267" i="32"/>
  <c r="K233" i="32"/>
  <c r="G234" i="32"/>
  <c r="G255" i="32"/>
  <c r="K255" i="32" s="1"/>
  <c r="F100" i="32"/>
  <c r="E77" i="32"/>
  <c r="E81" i="32" s="1"/>
  <c r="K81" i="32" s="1"/>
  <c r="F67" i="32"/>
  <c r="F104" i="32"/>
  <c r="J216" i="32"/>
  <c r="F130" i="32" l="1"/>
  <c r="F115" i="32"/>
  <c r="F117" i="32"/>
  <c r="F132" i="32"/>
  <c r="F116" i="32"/>
  <c r="F131" i="32"/>
  <c r="F73" i="32"/>
  <c r="K73" i="32" s="1"/>
  <c r="K205" i="32"/>
  <c r="K189" i="32"/>
  <c r="G235" i="32"/>
  <c r="K234" i="32"/>
  <c r="G256" i="32"/>
  <c r="K256" i="32" s="1"/>
  <c r="K77" i="32"/>
  <c r="J218" i="32"/>
  <c r="K104" i="32"/>
  <c r="K138" i="32"/>
  <c r="F118" i="32" l="1"/>
  <c r="F133" i="32"/>
  <c r="K190" i="32"/>
  <c r="J206" i="32"/>
  <c r="G236" i="32"/>
  <c r="K235" i="32"/>
  <c r="G257" i="32"/>
  <c r="K257" i="32" s="1"/>
  <c r="K218" i="32"/>
  <c r="J219" i="32" s="1"/>
  <c r="J191" i="32" l="1"/>
  <c r="K236" i="32"/>
  <c r="G237" i="32"/>
  <c r="G258" i="32"/>
  <c r="K258" i="32" s="1"/>
  <c r="C81" i="32"/>
  <c r="K59" i="32"/>
  <c r="K58" i="32"/>
  <c r="K56" i="32"/>
  <c r="K55" i="32"/>
  <c r="K54" i="32"/>
  <c r="K53" i="32"/>
  <c r="K52" i="32"/>
  <c r="K51" i="32"/>
  <c r="C51" i="32"/>
  <c r="K50" i="32"/>
  <c r="C50" i="32"/>
  <c r="K237" i="32" l="1"/>
  <c r="G238" i="32"/>
  <c r="K67" i="32"/>
  <c r="J59" i="32"/>
  <c r="F71" i="32" l="1"/>
  <c r="K71" i="32" s="1"/>
  <c r="K238" i="32"/>
  <c r="G239" i="32"/>
  <c r="K239" i="32" s="1"/>
  <c r="K89" i="32"/>
  <c r="F101" i="32"/>
  <c r="J68" i="32"/>
  <c r="H133" i="32"/>
  <c r="H132" i="32"/>
  <c r="H131" i="32"/>
  <c r="H130" i="32"/>
  <c r="H116" i="32"/>
  <c r="H117" i="32" s="1"/>
  <c r="H118" i="32" s="1"/>
  <c r="K123" i="32" s="1"/>
  <c r="C136" i="32"/>
  <c r="C134" i="32"/>
  <c r="C135" i="32"/>
  <c r="C131" i="32"/>
  <c r="C132" i="32"/>
  <c r="C133" i="32"/>
  <c r="K228" i="32" l="1"/>
  <c r="K122" i="32"/>
  <c r="K120" i="32"/>
  <c r="K98" i="32"/>
  <c r="K101" i="32"/>
  <c r="K137" i="32"/>
  <c r="K135" i="32"/>
  <c r="K100" i="32"/>
  <c r="C348" i="32"/>
  <c r="C349" i="32"/>
  <c r="C347" i="32"/>
  <c r="A337" i="32"/>
  <c r="J265" i="32" l="1"/>
  <c r="G267" i="32"/>
  <c r="G271" i="32" s="1"/>
  <c r="K118" i="32"/>
  <c r="K117" i="32"/>
  <c r="K119" i="32"/>
  <c r="K116" i="32"/>
  <c r="C158" i="32"/>
  <c r="C173" i="32" s="1"/>
  <c r="C188" i="32" s="1"/>
  <c r="C203" i="32" s="1"/>
  <c r="C157" i="32"/>
  <c r="C172" i="32" s="1"/>
  <c r="C187" i="32" s="1"/>
  <c r="C202" i="32" s="1"/>
  <c r="K99" i="32"/>
  <c r="K97" i="32"/>
  <c r="K134" i="32"/>
  <c r="K132" i="32"/>
  <c r="K133" i="32"/>
  <c r="K131" i="32"/>
  <c r="K76" i="32"/>
  <c r="K80" i="32"/>
  <c r="J82" i="32" l="1"/>
  <c r="F72" i="32"/>
  <c r="K72" i="32" s="1"/>
  <c r="C267" i="32"/>
  <c r="C271" i="32" s="1"/>
  <c r="C288" i="32"/>
  <c r="C292" i="32" s="1"/>
  <c r="C154" i="32"/>
  <c r="C169" i="32" s="1"/>
  <c r="C184" i="32" s="1"/>
  <c r="C199" i="32" s="1"/>
  <c r="J78" i="32"/>
  <c r="C155" i="32"/>
  <c r="C170" i="32" s="1"/>
  <c r="C185" i="32" s="1"/>
  <c r="C200" i="32" s="1"/>
  <c r="C153" i="32"/>
  <c r="C168" i="32" s="1"/>
  <c r="C183" i="32" s="1"/>
  <c r="C198" i="32" s="1"/>
  <c r="C156" i="32"/>
  <c r="C171" i="32" s="1"/>
  <c r="C186" i="32" s="1"/>
  <c r="C201" i="32" s="1"/>
  <c r="K16" i="32"/>
  <c r="K15" i="32"/>
  <c r="J16" i="32" s="1"/>
  <c r="K18" i="32"/>
  <c r="K105" i="32"/>
  <c r="C279" i="32" l="1"/>
  <c r="C275" i="32"/>
  <c r="C298" i="32"/>
  <c r="C304" i="32" s="1"/>
  <c r="K96" i="32"/>
  <c r="C301" i="32" l="1"/>
  <c r="K130" i="32"/>
  <c r="K115" i="32"/>
  <c r="C137" i="32"/>
  <c r="K63" i="32"/>
  <c r="K64" i="32"/>
  <c r="J210" i="32"/>
  <c r="K285" i="32"/>
  <c r="H225" i="32"/>
  <c r="K225" i="32" s="1"/>
  <c r="E323" i="32"/>
  <c r="K323" i="32" s="1"/>
  <c r="K326" i="32"/>
  <c r="K329" i="32"/>
  <c r="K320" i="32"/>
  <c r="K319" i="32"/>
  <c r="J26" i="32"/>
  <c r="K276" i="32"/>
  <c r="K295" i="32"/>
  <c r="C130" i="32"/>
  <c r="C80" i="32"/>
  <c r="K47" i="32"/>
  <c r="C128" i="32"/>
  <c r="C150" i="32" s="1"/>
  <c r="R34" i="32"/>
  <c r="K34" i="32" s="1"/>
  <c r="F92" i="32" l="1"/>
  <c r="J47" i="32"/>
  <c r="J226" i="32"/>
  <c r="J321" i="32"/>
  <c r="C129" i="32"/>
  <c r="K36" i="32"/>
  <c r="F94" i="32" s="1"/>
  <c r="J65" i="32"/>
  <c r="F70" i="32" s="1"/>
  <c r="C165" i="32"/>
  <c r="C180" i="32" s="1"/>
  <c r="C195" i="32" s="1"/>
  <c r="F85" i="32" l="1"/>
  <c r="K85" i="32" s="1"/>
  <c r="F88" i="32"/>
  <c r="I267" i="32"/>
  <c r="C159" i="32"/>
  <c r="C174" i="32" s="1"/>
  <c r="C189" i="32" s="1"/>
  <c r="C204" i="32" s="1"/>
  <c r="F103" i="32" l="1"/>
  <c r="K103" i="32" s="1"/>
  <c r="K88" i="32"/>
  <c r="K267" i="32"/>
  <c r="C152" i="32"/>
  <c r="C167" i="32" s="1"/>
  <c r="F107" i="32"/>
  <c r="K92" i="32"/>
  <c r="J105" i="32" s="1"/>
  <c r="K70" i="32"/>
  <c r="K86" i="32"/>
  <c r="K330" i="32"/>
  <c r="K327" i="32"/>
  <c r="K324" i="32"/>
  <c r="K321" i="32"/>
  <c r="K107" i="32" l="1"/>
  <c r="F108" i="32"/>
  <c r="K108" i="32" s="1"/>
  <c r="F128" i="32"/>
  <c r="F113" i="32"/>
  <c r="J74" i="32"/>
  <c r="C215" i="32"/>
  <c r="C218" i="32" s="1"/>
  <c r="C221" i="32" s="1"/>
  <c r="C225" i="32" s="1"/>
  <c r="C264" i="32" s="1"/>
  <c r="C268" i="32" s="1"/>
  <c r="C182" i="32"/>
  <c r="C197" i="32" s="1"/>
  <c r="H271" i="32"/>
  <c r="K271" i="32" s="1"/>
  <c r="J269" i="32"/>
  <c r="C151" i="32"/>
  <c r="C166" i="32" s="1"/>
  <c r="C181" i="32" s="1"/>
  <c r="C196" i="32" s="1"/>
  <c r="J330" i="32"/>
  <c r="J327" i="32"/>
  <c r="J324" i="32"/>
  <c r="J109" i="32" l="1"/>
  <c r="F126" i="32"/>
  <c r="F111" i="32"/>
  <c r="K111" i="32" s="1"/>
  <c r="J124" i="32" s="1"/>
  <c r="G275" i="32"/>
  <c r="K275" i="32" s="1"/>
  <c r="J277" i="32" s="1"/>
  <c r="J273" i="32"/>
  <c r="C272" i="32"/>
  <c r="C276" i="32" s="1"/>
  <c r="K37" i="32"/>
  <c r="F95" i="32" s="1"/>
  <c r="K26" i="32"/>
  <c r="K334" i="32"/>
  <c r="K226" i="32"/>
  <c r="K277" i="32"/>
  <c r="K296" i="32"/>
  <c r="K286" i="32"/>
  <c r="K222" i="32"/>
  <c r="K219" i="32"/>
  <c r="K216" i="32"/>
  <c r="K210" i="32"/>
  <c r="K124" i="32"/>
  <c r="K90" i="32"/>
  <c r="K82" i="32"/>
  <c r="K78" i="32"/>
  <c r="K74" i="32"/>
  <c r="K65" i="32"/>
  <c r="K29" i="32"/>
  <c r="K44" i="32" s="1"/>
  <c r="M109" i="32" l="1"/>
  <c r="K94" i="32"/>
  <c r="J334" i="32"/>
  <c r="J296" i="32"/>
  <c r="J286" i="32"/>
  <c r="J222" i="32"/>
  <c r="C318" i="32" l="1"/>
  <c r="C323" i="32" s="1"/>
  <c r="C326" i="32" s="1"/>
  <c r="C329" i="32" s="1"/>
  <c r="C282" i="32"/>
  <c r="C285" i="32" s="1"/>
  <c r="K113" i="32"/>
  <c r="F102" i="32"/>
  <c r="K128" i="32"/>
  <c r="K19" i="32"/>
  <c r="J19" i="32"/>
  <c r="K145" i="32"/>
  <c r="K142" i="32"/>
  <c r="K161" i="32"/>
  <c r="K146" i="32"/>
  <c r="K143" i="32"/>
  <c r="K23" i="32"/>
  <c r="F129" i="32" l="1"/>
  <c r="F114" i="32"/>
  <c r="J86" i="32"/>
  <c r="C295" i="32"/>
  <c r="C289" i="32"/>
  <c r="C333" i="32"/>
  <c r="J146" i="32"/>
  <c r="J143" i="32"/>
  <c r="K102" i="32"/>
  <c r="N160" i="32" l="1"/>
  <c r="K121" i="32"/>
  <c r="K136" i="32"/>
  <c r="K95" i="32" l="1"/>
  <c r="K114" i="32" l="1"/>
  <c r="K129" i="32"/>
  <c r="K126" i="32"/>
  <c r="J139" i="32" s="1"/>
  <c r="B18" i="2"/>
  <c r="N18" i="33" l="1"/>
  <c r="O54" i="33"/>
  <c r="G337" i="32"/>
  <c r="K139" i="32" l="1"/>
  <c r="I8" i="32"/>
  <c r="A6" i="32"/>
  <c r="A8" i="32"/>
  <c r="E8" i="32"/>
  <c r="E6" i="32"/>
  <c r="K176" i="32" l="1"/>
  <c r="K109" i="32"/>
  <c r="H33" i="19" l="1"/>
  <c r="C41" i="19"/>
  <c r="C42" i="19"/>
  <c r="C40" i="19"/>
  <c r="A33" i="19"/>
  <c r="C45" i="29" l="1"/>
  <c r="C44" i="29"/>
  <c r="C43" i="29"/>
  <c r="H36" i="29"/>
  <c r="A36" i="29"/>
  <c r="H28" i="29"/>
  <c r="I28" i="29" s="1"/>
  <c r="H27" i="29"/>
  <c r="I27" i="29" s="1"/>
  <c r="H26" i="29"/>
  <c r="I26" i="29" s="1"/>
  <c r="H25" i="29"/>
  <c r="I25" i="29" s="1"/>
  <c r="H24" i="29"/>
  <c r="I24" i="29" s="1"/>
  <c r="H23" i="29"/>
  <c r="I23" i="29" s="1"/>
  <c r="H22" i="29"/>
  <c r="I22" i="29" s="1"/>
  <c r="H21" i="29"/>
  <c r="I21" i="29" s="1"/>
  <c r="H20" i="29"/>
  <c r="I20" i="29" s="1"/>
  <c r="H19" i="29"/>
  <c r="I19" i="29" s="1"/>
  <c r="H18" i="29"/>
  <c r="I18" i="29" s="1"/>
  <c r="H17" i="29"/>
  <c r="I17" i="29" s="1"/>
  <c r="H15" i="29"/>
  <c r="I15" i="29" s="1"/>
  <c r="H14" i="29"/>
  <c r="I14" i="29" s="1"/>
  <c r="I8" i="29"/>
  <c r="G8" i="29"/>
  <c r="E8" i="29"/>
  <c r="A8" i="29"/>
  <c r="E6" i="29"/>
  <c r="A6" i="29"/>
  <c r="C45" i="28"/>
  <c r="C44" i="28"/>
  <c r="C43" i="28"/>
  <c r="H36" i="28"/>
  <c r="A36" i="28"/>
  <c r="H28" i="28"/>
  <c r="I28" i="28" s="1"/>
  <c r="H27" i="28"/>
  <c r="I27" i="28" s="1"/>
  <c r="H26" i="28"/>
  <c r="I26" i="28" s="1"/>
  <c r="H24" i="28"/>
  <c r="I24" i="28" s="1"/>
  <c r="H23" i="28"/>
  <c r="I23" i="28" s="1"/>
  <c r="H22" i="28"/>
  <c r="I22" i="28" s="1"/>
  <c r="H21" i="28"/>
  <c r="I21" i="28" s="1"/>
  <c r="H20" i="28"/>
  <c r="I20" i="28" s="1"/>
  <c r="H18" i="28"/>
  <c r="I18" i="28" s="1"/>
  <c r="H17" i="28"/>
  <c r="I17" i="28" s="1"/>
  <c r="H15" i="28"/>
  <c r="I15" i="28" s="1"/>
  <c r="H14" i="28"/>
  <c r="I14" i="28" s="1"/>
  <c r="I8" i="28"/>
  <c r="G8" i="28"/>
  <c r="E8" i="28"/>
  <c r="A8" i="28"/>
  <c r="E6" i="28"/>
  <c r="A6" i="28"/>
  <c r="C45" i="27"/>
  <c r="C44" i="27"/>
  <c r="C43" i="27"/>
  <c r="H36" i="27"/>
  <c r="A36" i="27"/>
  <c r="H28" i="27"/>
  <c r="I28" i="27" s="1"/>
  <c r="H27" i="27"/>
  <c r="I27" i="27" s="1"/>
  <c r="H26" i="27"/>
  <c r="I26" i="27" s="1"/>
  <c r="H24" i="27"/>
  <c r="I24" i="27" s="1"/>
  <c r="H23" i="27"/>
  <c r="I23" i="27" s="1"/>
  <c r="H22" i="27"/>
  <c r="I22" i="27" s="1"/>
  <c r="H21" i="27"/>
  <c r="I21" i="27" s="1"/>
  <c r="H20" i="27"/>
  <c r="I20" i="27" s="1"/>
  <c r="H18" i="27"/>
  <c r="I18" i="27" s="1"/>
  <c r="H17" i="27"/>
  <c r="I17" i="27" s="1"/>
  <c r="H15" i="27"/>
  <c r="I15" i="27" s="1"/>
  <c r="H14" i="27"/>
  <c r="I14" i="27" s="1"/>
  <c r="I8" i="27"/>
  <c r="G8" i="27"/>
  <c r="E8" i="27"/>
  <c r="A8" i="27"/>
  <c r="E6" i="27"/>
  <c r="A6" i="27"/>
  <c r="F21" i="29" l="1"/>
  <c r="J21" i="29" s="1"/>
  <c r="F27" i="28"/>
  <c r="J27" i="28" s="1"/>
  <c r="F27" i="29"/>
  <c r="J27" i="29" s="1"/>
  <c r="F27" i="27"/>
  <c r="F28" i="28"/>
  <c r="J28" i="28" s="1"/>
  <c r="F28" i="29"/>
  <c r="J28" i="29" s="1"/>
  <c r="F28" i="27"/>
  <c r="F21" i="28"/>
  <c r="J27" i="27" l="1"/>
  <c r="J28" i="27"/>
  <c r="F26" i="27"/>
  <c r="F20" i="29"/>
  <c r="J20" i="29" s="1"/>
  <c r="B119" i="26"/>
  <c r="B118" i="26"/>
  <c r="B117" i="26"/>
  <c r="F115" i="26"/>
  <c r="B112" i="26"/>
  <c r="B111" i="26"/>
  <c r="B110" i="26"/>
  <c r="F108" i="26"/>
  <c r="B105" i="26"/>
  <c r="B104" i="26"/>
  <c r="B103" i="26"/>
  <c r="F101" i="26"/>
  <c r="B98" i="26"/>
  <c r="B97" i="26"/>
  <c r="B96" i="26"/>
  <c r="F94" i="26"/>
  <c r="B91" i="26"/>
  <c r="B90" i="26"/>
  <c r="B89" i="26"/>
  <c r="F87" i="26"/>
  <c r="B84" i="26"/>
  <c r="B83" i="26"/>
  <c r="B82" i="26"/>
  <c r="F80" i="26"/>
  <c r="B77" i="26"/>
  <c r="B76" i="26"/>
  <c r="B75" i="26"/>
  <c r="F73" i="26"/>
  <c r="B70" i="26"/>
  <c r="B69" i="26"/>
  <c r="B68" i="26"/>
  <c r="F66" i="26"/>
  <c r="B63" i="26"/>
  <c r="B62" i="26"/>
  <c r="B61" i="26"/>
  <c r="F59" i="26"/>
  <c r="B56" i="26"/>
  <c r="B55" i="26"/>
  <c r="B54" i="26"/>
  <c r="F52" i="26"/>
  <c r="B49" i="26"/>
  <c r="B48" i="26"/>
  <c r="B47" i="26"/>
  <c r="F45" i="26"/>
  <c r="B42" i="26"/>
  <c r="B41" i="26"/>
  <c r="B40" i="26"/>
  <c r="F38" i="26"/>
  <c r="J7" i="12"/>
  <c r="N14" i="24"/>
  <c r="N12" i="24"/>
  <c r="I14" i="24"/>
  <c r="I12" i="24"/>
  <c r="N18" i="25"/>
  <c r="N16" i="25"/>
  <c r="I18" i="25"/>
  <c r="I16" i="25"/>
  <c r="N45" i="12"/>
  <c r="M45" i="12"/>
  <c r="N44" i="12"/>
  <c r="M44" i="12"/>
  <c r="N43" i="12"/>
  <c r="M43" i="12"/>
  <c r="N42" i="12"/>
  <c r="M42" i="12"/>
  <c r="N41" i="12"/>
  <c r="M41" i="12"/>
  <c r="N40" i="12"/>
  <c r="M40" i="12"/>
  <c r="O40" i="12" s="1"/>
  <c r="N39" i="12"/>
  <c r="M39" i="12"/>
  <c r="N38" i="12"/>
  <c r="M38" i="12"/>
  <c r="N37" i="12"/>
  <c r="M37" i="12"/>
  <c r="N36" i="12"/>
  <c r="M36" i="12"/>
  <c r="N35" i="12"/>
  <c r="M35" i="12"/>
  <c r="N34" i="12"/>
  <c r="M34" i="12"/>
  <c r="M15" i="12"/>
  <c r="N15" i="12"/>
  <c r="M16" i="12"/>
  <c r="N16" i="12"/>
  <c r="M17" i="12"/>
  <c r="N17" i="12"/>
  <c r="M18" i="12"/>
  <c r="N18" i="12"/>
  <c r="M19" i="12"/>
  <c r="N19" i="12"/>
  <c r="M20" i="12"/>
  <c r="N20" i="12"/>
  <c r="M21" i="12"/>
  <c r="N21" i="12"/>
  <c r="M22" i="12"/>
  <c r="N22" i="12"/>
  <c r="M23" i="12"/>
  <c r="N23" i="12"/>
  <c r="M24" i="12"/>
  <c r="N24" i="12"/>
  <c r="M25" i="12"/>
  <c r="N25" i="12"/>
  <c r="M26" i="12"/>
  <c r="N26" i="12"/>
  <c r="M27" i="12"/>
  <c r="N27" i="12"/>
  <c r="M28" i="12"/>
  <c r="N28" i="12"/>
  <c r="M29" i="12"/>
  <c r="N29" i="12"/>
  <c r="M30" i="12"/>
  <c r="N30" i="12"/>
  <c r="M31" i="12"/>
  <c r="N31" i="12"/>
  <c r="M32" i="12"/>
  <c r="N32" i="12"/>
  <c r="M33" i="12"/>
  <c r="N33" i="12"/>
  <c r="M46" i="12"/>
  <c r="N46" i="12"/>
  <c r="M47" i="12"/>
  <c r="N47" i="12"/>
  <c r="M48" i="12"/>
  <c r="N48" i="12"/>
  <c r="M49" i="12"/>
  <c r="N49" i="12"/>
  <c r="M50" i="12"/>
  <c r="N50" i="12"/>
  <c r="M51" i="12"/>
  <c r="N51" i="12"/>
  <c r="M52" i="12"/>
  <c r="N52" i="12"/>
  <c r="M53" i="12"/>
  <c r="N53" i="12"/>
  <c r="M54" i="12"/>
  <c r="N54" i="12"/>
  <c r="M55" i="12"/>
  <c r="N55" i="12"/>
  <c r="M56" i="12"/>
  <c r="N56" i="12"/>
  <c r="N14" i="12"/>
  <c r="M14" i="12"/>
  <c r="H8" i="12"/>
  <c r="G8" i="12"/>
  <c r="E8" i="12"/>
  <c r="A8" i="12"/>
  <c r="E6" i="12"/>
  <c r="A6" i="12"/>
  <c r="I8" i="11"/>
  <c r="G8" i="11"/>
  <c r="E8" i="11"/>
  <c r="A8" i="11"/>
  <c r="E6" i="11"/>
  <c r="A6" i="11"/>
  <c r="I8" i="6"/>
  <c r="G8" i="6"/>
  <c r="E8" i="6"/>
  <c r="A8" i="6"/>
  <c r="E6" i="6"/>
  <c r="A6" i="6"/>
  <c r="I8" i="19"/>
  <c r="G8" i="19"/>
  <c r="E8" i="19"/>
  <c r="A8" i="19"/>
  <c r="E6" i="19"/>
  <c r="A6" i="19"/>
  <c r="O36" i="12" l="1"/>
  <c r="O44" i="12"/>
  <c r="O54" i="12"/>
  <c r="O38" i="12"/>
  <c r="O35" i="12"/>
  <c r="O39" i="12"/>
  <c r="O42" i="12"/>
  <c r="O19" i="12"/>
  <c r="O37" i="12"/>
  <c r="O41" i="12"/>
  <c r="O45" i="12"/>
  <c r="O22" i="12"/>
  <c r="O34" i="12"/>
  <c r="O52" i="12"/>
  <c r="O43" i="12"/>
  <c r="O51" i="12"/>
  <c r="O47" i="12"/>
  <c r="F17" i="29"/>
  <c r="J17" i="29" s="1"/>
  <c r="F17" i="28"/>
  <c r="F17" i="27"/>
  <c r="F18" i="29"/>
  <c r="J18" i="29" s="1"/>
  <c r="F18" i="27"/>
  <c r="F18" i="28"/>
  <c r="J18" i="28" s="1"/>
  <c r="J21" i="28"/>
  <c r="F26" i="28"/>
  <c r="F22" i="29"/>
  <c r="J22" i="29" s="1"/>
  <c r="F26" i="29"/>
  <c r="J26" i="29" s="1"/>
  <c r="J25" i="29" s="1"/>
  <c r="O29" i="12"/>
  <c r="O50" i="12"/>
  <c r="O46" i="12"/>
  <c r="O30" i="12"/>
  <c r="O53" i="12"/>
  <c r="O49" i="12"/>
  <c r="O25" i="12"/>
  <c r="O21" i="12"/>
  <c r="O28" i="12"/>
  <c r="O55" i="12"/>
  <c r="O17" i="12"/>
  <c r="O56" i="12"/>
  <c r="O31" i="12"/>
  <c r="O20" i="12"/>
  <c r="O27" i="12"/>
  <c r="O23" i="12"/>
  <c r="O32" i="12"/>
  <c r="O26" i="12"/>
  <c r="O48" i="12"/>
  <c r="O33" i="12"/>
  <c r="O24" i="12"/>
  <c r="O18" i="12"/>
  <c r="O15" i="12"/>
  <c r="O16" i="12"/>
  <c r="O14" i="12"/>
  <c r="J17" i="27" l="1"/>
  <c r="F20" i="28"/>
  <c r="J20" i="28" s="1"/>
  <c r="J16" i="29"/>
  <c r="J17" i="28"/>
  <c r="J16" i="28" s="1"/>
  <c r="J18" i="27"/>
  <c r="J73" i="6"/>
  <c r="G38" i="11"/>
  <c r="C47" i="11"/>
  <c r="C48" i="11"/>
  <c r="C46" i="11"/>
  <c r="F63" i="12"/>
  <c r="J56" i="24"/>
  <c r="J57" i="24"/>
  <c r="J55" i="24"/>
  <c r="J60" i="25"/>
  <c r="J61" i="25"/>
  <c r="J59" i="25"/>
  <c r="I54" i="25"/>
  <c r="I50" i="24"/>
  <c r="O50" i="24"/>
  <c r="O54" i="25"/>
  <c r="J16" i="27" l="1"/>
  <c r="F22" i="28"/>
  <c r="F24" i="28"/>
  <c r="J24" i="28" s="1"/>
  <c r="F23" i="28"/>
  <c r="F24" i="29"/>
  <c r="J24" i="29" s="1"/>
  <c r="F23" i="29"/>
  <c r="J23" i="29" s="1"/>
  <c r="J26" i="27"/>
  <c r="J25" i="27" s="1"/>
  <c r="J26" i="28"/>
  <c r="J25" i="28" s="1"/>
  <c r="C9" i="25"/>
  <c r="A57" i="25"/>
  <c r="A58" i="25" s="1"/>
  <c r="C56" i="25"/>
  <c r="A51" i="25"/>
  <c r="A52" i="25" s="1"/>
  <c r="C50" i="25"/>
  <c r="I47" i="25"/>
  <c r="M44" i="25"/>
  <c r="I41" i="25"/>
  <c r="A40" i="25"/>
  <c r="A41" i="25" s="1"/>
  <c r="C41" i="25" s="1"/>
  <c r="C39" i="25"/>
  <c r="N36" i="25"/>
  <c r="N38" i="25" s="1"/>
  <c r="M34" i="25"/>
  <c r="I34" i="25"/>
  <c r="A34" i="25"/>
  <c r="C34" i="25" s="1"/>
  <c r="M33" i="25"/>
  <c r="I33" i="25"/>
  <c r="C33" i="25"/>
  <c r="M32" i="25"/>
  <c r="I32" i="25"/>
  <c r="M31" i="25"/>
  <c r="I31" i="25"/>
  <c r="M30" i="25"/>
  <c r="I30" i="25"/>
  <c r="A27" i="25"/>
  <c r="A29" i="25" s="1"/>
  <c r="C26" i="25"/>
  <c r="C25" i="25"/>
  <c r="C24" i="25"/>
  <c r="N37" i="25"/>
  <c r="C23" i="25"/>
  <c r="C22" i="25"/>
  <c r="C10" i="25"/>
  <c r="A3" i="25"/>
  <c r="A4" i="25" s="1"/>
  <c r="C4" i="25" s="1"/>
  <c r="C2" i="25"/>
  <c r="N1" i="25"/>
  <c r="A53" i="24"/>
  <c r="A54" i="24" s="1"/>
  <c r="A55" i="24" s="1"/>
  <c r="C52" i="24"/>
  <c r="A47" i="24"/>
  <c r="C47" i="24" s="1"/>
  <c r="C46" i="24"/>
  <c r="I43" i="24"/>
  <c r="M40" i="24"/>
  <c r="I37" i="24"/>
  <c r="A36" i="24"/>
  <c r="A37" i="24" s="1"/>
  <c r="C35" i="24"/>
  <c r="N32" i="24"/>
  <c r="M30" i="24"/>
  <c r="I30" i="24"/>
  <c r="A30" i="24"/>
  <c r="C30" i="24" s="1"/>
  <c r="M29" i="24"/>
  <c r="I29" i="24"/>
  <c r="C29" i="24"/>
  <c r="M28" i="24"/>
  <c r="I28" i="24"/>
  <c r="M27" i="24"/>
  <c r="I27" i="24"/>
  <c r="M26" i="24"/>
  <c r="I26" i="24"/>
  <c r="A23" i="24"/>
  <c r="A25" i="24" s="1"/>
  <c r="C25" i="24" s="1"/>
  <c r="C22" i="24"/>
  <c r="C21" i="24"/>
  <c r="C20" i="24"/>
  <c r="O35" i="24"/>
  <c r="C19" i="24"/>
  <c r="C18" i="24"/>
  <c r="C6" i="24"/>
  <c r="A3" i="24"/>
  <c r="A4" i="24" s="1"/>
  <c r="C2" i="24"/>
  <c r="N1" i="24"/>
  <c r="J19" i="29" l="1"/>
  <c r="J22" i="28"/>
  <c r="J23" i="28"/>
  <c r="A31" i="24"/>
  <c r="C31" i="24" s="1"/>
  <c r="C23" i="24"/>
  <c r="A5" i="24"/>
  <c r="C5" i="24" s="1"/>
  <c r="C4" i="24"/>
  <c r="A26" i="24"/>
  <c r="L40" i="24"/>
  <c r="C3" i="24"/>
  <c r="N33" i="24"/>
  <c r="O33" i="24" s="1"/>
  <c r="M41" i="24"/>
  <c r="N34" i="24"/>
  <c r="C53" i="24"/>
  <c r="A48" i="24"/>
  <c r="I45" i="24"/>
  <c r="C40" i="25"/>
  <c r="C3" i="25"/>
  <c r="A53" i="25"/>
  <c r="C52" i="25"/>
  <c r="A30" i="25"/>
  <c r="C29" i="25"/>
  <c r="A59" i="25"/>
  <c r="C58" i="25"/>
  <c r="N39" i="25"/>
  <c r="O37" i="25"/>
  <c r="M45" i="25"/>
  <c r="A5" i="25"/>
  <c r="A7" i="25" s="1"/>
  <c r="A35" i="25"/>
  <c r="A44" i="25"/>
  <c r="C57" i="25"/>
  <c r="C27" i="25"/>
  <c r="O39" i="25"/>
  <c r="L44" i="25"/>
  <c r="I49" i="25"/>
  <c r="C51" i="25"/>
  <c r="C55" i="24"/>
  <c r="A56" i="24"/>
  <c r="C37" i="24"/>
  <c r="A40" i="24"/>
  <c r="C54" i="24"/>
  <c r="C36" i="24"/>
  <c r="A32" i="24" l="1"/>
  <c r="J19" i="28"/>
  <c r="N35" i="24"/>
  <c r="A49" i="24"/>
  <c r="C48" i="24"/>
  <c r="A27" i="24"/>
  <c r="C26" i="24"/>
  <c r="C7" i="25"/>
  <c r="A8" i="25"/>
  <c r="C8" i="25" s="1"/>
  <c r="C5" i="25"/>
  <c r="C59" i="25"/>
  <c r="A60" i="25"/>
  <c r="A45" i="25"/>
  <c r="C44" i="25"/>
  <c r="C30" i="25"/>
  <c r="A31" i="25"/>
  <c r="A36" i="25"/>
  <c r="C35" i="25"/>
  <c r="A54" i="25"/>
  <c r="C53" i="25"/>
  <c r="A41" i="24"/>
  <c r="C40" i="24"/>
  <c r="A57" i="24"/>
  <c r="C57" i="24" s="1"/>
  <c r="C56" i="24"/>
  <c r="A33" i="24" l="1"/>
  <c r="C32" i="24"/>
  <c r="A28" i="24"/>
  <c r="C28" i="24" s="1"/>
  <c r="C27" i="24"/>
  <c r="A50" i="24"/>
  <c r="C49" i="24"/>
  <c r="A55" i="25"/>
  <c r="C55" i="25" s="1"/>
  <c r="C54" i="25"/>
  <c r="P31" i="25"/>
  <c r="C36" i="25"/>
  <c r="A37" i="25"/>
  <c r="Q32" i="25"/>
  <c r="C31" i="25"/>
  <c r="A32" i="25"/>
  <c r="C32" i="25" s="1"/>
  <c r="C45" i="25"/>
  <c r="A46" i="25"/>
  <c r="C46" i="25" s="1"/>
  <c r="A61" i="25"/>
  <c r="C61" i="25" s="1"/>
  <c r="C60" i="25"/>
  <c r="C41" i="24"/>
  <c r="A42" i="24"/>
  <c r="C42" i="24" s="1"/>
  <c r="C33" i="24" l="1"/>
  <c r="P29" i="24" s="1"/>
  <c r="A34" i="24"/>
  <c r="C34" i="24" s="1"/>
  <c r="A51" i="24"/>
  <c r="C51" i="24" s="1"/>
  <c r="C50" i="24"/>
  <c r="Q31" i="25"/>
  <c r="R31" i="25"/>
  <c r="R32" i="25"/>
  <c r="Q33" i="25"/>
  <c r="Q30" i="25"/>
  <c r="P30" i="25"/>
  <c r="P33" i="25"/>
  <c r="C37" i="25"/>
  <c r="Q34" i="25" s="1"/>
  <c r="A38" i="25"/>
  <c r="C38" i="25" s="1"/>
  <c r="R30" i="25"/>
  <c r="P32" i="25"/>
  <c r="R33" i="25"/>
  <c r="P27" i="24"/>
  <c r="P28" i="24"/>
  <c r="R29" i="24"/>
  <c r="R28" i="24" l="1"/>
  <c r="P26" i="24"/>
  <c r="Q30" i="24"/>
  <c r="P30" i="24"/>
  <c r="R26" i="24"/>
  <c r="R27" i="24"/>
  <c r="Q28" i="24"/>
  <c r="Q27" i="24"/>
  <c r="Q26" i="24"/>
  <c r="Q29" i="24"/>
  <c r="R30" i="24"/>
  <c r="P34" i="24"/>
  <c r="Q34" i="24"/>
  <c r="R34" i="24"/>
  <c r="P38" i="25"/>
  <c r="R38" i="25"/>
  <c r="R34" i="25"/>
  <c r="Q38" i="25"/>
  <c r="P34" i="25"/>
  <c r="O34" i="24" l="1"/>
  <c r="V35" i="24" s="1"/>
  <c r="T24" i="24" s="1"/>
  <c r="O38" i="25"/>
  <c r="V39" i="25" s="1"/>
  <c r="T28" i="25" s="1"/>
  <c r="B173" i="19" l="1"/>
  <c r="B174" i="19"/>
  <c r="B172" i="19"/>
  <c r="G164" i="19"/>
  <c r="A164" i="19"/>
  <c r="F15" i="28" l="1"/>
  <c r="J15" i="28" s="1"/>
  <c r="F15" i="29"/>
  <c r="J15" i="29" s="1"/>
  <c r="F15" i="27"/>
  <c r="F14" i="29"/>
  <c r="J14" i="29" s="1"/>
  <c r="F14" i="28"/>
  <c r="J14" i="28" s="1"/>
  <c r="F14" i="27"/>
  <c r="J13" i="28" l="1"/>
  <c r="J29" i="28" s="1"/>
  <c r="J13" i="29"/>
  <c r="J29" i="29" s="1"/>
  <c r="J14" i="27"/>
  <c r="J15" i="27"/>
  <c r="J9" i="12"/>
  <c r="A63" i="12"/>
  <c r="C74" i="12"/>
  <c r="C75" i="12"/>
  <c r="C73" i="12"/>
  <c r="A38" i="11"/>
  <c r="C84" i="6"/>
  <c r="C85" i="6"/>
  <c r="C83" i="6"/>
  <c r="A73" i="6"/>
  <c r="J13" i="27" l="1"/>
  <c r="H16" i="11"/>
  <c r="I16" i="11" s="1"/>
  <c r="H17" i="11"/>
  <c r="I17" i="11" s="1"/>
  <c r="H18" i="11"/>
  <c r="I18" i="11" s="1"/>
  <c r="H19" i="11"/>
  <c r="I19" i="11" s="1"/>
  <c r="H20" i="11"/>
  <c r="I20" i="11" s="1"/>
  <c r="H21" i="11"/>
  <c r="I21" i="11" s="1"/>
  <c r="H22" i="11"/>
  <c r="I22" i="11" s="1"/>
  <c r="H23" i="11"/>
  <c r="I23" i="11" s="1"/>
  <c r="H24" i="11"/>
  <c r="I24" i="11" s="1"/>
  <c r="H25" i="11"/>
  <c r="I25" i="11" s="1"/>
  <c r="H26" i="11"/>
  <c r="I26" i="11" s="1"/>
  <c r="L18" i="6"/>
  <c r="M18" i="6"/>
  <c r="L19" i="6"/>
  <c r="M19" i="6"/>
  <c r="L20" i="6"/>
  <c r="M20" i="6"/>
  <c r="L21" i="6"/>
  <c r="M21" i="6"/>
  <c r="L22" i="6"/>
  <c r="M22" i="6"/>
  <c r="L23" i="6"/>
  <c r="M23" i="6"/>
  <c r="L24" i="6"/>
  <c r="M24" i="6"/>
  <c r="L25" i="6"/>
  <c r="M25" i="6"/>
  <c r="L26" i="6"/>
  <c r="M26" i="6"/>
  <c r="L27" i="6"/>
  <c r="M27" i="6"/>
  <c r="L28" i="6"/>
  <c r="M28" i="6"/>
  <c r="L29" i="6"/>
  <c r="M29" i="6"/>
  <c r="L30" i="6"/>
  <c r="M30" i="6"/>
  <c r="L31" i="6"/>
  <c r="M31" i="6"/>
  <c r="L32" i="6"/>
  <c r="M32" i="6"/>
  <c r="L33" i="6"/>
  <c r="M33" i="6"/>
  <c r="L34" i="6"/>
  <c r="M34" i="6"/>
  <c r="L35" i="6"/>
  <c r="M35" i="6"/>
  <c r="L36" i="6"/>
  <c r="M36" i="6"/>
  <c r="L37" i="6"/>
  <c r="M37" i="6"/>
  <c r="L38" i="6"/>
  <c r="M38" i="6"/>
  <c r="L39" i="6"/>
  <c r="M39" i="6"/>
  <c r="L40" i="6"/>
  <c r="M40" i="6"/>
  <c r="L41" i="6"/>
  <c r="M41" i="6"/>
  <c r="L42" i="6"/>
  <c r="M42" i="6"/>
  <c r="L43" i="6"/>
  <c r="M43" i="6"/>
  <c r="L44" i="6"/>
  <c r="M44" i="6"/>
  <c r="L45" i="6"/>
  <c r="M45" i="6"/>
  <c r="L46" i="6"/>
  <c r="M46" i="6"/>
  <c r="L47" i="6"/>
  <c r="M47" i="6"/>
  <c r="L48" i="6"/>
  <c r="M48" i="6"/>
  <c r="L49" i="6"/>
  <c r="M49" i="6"/>
  <c r="L50" i="6"/>
  <c r="M50" i="6"/>
  <c r="K18" i="6"/>
  <c r="N18" i="6" s="1"/>
  <c r="K19" i="6"/>
  <c r="N19" i="6" s="1"/>
  <c r="K20" i="6"/>
  <c r="N20" i="6" s="1"/>
  <c r="K21" i="6"/>
  <c r="N21" i="6" s="1"/>
  <c r="K22" i="6"/>
  <c r="N22" i="6" s="1"/>
  <c r="K23" i="6"/>
  <c r="N23" i="6" s="1"/>
  <c r="K24" i="6"/>
  <c r="N24" i="6" s="1"/>
  <c r="K25" i="6"/>
  <c r="N25" i="6" s="1"/>
  <c r="K26" i="6"/>
  <c r="N26" i="6" s="1"/>
  <c r="K27" i="6"/>
  <c r="N27" i="6" s="1"/>
  <c r="K28" i="6"/>
  <c r="N28" i="6" s="1"/>
  <c r="K29" i="6"/>
  <c r="N29" i="6" s="1"/>
  <c r="K30" i="6"/>
  <c r="N30" i="6" s="1"/>
  <c r="K31" i="6"/>
  <c r="N31" i="6" s="1"/>
  <c r="K32" i="6"/>
  <c r="N32" i="6" s="1"/>
  <c r="K33" i="6"/>
  <c r="N33" i="6" s="1"/>
  <c r="K34" i="6"/>
  <c r="N34" i="6" s="1"/>
  <c r="K35" i="6"/>
  <c r="N35" i="6" s="1"/>
  <c r="K36" i="6"/>
  <c r="N36" i="6" s="1"/>
  <c r="K37" i="6"/>
  <c r="N37" i="6" s="1"/>
  <c r="K38" i="6"/>
  <c r="N38" i="6" s="1"/>
  <c r="K39" i="6"/>
  <c r="N39" i="6" s="1"/>
  <c r="K40" i="6"/>
  <c r="N40" i="6" s="1"/>
  <c r="K41" i="6"/>
  <c r="N41" i="6" s="1"/>
  <c r="K42" i="6"/>
  <c r="N42" i="6" s="1"/>
  <c r="K43" i="6"/>
  <c r="N43" i="6" s="1"/>
  <c r="K44" i="6"/>
  <c r="N44" i="6" s="1"/>
  <c r="K45" i="6"/>
  <c r="N45" i="6" s="1"/>
  <c r="K46" i="6"/>
  <c r="N46" i="6" s="1"/>
  <c r="K47" i="6"/>
  <c r="N47" i="6" s="1"/>
  <c r="K48" i="6"/>
  <c r="N48" i="6" s="1"/>
  <c r="K49" i="6"/>
  <c r="N49" i="6" s="1"/>
  <c r="K50" i="6"/>
  <c r="N50" i="6" s="1"/>
  <c r="K51" i="6"/>
  <c r="N51" i="6" s="1"/>
  <c r="K52" i="6"/>
  <c r="N52" i="6" s="1"/>
  <c r="K53" i="6"/>
  <c r="N53" i="6" s="1"/>
  <c r="K54" i="6"/>
  <c r="N54" i="6" s="1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L51" i="6"/>
  <c r="M51" i="6"/>
  <c r="L52" i="6"/>
  <c r="M52" i="6"/>
  <c r="L53" i="6"/>
  <c r="M53" i="6"/>
  <c r="L54" i="6"/>
  <c r="M54" i="6"/>
  <c r="L55" i="6"/>
  <c r="M55" i="6"/>
  <c r="K55" i="6"/>
  <c r="N55" i="6" s="1"/>
  <c r="H50" i="6"/>
  <c r="H51" i="6"/>
  <c r="H52" i="6"/>
  <c r="H53" i="6"/>
  <c r="H54" i="6"/>
  <c r="H60" i="12" l="1"/>
  <c r="N60" i="12"/>
  <c r="N9" i="12" s="1"/>
  <c r="O60" i="12" l="1"/>
  <c r="M60" i="12"/>
  <c r="H14" i="11" l="1"/>
  <c r="I14" i="11" s="1"/>
  <c r="H15" i="11"/>
  <c r="I15" i="11" s="1"/>
  <c r="H27" i="11"/>
  <c r="I27" i="11" s="1"/>
  <c r="H28" i="11"/>
  <c r="I28" i="11" s="1"/>
  <c r="H29" i="11"/>
  <c r="I29" i="11" s="1"/>
  <c r="H30" i="11"/>
  <c r="I30" i="11" s="1"/>
  <c r="H31" i="11"/>
  <c r="I31" i="11" s="1"/>
  <c r="H32" i="11"/>
  <c r="I32" i="11" s="1"/>
  <c r="H13" i="11"/>
  <c r="I13" i="11" s="1"/>
  <c r="N70" i="6" l="1"/>
  <c r="N71" i="6" s="1"/>
  <c r="N4" i="11" l="1"/>
  <c r="J24" i="11" l="1"/>
  <c r="K24" i="11" s="1"/>
  <c r="J18" i="11"/>
  <c r="K18" i="11" s="1"/>
  <c r="J19" i="11"/>
  <c r="K19" i="11" s="1"/>
  <c r="J25" i="11"/>
  <c r="K25" i="11" s="1"/>
  <c r="J16" i="11"/>
  <c r="K16" i="11" s="1"/>
  <c r="J17" i="11"/>
  <c r="K17" i="11" s="1"/>
  <c r="J26" i="11"/>
  <c r="K26" i="11" s="1"/>
  <c r="J23" i="11"/>
  <c r="K23" i="11" s="1"/>
  <c r="J20" i="11"/>
  <c r="K20" i="11" s="1"/>
  <c r="J22" i="11"/>
  <c r="K22" i="11" s="1"/>
  <c r="J21" i="11"/>
  <c r="K21" i="11" s="1"/>
  <c r="J13" i="11"/>
  <c r="J30" i="11"/>
  <c r="K30" i="11" s="1"/>
  <c r="J31" i="11"/>
  <c r="K31" i="11" s="1"/>
  <c r="J27" i="11"/>
  <c r="K27" i="11" s="1"/>
  <c r="J14" i="11"/>
  <c r="K14" i="11" s="1"/>
  <c r="J28" i="11"/>
  <c r="K28" i="11" s="1"/>
  <c r="J15" i="11"/>
  <c r="K15" i="11" s="1"/>
  <c r="J32" i="11"/>
  <c r="K32" i="11" s="1"/>
  <c r="J29" i="11"/>
  <c r="K29" i="11" s="1"/>
  <c r="M63" i="6" l="1"/>
  <c r="L63" i="6"/>
  <c r="K63" i="6"/>
  <c r="N63" i="6" s="1"/>
  <c r="H63" i="6"/>
  <c r="M62" i="6"/>
  <c r="L62" i="6"/>
  <c r="K62" i="6"/>
  <c r="N62" i="6" s="1"/>
  <c r="H62" i="6"/>
  <c r="M61" i="6"/>
  <c r="L61" i="6"/>
  <c r="K61" i="6"/>
  <c r="N61" i="6" s="1"/>
  <c r="H61" i="6"/>
  <c r="M60" i="6"/>
  <c r="L60" i="6"/>
  <c r="K60" i="6"/>
  <c r="N60" i="6" s="1"/>
  <c r="H60" i="6"/>
  <c r="M59" i="6"/>
  <c r="L59" i="6"/>
  <c r="K59" i="6"/>
  <c r="N59" i="6" s="1"/>
  <c r="H59" i="6"/>
  <c r="M58" i="6"/>
  <c r="L58" i="6"/>
  <c r="K58" i="6"/>
  <c r="N58" i="6" s="1"/>
  <c r="H58" i="6"/>
  <c r="M57" i="6"/>
  <c r="L57" i="6"/>
  <c r="K57" i="6"/>
  <c r="N57" i="6" s="1"/>
  <c r="H57" i="6"/>
  <c r="M56" i="6"/>
  <c r="L56" i="6"/>
  <c r="K56" i="6"/>
  <c r="N56" i="6" s="1"/>
  <c r="H56" i="6"/>
  <c r="H55" i="6"/>
  <c r="M17" i="6"/>
  <c r="L17" i="6"/>
  <c r="K17" i="6"/>
  <c r="N17" i="6" s="1"/>
  <c r="H17" i="6"/>
  <c r="M16" i="6"/>
  <c r="L16" i="6"/>
  <c r="K16" i="6"/>
  <c r="N16" i="6" s="1"/>
  <c r="H16" i="6"/>
  <c r="M15" i="6"/>
  <c r="L15" i="6"/>
  <c r="K15" i="6"/>
  <c r="N15" i="6" s="1"/>
  <c r="H15" i="6"/>
  <c r="M14" i="6"/>
  <c r="L14" i="6"/>
  <c r="K14" i="6"/>
  <c r="N14" i="6" s="1"/>
  <c r="H14" i="6"/>
  <c r="K13" i="11" l="1"/>
  <c r="K12" i="11" s="1"/>
  <c r="K35" i="11" s="1"/>
  <c r="K33" i="11" s="1"/>
  <c r="K34" i="11" l="1"/>
  <c r="F20" i="27" l="1"/>
  <c r="F21" i="27" l="1"/>
  <c r="J20" i="27"/>
  <c r="F22" i="27"/>
  <c r="F23" i="27" l="1"/>
  <c r="J21" i="27"/>
  <c r="J22" i="27"/>
  <c r="J23" i="27" l="1"/>
  <c r="F24" i="27"/>
  <c r="J24" i="27" l="1"/>
  <c r="J19" i="27" s="1"/>
  <c r="J29" i="27" s="1"/>
  <c r="C107" i="32" l="1"/>
  <c r="C108" i="32" s="1"/>
  <c r="C126" i="32" l="1"/>
  <c r="C111" i="32"/>
  <c r="C142" i="32" l="1"/>
  <c r="C145" i="32" s="1"/>
  <c r="C148" i="32" l="1"/>
  <c r="C163" i="32" s="1"/>
  <c r="C178" i="32" s="1"/>
  <c r="C193" i="32" s="1"/>
</calcChain>
</file>

<file path=xl/sharedStrings.xml><?xml version="1.0" encoding="utf-8"?>
<sst xmlns="http://schemas.openxmlformats.org/spreadsheetml/2006/main" count="1816" uniqueCount="516">
  <si>
    <t>01 – NOME DA PREFEITURA PROPONENTE:</t>
  </si>
  <si>
    <t>02 – DESCRIÇÃO: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</si>
  <si>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</si>
  <si>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</si>
  <si>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</si>
  <si>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</si>
  <si>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</si>
  <si>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</si>
  <si>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</si>
  <si>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</si>
  <si>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</si>
  <si>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SERVIÇOS PRELIMINARES</t>
  </si>
  <si>
    <t>Total sem BDI:</t>
  </si>
  <si>
    <t>Total do BDI:</t>
  </si>
  <si>
    <t>TOTAL GERAL:</t>
  </si>
  <si>
    <t>03 –LOCALIDADE:</t>
  </si>
  <si>
    <t>04 –DATA:</t>
  </si>
  <si>
    <t>05 - DATA-BASE:</t>
  </si>
  <si>
    <t>06 - BDI</t>
  </si>
  <si>
    <t>BDI</t>
  </si>
  <si>
    <t>Local</t>
  </si>
  <si>
    <t>Data</t>
  </si>
  <si>
    <t>Nome:</t>
  </si>
  <si>
    <t>Responsável Técnico</t>
  </si>
  <si>
    <t>Título:</t>
  </si>
  <si>
    <t>CREA/CAU:</t>
  </si>
  <si>
    <t>PLANILHA ORÇAMENTÁRIA - REPROGRAMAÇÃO</t>
  </si>
  <si>
    <t>Quant. Licitada</t>
  </si>
  <si>
    <t>Quant. Suprimida</t>
  </si>
  <si>
    <t>Quant. Acrescida</t>
  </si>
  <si>
    <t>Quant. Reprogramada</t>
  </si>
  <si>
    <t>Valor Suprimido</t>
  </si>
  <si>
    <t>Valor    Acrescido</t>
  </si>
  <si>
    <t>Total Reprogramado</t>
  </si>
  <si>
    <t>Total Licitado</t>
  </si>
  <si>
    <t>TOTAL LICITADO:</t>
  </si>
  <si>
    <t>Valor Acrescido:</t>
  </si>
  <si>
    <t>Valor Suprimido:</t>
  </si>
  <si>
    <t>TOTAL REPROGRAMADO:</t>
  </si>
  <si>
    <t>TOTAL DO ADITIVO:</t>
  </si>
  <si>
    <t>Kappa EMPRESA:</t>
  </si>
  <si>
    <t xml:space="preserve">SERVIÇOS EXTRA </t>
  </si>
  <si>
    <t>SERVIÇOS EXTRAS</t>
  </si>
  <si>
    <t>Kappa PLANILHA:</t>
  </si>
  <si>
    <t>Valor Unit   CHEIO</t>
  </si>
  <si>
    <t>Valor Unit     CHEIO</t>
  </si>
  <si>
    <t>Valor Unit PLANILHA</t>
  </si>
  <si>
    <t>Valor Unit EMPRESA</t>
  </si>
  <si>
    <t>Valor Unit       com BDI</t>
  </si>
  <si>
    <t>FÍSICO</t>
  </si>
  <si>
    <t>ANTERIOR</t>
  </si>
  <si>
    <t>PERÍODO</t>
  </si>
  <si>
    <t>ACUMULADO</t>
  </si>
  <si>
    <t>FINANCEIRO</t>
  </si>
  <si>
    <t>TOTAIS</t>
  </si>
  <si>
    <t>TOTAL GERAL</t>
  </si>
  <si>
    <t>VALOR DA MEDIÇÃO</t>
  </si>
  <si>
    <t>EMPRESA:</t>
  </si>
  <si>
    <t>Nº DO CONTRATO:</t>
  </si>
  <si>
    <t>VALOR DO CONTRATO:</t>
  </si>
  <si>
    <t>SALDO:</t>
  </si>
  <si>
    <t>PERÍODO DA MEDIÇÃO:</t>
  </si>
  <si>
    <t>Proponente/Tomador:</t>
  </si>
  <si>
    <t>Município/UF:</t>
  </si>
  <si>
    <t>DADOS DO MUNICÍPIO</t>
  </si>
  <si>
    <t>DADOS DO EMPREENDIMENTO E ORÇAMENTO</t>
  </si>
  <si>
    <t>Nome/Objeto:</t>
  </si>
  <si>
    <t>RESPONSÁVEL PELO ORÇAMENTO</t>
  </si>
  <si>
    <t>RESPONSÁVEL PELO TOMADOR (PREFEITO)</t>
  </si>
  <si>
    <t>Cargo:</t>
  </si>
  <si>
    <t>Prefeito Municipal</t>
  </si>
  <si>
    <t>Data-Base do Orçamento:</t>
  </si>
  <si>
    <t>Valor do BDI (%):</t>
  </si>
  <si>
    <t>BDI:</t>
  </si>
  <si>
    <t>DADOS INICIAIS</t>
  </si>
  <si>
    <t>Data do Preenchimento:</t>
  </si>
  <si>
    <t>ACOMPANHAMENTO DO EMPREENDIMENTO</t>
  </si>
  <si>
    <t>Data de Início da Obra:</t>
  </si>
  <si>
    <t>Data do Fechamento do BM:</t>
  </si>
  <si>
    <t>RESPONSÁVEL PELA FISCALIZAÇÃO</t>
  </si>
  <si>
    <t>DADOS DA OBRA</t>
  </si>
  <si>
    <t>Tributos (impostos COFINS 3%, e  PIS 0,65%)</t>
  </si>
  <si>
    <t>Tributos (ISS, variável de acordo com o município)</t>
  </si>
  <si>
    <t>Tributos (Contribuição Previdenciária sobre a Receita Bruta - 0% ou 4,5% - Desoneração)</t>
  </si>
  <si>
    <t>AC</t>
  </si>
  <si>
    <t>SG</t>
  </si>
  <si>
    <t>R</t>
  </si>
  <si>
    <t>DF</t>
  </si>
  <si>
    <t>L</t>
  </si>
  <si>
    <t>CP</t>
  </si>
  <si>
    <t>ISS</t>
  </si>
  <si>
    <t>CPRB</t>
  </si>
  <si>
    <t>BDI PAD</t>
  </si>
  <si>
    <t>DESONERAÇÃO</t>
  </si>
  <si>
    <t>Conforme legislação tributária municipal, definir estimativa de percentual da base de cálculo para o ISS:</t>
  </si>
  <si>
    <t>Sobre a base de cálculo, definir a respectiva alíquota do ISS (entre 2% e 5%):</t>
  </si>
  <si>
    <t>Os valores de BDI foram calculados com o emprego da fórmula:</t>
  </si>
  <si>
    <t xml:space="preserve"> - 1</t>
  </si>
  <si>
    <t>Observações:</t>
  </si>
  <si>
    <t>1º Quartil</t>
  </si>
  <si>
    <t>Médio</t>
  </si>
  <si>
    <t>3º Quartil</t>
  </si>
  <si>
    <t>Construção e Reforma de Edifícios</t>
  </si>
  <si>
    <t>Construção de Praças Urbanas, Rodovias, Ferrovias e recapeamento e pavimentação de vias urbanas</t>
  </si>
  <si>
    <t>Nº DA MEDIÇÃO</t>
  </si>
  <si>
    <t>BOLETIM DE MEDIÇÃO</t>
  </si>
  <si>
    <t>Engenheira Civil</t>
  </si>
  <si>
    <t>SINAPI</t>
  </si>
  <si>
    <t>ENGENHEIRO CIVIL DE OBRA JUNIOR COM ENCARGOS COMPLEMENTARES</t>
  </si>
  <si>
    <t xml:space="preserve"> 93572 </t>
  </si>
  <si>
    <t>ENCARREGADO GERAL DE OBRAS COM ENCARGOS COMPLEMENTARES</t>
  </si>
  <si>
    <t xml:space="preserve"> 2 </t>
  </si>
  <si>
    <t>Kappa ADM</t>
  </si>
  <si>
    <t>Porcentagem</t>
  </si>
  <si>
    <t>Altura</t>
  </si>
  <si>
    <t>Comprimento</t>
  </si>
  <si>
    <t>Largura</t>
  </si>
  <si>
    <t>Área</t>
  </si>
  <si>
    <t>Quantidade</t>
  </si>
  <si>
    <t>DADOS NUMÉRICOS</t>
  </si>
  <si>
    <t>UNIDADE</t>
  </si>
  <si>
    <t>DESCRIÇÃO</t>
  </si>
  <si>
    <t>BANCO</t>
  </si>
  <si>
    <t>CÓDIGO</t>
  </si>
  <si>
    <t xml:space="preserve"> 1 </t>
  </si>
  <si>
    <t>EMPRESAS FORNECEDORAS:</t>
  </si>
  <si>
    <t>EMPRESAS</t>
  </si>
  <si>
    <t>CNPJ</t>
  </si>
  <si>
    <t>NOME</t>
  </si>
  <si>
    <t>FONE</t>
  </si>
  <si>
    <t>SITE</t>
  </si>
  <si>
    <t>COTAÇÕES:</t>
  </si>
  <si>
    <t>MEDIANA</t>
  </si>
  <si>
    <t>EMPRESA</t>
  </si>
  <si>
    <t>NOME DA EMPRESA</t>
  </si>
  <si>
    <t>COTAÇÕES</t>
  </si>
  <si>
    <t>DATA COTAÇÃO</t>
  </si>
  <si>
    <t>Fornecimento de Materiais e Equipamentos (aquisição indireta - em conjunto com licitação de obras)</t>
  </si>
  <si>
    <t>MIN</t>
  </si>
  <si>
    <t>MED</t>
  </si>
  <si>
    <t>MAX</t>
  </si>
  <si>
    <t>Nº TC/CR</t>
  </si>
  <si>
    <t>PROPONENTE / TOMADOR</t>
  </si>
  <si>
    <t>QUADRO DE COMPOSIÇÃO DE BDI</t>
  </si>
  <si>
    <t>OBJETO</t>
  </si>
  <si>
    <t>TIPO DE OBRA DO EMPREENDIMENTO</t>
  </si>
  <si>
    <t>Construção de Redes de Abastecimento de Água, Coleta de Esgoto</t>
  </si>
  <si>
    <t>Itens</t>
  </si>
  <si>
    <t>Siglas</t>
  </si>
  <si>
    <t>% Adotado</t>
  </si>
  <si>
    <t>Situação</t>
  </si>
  <si>
    <t>-</t>
  </si>
  <si>
    <t>Construção e Manutenção de Estações e Redes de Distribuição de Energia Elétrica</t>
  </si>
  <si>
    <t>BDI SEM desoneração
(Fórmula Acórdão TCU)</t>
  </si>
  <si>
    <t>Obras Portuárias, Marítimas e Fluviais</t>
  </si>
  <si>
    <t>BDI COM desoneração</t>
  </si>
  <si>
    <t>BDI DES</t>
  </si>
  <si>
    <t>pedir anexo</t>
  </si>
  <si>
    <t>Anexo: Relatório Técnico Circunstanciado justificando a adoção do percentual de cada parcela do BDI.</t>
  </si>
  <si>
    <t>anexo apresentado</t>
  </si>
  <si>
    <t>Estudos e Projetos, Planos e Gerenciamento e outros correlatos</t>
  </si>
  <si>
    <t>K1</t>
  </si>
  <si>
    <t>K2</t>
  </si>
  <si>
    <t/>
  </si>
  <si>
    <t>K3</t>
  </si>
  <si>
    <t>Fornecimento de Materiais e Equipamentos (aquisição direta)</t>
  </si>
  <si>
    <t>Descrição:</t>
  </si>
  <si>
    <t>LLES Engenharia e Projetos LTDA</t>
  </si>
  <si>
    <t>CNPJ 13.103.698/0001-12</t>
  </si>
  <si>
    <t>05 - BANCOS:</t>
  </si>
  <si>
    <t>Rua Carlos Roque, 45, térreo – Centro – CEP 45-490-000, Laje - Ba
TEL: (75) 99989 6598 – (75) 99805 2089, e-mail: contato@llesengenharia.com.br</t>
  </si>
  <si>
    <t>6 - BDI:</t>
  </si>
  <si>
    <t>E001</t>
  </si>
  <si>
    <t>E002</t>
  </si>
  <si>
    <t>E003</t>
  </si>
  <si>
    <t>E004</t>
  </si>
  <si>
    <t>E005</t>
  </si>
  <si>
    <t>E006</t>
  </si>
  <si>
    <t>E007</t>
  </si>
  <si>
    <t>E008</t>
  </si>
  <si>
    <t>E009</t>
  </si>
  <si>
    <t>E010</t>
  </si>
  <si>
    <t>E011</t>
  </si>
  <si>
    <t>E012</t>
  </si>
  <si>
    <t>E013</t>
  </si>
  <si>
    <t>E014</t>
  </si>
  <si>
    <t>E015</t>
  </si>
  <si>
    <t>E016</t>
  </si>
  <si>
    <t>E017</t>
  </si>
  <si>
    <t>E018</t>
  </si>
  <si>
    <t>E019</t>
  </si>
  <si>
    <t>E020</t>
  </si>
  <si>
    <t>E021</t>
  </si>
  <si>
    <t>E022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</si>
  <si>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</si>
  <si>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</si>
  <si>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</si>
  <si>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</si>
  <si>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</si>
  <si>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</si>
  <si>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</si>
  <si>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</si>
  <si>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</si>
  <si>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</si>
  <si>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PAVIMENTAÇÃO</t>
  </si>
  <si>
    <t>m²</t>
  </si>
  <si>
    <t>M3XKM</t>
  </si>
  <si>
    <t>m³</t>
  </si>
  <si>
    <t>SINALIZAÇÃO VIÁRIA</t>
  </si>
  <si>
    <t xml:space="preserve"> CP08 </t>
  </si>
  <si>
    <t>Próprio</t>
  </si>
  <si>
    <t>SINAPI (74209/001) ATUALIZADO- PLACA DE OBRA EM CHAPA DE ACO GALVANIZADO</t>
  </si>
  <si>
    <t xml:space="preserve"> 93208 </t>
  </si>
  <si>
    <t>EXECUÇÃO DE ALMOXARIFADO EM CANTEIRO DE OBRA EM CHAPA DE MADEIRA COMPENSADA, INCLUSO PRATELEIRAS. AF_02/2016</t>
  </si>
  <si>
    <t xml:space="preserve"> 96402 </t>
  </si>
  <si>
    <t>EXECUÇÃO DE PINTURA DE LIGAÇÃO COM EMULSÃO ASFÁLTICA RR-2C. AF_11/2019</t>
  </si>
  <si>
    <t xml:space="preserve"> 0179 </t>
  </si>
  <si>
    <t>Copia da SINAPI (95303) - TRANSPORTE COM CAMINHÃO BASCULANTE 10 M3 DE MASSA ASFALTICA PARA PAVIMENTAÇÃO URBANA</t>
  </si>
  <si>
    <t xml:space="preserve"> COMP008 </t>
  </si>
  <si>
    <t>PLACA DE SINALIZAÇÃO VERTICAL PERMANENTE, COM PLACA DE AÇO 60X60CM, COM POSTE DE AÇO GALVANIZADO H=3,00M - FORNECIMENTO E INSTALAÇÃO</t>
  </si>
  <si>
    <t>UN</t>
  </si>
  <si>
    <t xml:space="preserve"> COMP011 </t>
  </si>
  <si>
    <t>Copia da SINAPI (73916/002) - PLACA ESMALTADA PARA IDENTIFICAÇÃO NR DE RUA, DIMENSÕES 45X25CM</t>
  </si>
  <si>
    <t>REASSENTAMENTO DE PARALELEPÍPEDOS, REJUNTAMENTO COM ARGAMASSA, COM REAPROVEITAMENTO DOS PARALELEPÍPEDOS - INCLUSO RETIRADA E COLOCAÇÃO DO MATERIAL. AF_12/2020</t>
  </si>
  <si>
    <t>EXECUÇÃO DE PAVIMENTO COM APLICAÇÃO DE CONCRETO ASFÁLTICO, CAMADA DE ROLAMENTO - EXCLUSIVE CARGA E TRANSPORTE. AF_11/2019</t>
  </si>
  <si>
    <t>PINTURA DE EIXO VIÁRIO SOBRE ASFALTO COM TINTA RETRORREFLETIVA A BASE DE RESINA ACRÍLICA COM MICROESFERAS DE VIDRO, APLICAÇÃO MECÂNICA COM DEMARCADORA AUTOPROPELIDA. AF_05/2021</t>
  </si>
  <si>
    <t>M</t>
  </si>
  <si>
    <t>ADMINISTRAÇÃO DE OBRA</t>
  </si>
  <si>
    <t xml:space="preserve"> 1.1 </t>
  </si>
  <si>
    <t xml:space="preserve"> 93565 </t>
  </si>
  <si>
    <t>MES</t>
  </si>
  <si>
    <t xml:space="preserve"> 1.2 </t>
  </si>
  <si>
    <t xml:space="preserve"> 2.1 </t>
  </si>
  <si>
    <t xml:space="preserve"> 2.2 </t>
  </si>
  <si>
    <t xml:space="preserve"> 3 </t>
  </si>
  <si>
    <t xml:space="preserve"> 3.1 </t>
  </si>
  <si>
    <t xml:space="preserve"> COMP014 </t>
  </si>
  <si>
    <t>LIMPEZA DE RUAS (VARRIÇÃO E REMOÇÃO DE ENTULHOS)</t>
  </si>
  <si>
    <t xml:space="preserve"> 3.2 </t>
  </si>
  <si>
    <t xml:space="preserve"> 3.3 </t>
  </si>
  <si>
    <t xml:space="preserve"> 95995 </t>
  </si>
  <si>
    <t xml:space="preserve"> 101852 </t>
  </si>
  <si>
    <t xml:space="preserve"> 3.4 </t>
  </si>
  <si>
    <t xml:space="preserve"> 4 </t>
  </si>
  <si>
    <t xml:space="preserve"> 4.1 </t>
  </si>
  <si>
    <t xml:space="preserve"> 102512 </t>
  </si>
  <si>
    <t xml:space="preserve"> 4.2 </t>
  </si>
  <si>
    <t xml:space="preserve"> 4.3 </t>
  </si>
  <si>
    <t>PLANILHA ORÇAMENTÁRIA INDIVIDUAL - RUA SÃO SEBASTIAO</t>
  </si>
  <si>
    <t>PLANILHA ORÇAMENTÁRIA INDIVIDUAL - SÃO BENEDITO</t>
  </si>
  <si>
    <t>PLANILHA ORÇAMENTÁRIA INDIVIDUAL - RUA DA LINHA</t>
  </si>
  <si>
    <t>H</t>
  </si>
  <si>
    <t>COMPOSIÇÕES PRÓPRIAS</t>
  </si>
  <si>
    <t>LASTRO DE CONCRETO MAGRO, APLICADO EM PISOS, LAJES SOBRE SOLO OU RADIERS, ESPESSURA DE 3 CM. AF_07/2016</t>
  </si>
  <si>
    <t>Área Pav</t>
  </si>
  <si>
    <t>Área de piso tátil</t>
  </si>
  <si>
    <t>Área de meio fio</t>
  </si>
  <si>
    <t>Tipo</t>
  </si>
  <si>
    <t>Composição</t>
  </si>
  <si>
    <t>ASTU - ASSENTAMENTO DE TUBOS E PECAS</t>
  </si>
  <si>
    <t>Composição Auxiliar</t>
  </si>
  <si>
    <t>KG</t>
  </si>
  <si>
    <t>MO sem LS =&gt;</t>
  </si>
  <si>
    <t>LS =&gt;</t>
  </si>
  <si>
    <t>MO com LS =&gt;</t>
  </si>
  <si>
    <t>Valor do BDI =&gt;</t>
  </si>
  <si>
    <t>Valor com BDI =&gt;</t>
  </si>
  <si>
    <t>SEDI - SERVIÇOS DIVERSOS</t>
  </si>
  <si>
    <t xml:space="preserve"> 88316 </t>
  </si>
  <si>
    <t>SERVENTE COM ENCARGOS COMPLEMENTARES</t>
  </si>
  <si>
    <t>1039250-00</t>
  </si>
  <si>
    <t>Prefeitura Municipal</t>
  </si>
  <si>
    <t>Não</t>
  </si>
  <si>
    <t>PREFEITURA MUNICIPAL DE CABACEIRAS DO PARAGUAÇU</t>
  </si>
  <si>
    <t>PROJETO DE CONSTRUÇÃO DE UNIDADE SANITÁRIA</t>
  </si>
  <si>
    <t>CABACEIRAS DO PARAGUAÇU/BA</t>
  </si>
  <si>
    <t>Keilla Oliveira dos Santos</t>
  </si>
  <si>
    <t>CREA-BA 051949523-3</t>
  </si>
  <si>
    <t>PROJETO DE SINALIZAÇÃO E ADEQUAÇÃO DO CANTEIRO</t>
  </si>
  <si>
    <t>LARGURA UTILIZADA</t>
  </si>
  <si>
    <t>ÁREA ENCONTRADA</t>
  </si>
  <si>
    <t>ENTRADA DE RUA</t>
  </si>
  <si>
    <t>ORÇAMENTO</t>
  </si>
  <si>
    <t>Usuário</t>
  </si>
  <si>
    <t>Nº do Orçamento:</t>
  </si>
  <si>
    <t>DRENAGEM</t>
  </si>
  <si>
    <t>Insumo</t>
  </si>
  <si>
    <t>Material</t>
  </si>
  <si>
    <t>Espessura</t>
  </si>
  <si>
    <t>Área da Seção</t>
  </si>
  <si>
    <t>Repetições</t>
  </si>
  <si>
    <t>idem área de imprimação x espessura</t>
  </si>
  <si>
    <t>Entrada de Rua</t>
  </si>
  <si>
    <t>Exclui canteiros</t>
  </si>
  <si>
    <t>Exclui sarjetas</t>
  </si>
  <si>
    <t>Repetição</t>
  </si>
  <si>
    <t>Volume</t>
  </si>
  <si>
    <t>DMT</t>
  </si>
  <si>
    <t>Largura da Via</t>
  </si>
  <si>
    <t>Repetições x V. CBUQ x distância média de transporte</t>
  </si>
  <si>
    <t>SINALIZAÇÃO</t>
  </si>
  <si>
    <t>Un</t>
  </si>
  <si>
    <t>Contagem - quantidade de acordo com o projeto</t>
  </si>
  <si>
    <t>PINTURA DE FAIXA DE PEDESTRE OU ZEBRADA COM TINTA ACRÍLICA, E = 30 CM, APLICAÇÃO MANUAL. AF_05/2021</t>
  </si>
  <si>
    <t>m2</t>
  </si>
  <si>
    <t>Entrada rua</t>
  </si>
  <si>
    <t>largura x comprimento x repetições</t>
  </si>
  <si>
    <t>Rua Dr. Aloisio Borges</t>
  </si>
  <si>
    <t xml:space="preserve">comprimento </t>
  </si>
  <si>
    <t xml:space="preserve">Faixa complementar </t>
  </si>
  <si>
    <t xml:space="preserve">ADMINISTRAÇÃO LOCAL </t>
  </si>
  <si>
    <t>Meses</t>
  </si>
  <si>
    <t>Dias</t>
  </si>
  <si>
    <t>Horas</t>
  </si>
  <si>
    <t xml:space="preserve"> 90777 </t>
  </si>
  <si>
    <t>ORSE</t>
  </si>
  <si>
    <t>ÁREA DA POLILINE</t>
  </si>
  <si>
    <t>LARGURA MÉDIA</t>
  </si>
  <si>
    <t>ESCAVAÇÃO HORIZONTAL, INCLUINDO CARGA, DESCARGA E TRANSPORTE EM SOLO DE 1A CATEGORIA COM TRATOR DE ESTEIRAS (125HP/LÂMINA: 2,70M3) E CAMINHÃO BASCULANTE DE 10M3, DMT ATÉ 200M. AF_07/2020</t>
  </si>
  <si>
    <t>V. Carregado x distância média de transporte</t>
  </si>
  <si>
    <t>TRANSPORTE COM CAMINHÃO BASCULANTE DE 10 M³, EM VIA URBANA PAVIMENTADA, DMT ATÉ 30 KM (UNIDADE: M3XKM). AF_07/2020</t>
  </si>
  <si>
    <t xml:space="preserve"> 95875 </t>
  </si>
  <si>
    <t>REGULARIZAÇÃO E COMPACTAÇÃO DE SUBLEITO DE SOLO  PREDOMINANTEMENTE ARGILOSO. AF_11/2019</t>
  </si>
  <si>
    <t xml:space="preserve"> 100576 </t>
  </si>
  <si>
    <t>EXECUÇÃO E COMPACTAÇÃO DE BASE E OU SUB BASE PARA PAVIMENTAÇÃO DE BRITA GRADUADA SIMPLES - EXCLUSIVE CARGA E TRANSPORTE. AF_11/2019</t>
  </si>
  <si>
    <t>TRANSPORTE COM CAMINHÃO BASCULANTE DE 18 M³, EM VIA URBANA PAVIMENTADA, DMT ATÉ 30 KM (UNIDADE: M3XKM). AF_07/2020</t>
  </si>
  <si>
    <t>TRANSPORTE COM CAMINHÃO BASCULANTE DE 18 M³, EM VIA URBANA PAVIMENTADA, ADICIONAL PARA DMT EXCEDENTE A 30 KM (UNIDADE: M3XKM). AF_07/2020</t>
  </si>
  <si>
    <t xml:space="preserve"> 95427 </t>
  </si>
  <si>
    <t xml:space="preserve"> 95877 </t>
  </si>
  <si>
    <t>PASSEIOS</t>
  </si>
  <si>
    <t xml:space="preserve"> 94273 </t>
  </si>
  <si>
    <t>ASSENTAMENTO DE GUIA (MEIO-FIO) EM TRECHO RETO, CONFECCIONADA EM CONCRETO PRÉ-FABRICADO, DIMENSÕES 100X15X13X30 CM (COMPRIMENTO X BASE INFERIOR X BASE SUPERIOR X ALTURA), PARA VIAS URBANAS (USO VIÁRIO). AF_06/2016</t>
  </si>
  <si>
    <t>área da poliline indicada em projeto / largura da poliline indicada em projeto</t>
  </si>
  <si>
    <t>Piso tátil direcional e de alerta, em concreto colorido, p/deficientes visuais, dimensões 30x30cm, aplicado com argamassa industrializada ac-ii, rejuntado, exclusive regularização de base</t>
  </si>
  <si>
    <t>Comprimento de rampa</t>
  </si>
  <si>
    <t>idem área lastro para assentamento de piso tátil das rampas + área de piso tátil dos passeios</t>
  </si>
  <si>
    <t>EXECUÇÃO DE PASSEIO (CALÇADA) OU PISO DE CONCRETO COM CONCRETO MOLDADO IN LOCO, USINADO, ACABAMENTO CONVENCIONAL, NÃO ARMADO. AF_07/2016</t>
  </si>
  <si>
    <t xml:space="preserve">Área de passeio </t>
  </si>
  <si>
    <t>Á. De complemento</t>
  </si>
  <si>
    <t xml:space="preserve">(área de passeio encontrada em projeto - área de piso tátil ) </t>
  </si>
  <si>
    <t>ATERRO MANUAL DE VALAS COM SOLO ARGILO-ARENOSO E COMPACTAÇÃO MECANIZADA. AF_05/2016</t>
  </si>
  <si>
    <t>m3</t>
  </si>
  <si>
    <t>Contagem - comprimento de acordo com o projeto</t>
  </si>
  <si>
    <t>m</t>
  </si>
  <si>
    <t>TUBO DE CONCRETO PARA REDES COLETORAS DE ÁGUAS PLUVIAIS, DIÂMETRO DE 1000 MM, JUNTA RÍGIDA, INSTALADO EM LOCAL COM BAIXO NÍVEL DE INTERFERÊNCIAS - FORNECIMENTO E ASSENTAMENTO. AF_12/2015</t>
  </si>
  <si>
    <t xml:space="preserve"> 92216 </t>
  </si>
  <si>
    <t>V. Escavado</t>
  </si>
  <si>
    <t xml:space="preserve">V. Tubo </t>
  </si>
  <si>
    <t>Distância</t>
  </si>
  <si>
    <t>Empolamento</t>
  </si>
  <si>
    <t>LIMPEZA MECANIZADA DE CAMADA VEGETAL, VEGETAÇÃO E PEQUENAS ÁRVORES (DIÂMETRO DE TRONCO MENOR QUE 0,20 M), COM TRATOR DE ESTEIRAS.AF_05/2018</t>
  </si>
  <si>
    <t>ILUMINAÇÃO</t>
  </si>
  <si>
    <t>CONTENÇÃO</t>
  </si>
  <si>
    <t>MURO DE ARRIMO DE ALVENARIA DE PEDRA ARGAMASSADA</t>
  </si>
  <si>
    <t>M3</t>
  </si>
  <si>
    <t>GEOTÊXTIL NÃO TECIDO 100% POLIÉSTER, RESISTÊNCIA A TRAÇÃO DE 14 KN/M (RT - 14), INSTALADO EM DRENO - FORNECIMENTO E INSTALAÇÃO. AF_07/2021</t>
  </si>
  <si>
    <t>M2</t>
  </si>
  <si>
    <t>ENCHIMENTO DE AREIA PARA DRENO, LANÇAMENTO MANUAL. AF_07/2021</t>
  </si>
  <si>
    <t>TUBO PVC, SÉRIE R, ÁGUA PLUVIAL, DN 75 MM, FORNECIDO E INSTALADO EM CONDUTORES VERTICAIS DE ÁGUAS PLUVIAIS. AF_12/2014</t>
  </si>
  <si>
    <t>Remoção e reassentamento de paralelepípedo sobre colchão de areia</t>
  </si>
  <si>
    <t>Área x Comprimento</t>
  </si>
  <si>
    <t>Quantidade x Comprimento</t>
  </si>
  <si>
    <t>Quantidade x Área</t>
  </si>
  <si>
    <t>Largura x Comprimento x Altura</t>
  </si>
  <si>
    <t>Comprimento da contenção</t>
  </si>
  <si>
    <t>Distancia entre tubos</t>
  </si>
  <si>
    <t>Comprimento do tubo</t>
  </si>
  <si>
    <t>Fundação</t>
  </si>
  <si>
    <t>muro</t>
  </si>
  <si>
    <t>área da poliline indicada em projeto</t>
  </si>
  <si>
    <t>Av. Dona Verde</t>
  </si>
  <si>
    <t>largura x comprimento x altura</t>
  </si>
  <si>
    <t>Corte Caixão de Rua</t>
  </si>
  <si>
    <t>Corte para Enlarguecimento da via</t>
  </si>
  <si>
    <t xml:space="preserve">Largura </t>
  </si>
  <si>
    <t>Varredura da superfície para execução de revestimento asfáltico</t>
  </si>
  <si>
    <t>SICRO03</t>
  </si>
  <si>
    <t>DROP - DRENAGEM/OBRAS DE CONTENÇÃO / POÇOS DE VISITA E CAIXAS</t>
  </si>
  <si>
    <t xml:space="preserve"> 88309 </t>
  </si>
  <si>
    <t>PEDREIRO COM ENCARGOS COMPLEMENTARES</t>
  </si>
  <si>
    <t xml:space="preserve"> 00000370 </t>
  </si>
  <si>
    <t>AREIA MEDIA - POSTO JAZIDA/FORNECEDOR (RETIRADO NA JAZIDA, SEM TRANSPORTE)</t>
  </si>
  <si>
    <t xml:space="preserve"> 6.2 </t>
  </si>
  <si>
    <t xml:space="preserve"> COMP205 </t>
  </si>
  <si>
    <t xml:space="preserve"> 00034357 </t>
  </si>
  <si>
    <t>REJUNTE CIMENTICIO, QUALQUER COR</t>
  </si>
  <si>
    <t xml:space="preserve"> 00034353 </t>
  </si>
  <si>
    <t>ARGAMASSA COLANTE AC II</t>
  </si>
  <si>
    <t xml:space="preserve"> 00036178 </t>
  </si>
  <si>
    <t>PISO PODOTATIL DE CONCRETO - DIRECIONAL E ALERTA, *40 X 40 X 2,5* CM</t>
  </si>
  <si>
    <t xml:space="preserve"> 8.1 </t>
  </si>
  <si>
    <t xml:space="preserve"> COMP7210 </t>
  </si>
  <si>
    <t xml:space="preserve"> 00001379 </t>
  </si>
  <si>
    <t>CIMENTO PORTLAND COMPOSTO CP II-32</t>
  </si>
  <si>
    <t xml:space="preserve"> 00004730 </t>
  </si>
  <si>
    <t>PEDRA DE MAO OU PEDRA RACHAO PARA ARRIMO/FUNDACAO (POSTO PEDREIRA/FORNECEDOR, SEM FRETE)</t>
  </si>
  <si>
    <t>MEMÓRIA DE CÁLCULO</t>
  </si>
  <si>
    <t xml:space="preserve">	ENCARREGADO GERAL COM ENCARGOS COMPLEMENTARES</t>
  </si>
  <si>
    <t>Largura Média</t>
  </si>
  <si>
    <t xml:space="preserve">BASE </t>
  </si>
  <si>
    <t xml:space="preserve">Área Complementar </t>
  </si>
  <si>
    <t>Área da seção</t>
  </si>
  <si>
    <t>Rua Carlos Roque, 45, térreo – Centro – CEP 45.490-000, Laje - Ba
TEL: (75) 97400 9292 – (75) 99805 2089, e-mail: contato@llesengenharia.com.br</t>
  </si>
  <si>
    <t xml:space="preserve">MEMÓRIA DE CÁLCULO </t>
  </si>
  <si>
    <t>Rua Lauro de Freitas</t>
  </si>
  <si>
    <t>Rua Agenor Guedes</t>
  </si>
  <si>
    <t>Rua Catiara</t>
  </si>
  <si>
    <t>TV. Carlos Gomes</t>
  </si>
  <si>
    <t>Rua das Flores</t>
  </si>
  <si>
    <t>Rua Roberto Santos</t>
  </si>
  <si>
    <t>Rua 15 de Novembro, Rua Leobino Pimentel, Praça Jose Dantas</t>
  </si>
  <si>
    <t>LLES006</t>
  </si>
  <si>
    <t>LLES007</t>
  </si>
  <si>
    <t>PLACA ESMALTADA PARA IDENTIFICAÇÃO DE RUAS, DIMENSÕES 45x25</t>
  </si>
  <si>
    <t>Remoção de paralelepípedos</t>
  </si>
  <si>
    <t>CARGA, MANOBRA E DESCARGA DE ENTULHO EM CAMINHÃO BASCULANTE 10 M³ - CARGA COM ESCAVADEIRA HIDRÁULICA (CAÇAMBA DE 0,80 M³ / 111 HP) E DESCARGA LIVRE (UNIDADE: M3). AF_07/2020</t>
  </si>
  <si>
    <t>PLACA DE OBRA EM CHAPA DE AÇO GALVANIZADO</t>
  </si>
  <si>
    <t>Excluir area de tátil</t>
  </si>
  <si>
    <t xml:space="preserve"> 102752 </t>
  </si>
  <si>
    <t>BOCA PARA BUEIRO SIMPLES TUBULAR D = 100 CM EM CONCRETO, ALAS COM ESCONSIDADE DE 30°, INCLUINDO FÔRMAS E MATERIAIS. AF_07/2021</t>
  </si>
  <si>
    <t>Estaca Inicial - EX</t>
  </si>
  <si>
    <t>Complemento estaca</t>
  </si>
  <si>
    <t>Estaca Final - EX</t>
  </si>
  <si>
    <t>Área de Entrada de rua</t>
  </si>
  <si>
    <t>Copia da SICRO (4011351) - EXECUÇÃO DE IMPRIMAÇÃO COM EMULSÃO ASFÁLTICA IMPRIMER (DILUÍDO EM ÁGUA)</t>
  </si>
  <si>
    <t>PRÓPRIO</t>
  </si>
  <si>
    <t>LLES323</t>
  </si>
  <si>
    <t>Copia da SINAPI (96402) - EXECUÇÃO DE PINTURA DE LIGAÇÃO COM EMULSÃO ASFÁLTICA RR-2C. AF_11/2019</t>
  </si>
  <si>
    <t>LLES215</t>
  </si>
  <si>
    <t>PEDRA ARGAMASSADA COM CIMENTO E AREIA 1:3, 40% DE ARGAMASSA EM VOLUME - AREIA E PEDRA DE MÃO COMERCIAIS - FORNECIMENTO E ASSENTAMENTO. AF_08/2022</t>
  </si>
  <si>
    <t xml:space="preserve"> LLES002 </t>
  </si>
  <si>
    <t xml:space="preserve"> 102279 </t>
  </si>
  <si>
    <t>ESCAVAÇÃO MECANIZADA DE VALA COM PROF. ATÉ 1,5 M (MÉDIA MONTANTE E JUSANTE/UMA COMPOSIÇÃO POR TRECHO), ESCAVADEIRA (0,8 M3),LARG. MENOR QUE 1,5 M, EM SOLO DE 1A CATEGORIA, LOCAIS COM BAIXO NÍVEL DE INTERFERÊNCIA. AF_02/2021</t>
  </si>
  <si>
    <t>Profundidade PV/ Tubo</t>
  </si>
  <si>
    <t>comprimento x largura x profundidade</t>
  </si>
  <si>
    <t>ENGL</t>
  </si>
  <si>
    <t>PV 01</t>
  </si>
  <si>
    <t>PV 02</t>
  </si>
  <si>
    <t>PV 03</t>
  </si>
  <si>
    <t>PV 04</t>
  </si>
  <si>
    <t>PV 05</t>
  </si>
  <si>
    <t>PV 06</t>
  </si>
  <si>
    <t>PV 07</t>
  </si>
  <si>
    <t>PV 08</t>
  </si>
  <si>
    <t>PV 09</t>
  </si>
  <si>
    <t>PV 10</t>
  </si>
  <si>
    <t>TUBO PV01 - PV 02</t>
  </si>
  <si>
    <t>TUBO PV02-PV3</t>
  </si>
  <si>
    <t>TUBO PV03 - PV 04</t>
  </si>
  <si>
    <t>TUBO PV04-PV5</t>
  </si>
  <si>
    <t>TUBO PV05 - PV 06</t>
  </si>
  <si>
    <t>TUBO PV06-PV7</t>
  </si>
  <si>
    <t>TUBO PV07 - PV 08</t>
  </si>
  <si>
    <t>TUBO PV08-PV9</t>
  </si>
  <si>
    <t>REATERRO MECANIZADO DE VALA COM RETROESCAVADEIRA (CAPACIDADE DA CAÇAMBA DA RETRO: 0,26 M³ / POTÊNCIA: 88 HP), LARGURA DE 0,8 A 1,5 M, PROFUNDIDADE DE 1,5 A 3,0 M, COM SOLO (SEM SUBSTITUIÇÃO) DE 1ª CATEGORIA EM LOCAIS COM ALTO NÍVEL DE INTERFERÊNCIA. AF_04/2016</t>
  </si>
  <si>
    <t xml:space="preserve"> 100981 </t>
  </si>
  <si>
    <t>CARGA, MANOBRA E DESCARGA DE ENTULHO EM CAMINHÃO BASCULANTE 6 M³ - CARGA COM ESCAVADEIRA HIDRÁULICA  (CAÇAMBA DE 0,80 M³ / 111 HP) E DESCARGA LIVRE (UNIDADE: M3). AF_07/2020</t>
  </si>
  <si>
    <t>V. Reaterro</t>
  </si>
  <si>
    <t>(v. escavado - v. reaterro) x empolamento</t>
  </si>
  <si>
    <t>v. carga x DMT</t>
  </si>
  <si>
    <t xml:space="preserve">UN </t>
  </si>
  <si>
    <t>comprimento x largura x espessura</t>
  </si>
  <si>
    <t>extensão</t>
  </si>
  <si>
    <t xml:space="preserve"> COMP 051</t>
  </si>
  <si>
    <t>CAIXA COLETORA PARA ÁGUAS PLUVIAIS, COM GRELHA DE FERRO FUNDIDO - "ENGOLE TUDO"</t>
  </si>
  <si>
    <t>contagem</t>
  </si>
  <si>
    <t>ENGL - PV02</t>
  </si>
  <si>
    <t>BL01</t>
  </si>
  <si>
    <t>BL02</t>
  </si>
  <si>
    <t>BL03</t>
  </si>
  <si>
    <t>BL04</t>
  </si>
  <si>
    <t>BL05</t>
  </si>
  <si>
    <t>BL06</t>
  </si>
  <si>
    <t>BL07</t>
  </si>
  <si>
    <t>BL08</t>
  </si>
  <si>
    <t>BL09</t>
  </si>
  <si>
    <t>BL10</t>
  </si>
  <si>
    <t>TUBO BL 01 E 02 ATÉ PV01</t>
  </si>
  <si>
    <t>TUBO BL 03 E 04 ATÉ PV02</t>
  </si>
  <si>
    <t>TUBO BL 05 E 06 ATÉ PV04</t>
  </si>
  <si>
    <t>TUBO BL 07 E 08 ATÉ PV05</t>
  </si>
  <si>
    <t>TUBO BL 09 E 10 ATÉ PV07</t>
  </si>
  <si>
    <t>CAIXA PARA BOCA DE LOBO SIMPLES RETANGULAR, EM ALVENARIA COM BLOCOS DE CONCRETO, DIMENSÕES INTERNAS: 0,6X1X1,2 M</t>
  </si>
  <si>
    <t>V. PV's e BL's</t>
  </si>
  <si>
    <t>Poço de visita em alvenaria tij.maciços esp.=0,20m dim.int.=1,40x1,40x3,00m laje superior concreto armado esp.=0,15, inclusive tampão td-600 - R1</t>
  </si>
  <si>
    <t>TUBOS DE 800MM</t>
  </si>
  <si>
    <t>TUBOS DE 400MM</t>
  </si>
  <si>
    <t>TUBO DE CONCRETO PARA REDES COLETORAS DE ÁGUAS PLUVIAIS, DIÂMETRO DE 800 MM, JUNTA RÍGIDA, INSTALADO EM LOCAL COM BAIXO NÍVEL DE INTERFERÊNCIAS - FORNECIMENTO E ASSENTAMENTO. AF_12/2015</t>
  </si>
  <si>
    <t>TUBO DE CONCRETO PARA REDES COLETORAS DE ÁGUAS PLUVIAIS, DIÂMETRO DE 400 MM, JUNTA RÍGIDA, INSTALADO EM LOCAL COM BAIXO NÍVEL DE INTERFERÊNCIAS - FORNECIMENTO E ASSENTAMENTO. AF_12/2015</t>
  </si>
  <si>
    <t xml:space="preserve">	PREPARO DE FUNDO DE VALA COM LARGURA MENOR QUE 1,5 M, COM CAMADA DE AREIA, LANÇAMENTO MECANIZADO. AF_08/2020</t>
  </si>
  <si>
    <t>ESCORAMENTO DE VALA, TIPO CONTÍNUO, COM PROFUNDIDADE DE 1,5 M A 3,0 M, LARGURA MENOR QUE 1,5 M. AF_08/2020</t>
  </si>
  <si>
    <t>M²</t>
  </si>
  <si>
    <t>1 tachão a cada 2m</t>
  </si>
  <si>
    <t>Tacha refletiva em plástico injetado - bidirecional tipo II - com um pino - fornecimento e colocação</t>
  </si>
  <si>
    <t>Lados</t>
  </si>
  <si>
    <t>Tacha refletiva em plástico injetado - monodirecional tipo II - com um pino - fornecimento e colocação</t>
  </si>
  <si>
    <t xml:space="preserve"> LLES 341 </t>
  </si>
  <si>
    <t>ILUMINAÇÃO PÚBLICA</t>
  </si>
  <si>
    <t>Av. Dona Verde - Bota Fora</t>
  </si>
  <si>
    <t>Rua Roberto Santos - Bota Fora</t>
  </si>
  <si>
    <t>Av. Dona Verde - Brita</t>
  </si>
  <si>
    <t>Rua Roberto Santos - Brita</t>
  </si>
  <si>
    <t>Rua Roberto Santos - Paralelepipedo Removido</t>
  </si>
  <si>
    <t>%</t>
  </si>
  <si>
    <t>TRECHOS DE VIAS</t>
  </si>
  <si>
    <t>PREFEITURA MUNICIPAL DE SÃO FELIPE/BA</t>
  </si>
  <si>
    <t>SÃO FELIPE/BA</t>
  </si>
  <si>
    <t>PAVIMENTAÇÃO ASFÁLTICA DIVERSAS RUAS, NO MUNICÍPIO DE SÃO FELIPE/BA</t>
  </si>
  <si>
    <t>SINAPI - 01/2025 - Bahia
SICRO3 - 10/2024 - Bahia
ORSE - 12/2024 - Sergipe</t>
  </si>
  <si>
    <t>Eliabe Vitória Souza</t>
  </si>
  <si>
    <t>Engenheiro Civil</t>
  </si>
  <si>
    <t>CREA/BA:051487735-9</t>
  </si>
  <si>
    <t xml:space="preserve"> LLES CP022 </t>
  </si>
  <si>
    <t>Adapatado da SINAPI (99064) - LOCAÇÃO DE PAVIMENTAÇÃO. AF_10/2018</t>
  </si>
  <si>
    <t xml:space="preserve"> LLES 305 </t>
  </si>
  <si>
    <t>Copia - SINAPI (78472) ATUALIZADO - SERVICOS TOPOGRAFICOS PARA PAVIMENTACAO, INCLUSIVE NOTA DE SERVICOS, ACOMPANHAMENTO E GREIDE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</si>
</sst>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[$-F800]dddd\,\ mmmm\ dd\,\ yyyy"/>
    <numFmt numFmtId="165" formatCode="_-* #,##0.0000_-;\-* #,##0.0000_-;_-* &quot;-&quot;??_-;_-@_-"/>
    <numFmt numFmtId="166" formatCode="&quot;R$&quot;\ #,##0.00"/>
    <numFmt numFmtId="167" formatCode="_(* #,##0.00_);_(* \(#,##0.00\);_(* &quot;-&quot;??_);_(@_)"/>
    <numFmt numFmtId="168" formatCode="_(\ #,##0.00_);_(\ \(#,##0.00\);_(\ &quot;-&quot;??_);_(@_)"/>
    <numFmt numFmtId="169" formatCode="_(&quot;R$ &quot;* #,##0.00_);_(&quot;R$ &quot;* \(#,##0.00\);_(&quot;R$ &quot;* &quot;-&quot;??_);_(@_)"/>
    <numFmt numFmtId="170" formatCode="General;General;"/>
    <numFmt numFmtId="171" formatCode="dd\ &quot;de&quot;\ mmmm\ &quot;de&quot;\ yyyy"/>
    <numFmt numFmtId="172" formatCode="#,##0.0000000"/>
    <numFmt numFmtId="173" formatCode="_(* #,##0.00_);_(* \(#,##0.00\);_(* \-??_);_(@_)"/>
    <numFmt numFmtId="174" formatCode="_-* #,##0.00_-;\-* #,##0.00_-;_-* \-??_-;_-@_-"/>
    <numFmt numFmtId="175" formatCode="#,##0.00_ ;[Red]\-#,##0.00\ "/>
  </numFmts>
  <fonts count="6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10"/>
      <color rgb="FF00B050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  <font>
      <sz val="10"/>
      <color rgb="FF00B050"/>
      <name val="Arial"/>
      <family val="2"/>
    </font>
    <font>
      <b/>
      <sz val="11"/>
      <color theme="4" tint="-0.249977111117893"/>
      <name val="Arial"/>
      <family val="2"/>
    </font>
    <font>
      <sz val="10"/>
      <color rgb="FF000000"/>
      <name val="Arial"/>
      <family val="1"/>
    </font>
    <font>
      <b/>
      <sz val="10"/>
      <color rgb="FF000000"/>
      <name val="Arial"/>
      <family val="1"/>
    </font>
    <font>
      <sz val="8"/>
      <name val="Calibri"/>
      <family val="2"/>
      <scheme val="minor"/>
    </font>
    <font>
      <sz val="11"/>
      <name val="Arial"/>
      <family val="1"/>
    </font>
    <font>
      <sz val="8"/>
      <name val="Arial"/>
      <family val="1"/>
    </font>
    <font>
      <b/>
      <sz val="8"/>
      <color rgb="FF000000"/>
      <name val="Arial"/>
      <family val="2"/>
    </font>
    <font>
      <sz val="8"/>
      <color rgb="FF000000"/>
      <name val="Arial"/>
      <family val="1"/>
    </font>
    <font>
      <b/>
      <sz val="11"/>
      <name val="Arial"/>
      <family val="2"/>
    </font>
    <font>
      <b/>
      <sz val="8"/>
      <name val="Arial"/>
      <family val="1"/>
    </font>
    <font>
      <b/>
      <sz val="8"/>
      <color rgb="FF000000"/>
      <name val="Arial"/>
      <family val="1"/>
    </font>
    <font>
      <sz val="10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sz val="9"/>
      <name val="Arial"/>
      <family val="2"/>
    </font>
    <font>
      <b/>
      <sz val="9"/>
      <color indexed="8"/>
      <name val="Calibri"/>
      <family val="2"/>
    </font>
    <font>
      <b/>
      <sz val="14"/>
      <name val="Calibri"/>
      <family val="2"/>
    </font>
    <font>
      <b/>
      <sz val="9"/>
      <color rgb="FF000000"/>
      <name val="Calibri"/>
      <family val="2"/>
      <scheme val="minor"/>
    </font>
    <font>
      <sz val="9"/>
      <name val="Calibri"/>
      <family val="2"/>
    </font>
    <font>
      <u/>
      <sz val="11"/>
      <color theme="10"/>
      <name val="Calibri"/>
      <family val="2"/>
    </font>
    <font>
      <sz val="9"/>
      <name val="Arial"/>
      <family val="1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0"/>
      <color indexed="12"/>
      <name val="Arial"/>
      <family val="2"/>
    </font>
    <font>
      <b/>
      <u/>
      <sz val="15"/>
      <name val="Arial"/>
      <family val="2"/>
    </font>
    <font>
      <b/>
      <sz val="20"/>
      <color indexed="10"/>
      <name val="Arial"/>
      <family val="2"/>
    </font>
    <font>
      <b/>
      <sz val="12"/>
      <color indexed="10"/>
      <name val="Arial"/>
      <family val="2"/>
    </font>
    <font>
      <sz val="11"/>
      <color indexed="9"/>
      <name val="Arial"/>
      <family val="2"/>
    </font>
    <font>
      <b/>
      <sz val="11"/>
      <color indexed="12"/>
      <name val="Arial"/>
      <family val="2"/>
    </font>
    <font>
      <b/>
      <sz val="18"/>
      <name val="Arial"/>
      <family val="2"/>
    </font>
    <font>
      <sz val="10.5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b/>
      <sz val="10"/>
      <name val="Arial"/>
      <family val="1"/>
    </font>
    <font>
      <sz val="11"/>
      <color indexed="8"/>
      <name val="Calibri"/>
      <family val="2"/>
    </font>
    <font>
      <b/>
      <sz val="11"/>
      <name val="Arial"/>
      <family val="1"/>
    </font>
    <font>
      <sz val="10"/>
      <name val="Arial"/>
      <family val="1"/>
    </font>
    <font>
      <sz val="10"/>
      <color rgb="FF000000"/>
      <name val="Times New Roman"/>
      <family val="1"/>
    </font>
    <font>
      <b/>
      <sz val="8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sz val="8"/>
      <color rgb="FFFF0000"/>
      <name val="Arial"/>
      <family val="1"/>
    </font>
  </fonts>
  <fills count="1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8E6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D8ECF6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DFF0D8"/>
      </patternFill>
    </fill>
    <fill>
      <patternFill patternType="solid">
        <fgColor rgb="FFD6D6D6"/>
      </patternFill>
    </fill>
    <fill>
      <patternFill patternType="solid">
        <fgColor rgb="FFEFEFEF"/>
      </patternFill>
    </fill>
  </fills>
  <borders count="9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/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thin">
        <color theme="0" tint="-0.2499465926084170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medium">
        <color indexed="64"/>
      </top>
      <bottom style="double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theme="0" tint="-0.24994659260841701"/>
      </right>
      <top style="medium">
        <color indexed="64"/>
      </top>
      <bottom style="double">
        <color indexed="64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9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" fillId="0" borderId="0"/>
    <xf numFmtId="0" fontId="12" fillId="0" borderId="0"/>
    <xf numFmtId="0" fontId="24" fillId="0" borderId="0"/>
    <xf numFmtId="43" fontId="24" fillId="0" borderId="0" applyFont="0" applyFill="0" applyBorder="0" applyAlignment="0" applyProtection="0"/>
    <xf numFmtId="0" fontId="31" fillId="0" borderId="0"/>
    <xf numFmtId="167" fontId="31" fillId="0" borderId="0" applyFont="0" applyFill="0" applyBorder="0" applyAlignment="0" applyProtection="0"/>
    <xf numFmtId="0" fontId="24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4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1" fillId="0" borderId="0"/>
    <xf numFmtId="0" fontId="35" fillId="0" borderId="0"/>
    <xf numFmtId="0" fontId="1" fillId="0" borderId="0"/>
    <xf numFmtId="0" fontId="24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173" fontId="12" fillId="0" borderId="0" applyFill="0" applyBorder="0" applyAlignment="0" applyProtection="0"/>
    <xf numFmtId="174" fontId="12" fillId="0" borderId="0" applyFill="0" applyBorder="0" applyAlignment="0" applyProtection="0"/>
    <xf numFmtId="9" fontId="12" fillId="0" borderId="0" applyFill="0" applyBorder="0" applyAlignment="0" applyProtection="0"/>
    <xf numFmtId="0" fontId="58" fillId="0" borderId="0"/>
    <xf numFmtId="0" fontId="61" fillId="0" borderId="0"/>
  </cellStyleXfs>
  <cellXfs count="664">
    <xf numFmtId="0" fontId="0" fillId="0" borderId="0" xfId="0"/>
    <xf numFmtId="0" fontId="4" fillId="0" borderId="0" xfId="0" applyFont="1"/>
    <xf numFmtId="0" fontId="4" fillId="0" borderId="0" xfId="0" applyFont="1" applyAlignment="1">
      <alignment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left" vertical="top"/>
    </xf>
    <xf numFmtId="0" fontId="7" fillId="3" borderId="4" xfId="0" applyFont="1" applyFill="1" applyBorder="1" applyAlignment="1">
      <alignment horizontal="left" vertical="top"/>
    </xf>
    <xf numFmtId="0" fontId="7" fillId="3" borderId="4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center" vertical="top"/>
    </xf>
    <xf numFmtId="43" fontId="7" fillId="3" borderId="4" xfId="1" applyFont="1" applyFill="1" applyBorder="1" applyAlignment="1">
      <alignment horizontal="left" vertical="top"/>
    </xf>
    <xf numFmtId="43" fontId="7" fillId="3" borderId="23" xfId="1" applyFont="1" applyFill="1" applyBorder="1" applyAlignment="1">
      <alignment horizontal="left" vertical="top"/>
    </xf>
    <xf numFmtId="43" fontId="7" fillId="0" borderId="2" xfId="1" applyFont="1" applyBorder="1" applyAlignment="1">
      <alignment horizontal="right" vertical="center"/>
    </xf>
    <xf numFmtId="0" fontId="4" fillId="0" borderId="8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/>
    </xf>
    <xf numFmtId="43" fontId="4" fillId="0" borderId="3" xfId="1" applyFont="1" applyFill="1" applyBorder="1" applyAlignment="1">
      <alignment horizontal="left" vertical="top"/>
    </xf>
    <xf numFmtId="43" fontId="4" fillId="0" borderId="9" xfId="1" applyFont="1" applyFill="1" applyBorder="1" applyAlignment="1">
      <alignment horizontal="left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center" vertical="top"/>
    </xf>
    <xf numFmtId="43" fontId="4" fillId="0" borderId="11" xfId="1" applyFont="1" applyFill="1" applyBorder="1" applyAlignment="1">
      <alignment horizontal="left" vertical="top"/>
    </xf>
    <xf numFmtId="43" fontId="4" fillId="0" borderId="12" xfId="1" applyFont="1" applyFill="1" applyBorder="1" applyAlignment="1">
      <alignment horizontal="left" vertical="top"/>
    </xf>
    <xf numFmtId="43" fontId="7" fillId="3" borderId="30" xfId="1" applyFont="1" applyFill="1" applyBorder="1" applyAlignment="1">
      <alignment horizontal="left" vertical="top"/>
    </xf>
    <xf numFmtId="43" fontId="4" fillId="0" borderId="29" xfId="1" applyFont="1" applyFill="1" applyBorder="1" applyAlignment="1">
      <alignment horizontal="left" vertical="top"/>
    </xf>
    <xf numFmtId="43" fontId="4" fillId="0" borderId="32" xfId="1" applyFont="1" applyFill="1" applyBorder="1" applyAlignment="1">
      <alignment horizontal="left" vertical="top"/>
    </xf>
    <xf numFmtId="43" fontId="7" fillId="3" borderId="22" xfId="1" applyFont="1" applyFill="1" applyBorder="1" applyAlignment="1">
      <alignment horizontal="left" vertical="top"/>
    </xf>
    <xf numFmtId="0" fontId="4" fillId="0" borderId="0" xfId="0" applyFont="1" applyAlignment="1">
      <alignment vertical="center"/>
    </xf>
    <xf numFmtId="43" fontId="7" fillId="3" borderId="33" xfId="1" applyFont="1" applyFill="1" applyBorder="1" applyAlignment="1">
      <alignment horizontal="left" vertical="top"/>
    </xf>
    <xf numFmtId="43" fontId="4" fillId="0" borderId="34" xfId="1" applyFont="1" applyFill="1" applyBorder="1" applyAlignment="1">
      <alignment horizontal="left" vertical="top"/>
    </xf>
    <xf numFmtId="43" fontId="4" fillId="0" borderId="35" xfId="1" applyFont="1" applyFill="1" applyBorder="1" applyAlignment="1">
      <alignment horizontal="left" vertical="top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wrapText="1"/>
    </xf>
    <xf numFmtId="0" fontId="7" fillId="0" borderId="0" xfId="0" applyFont="1" applyAlignment="1">
      <alignment horizontal="right" vertical="center"/>
    </xf>
    <xf numFmtId="43" fontId="7" fillId="0" borderId="0" xfId="1" applyFont="1" applyBorder="1" applyAlignment="1">
      <alignment horizontal="right" vertical="center"/>
    </xf>
    <xf numFmtId="0" fontId="7" fillId="0" borderId="3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164" fontId="4" fillId="0" borderId="0" xfId="0" applyNumberFormat="1" applyFont="1"/>
    <xf numFmtId="0" fontId="7" fillId="0" borderId="0" xfId="0" applyFont="1" applyAlignment="1">
      <alignment vertical="top"/>
    </xf>
    <xf numFmtId="43" fontId="15" fillId="5" borderId="8" xfId="1" applyFont="1" applyFill="1" applyBorder="1" applyAlignment="1">
      <alignment horizontal="left" vertical="top"/>
    </xf>
    <xf numFmtId="43" fontId="15" fillId="5" borderId="10" xfId="1" applyFont="1" applyFill="1" applyBorder="1" applyAlignment="1">
      <alignment horizontal="left" vertical="top"/>
    </xf>
    <xf numFmtId="43" fontId="19" fillId="5" borderId="9" xfId="1" applyFont="1" applyFill="1" applyBorder="1" applyAlignment="1">
      <alignment horizontal="left" vertical="top"/>
    </xf>
    <xf numFmtId="43" fontId="19" fillId="5" borderId="12" xfId="1" applyFont="1" applyFill="1" applyBorder="1" applyAlignment="1">
      <alignment horizontal="left" vertical="top"/>
    </xf>
    <xf numFmtId="43" fontId="19" fillId="0" borderId="3" xfId="1" applyFont="1" applyFill="1" applyBorder="1" applyAlignment="1">
      <alignment horizontal="left" vertical="top"/>
    </xf>
    <xf numFmtId="43" fontId="19" fillId="0" borderId="11" xfId="1" applyFont="1" applyFill="1" applyBorder="1" applyAlignment="1">
      <alignment horizontal="left" vertical="top"/>
    </xf>
    <xf numFmtId="43" fontId="16" fillId="0" borderId="2" xfId="1" applyFont="1" applyBorder="1" applyAlignment="1">
      <alignment horizontal="right" vertical="center"/>
    </xf>
    <xf numFmtId="43" fontId="14" fillId="0" borderId="2" xfId="1" applyFont="1" applyBorder="1" applyAlignment="1">
      <alignment horizontal="right" vertical="center"/>
    </xf>
    <xf numFmtId="43" fontId="4" fillId="0" borderId="0" xfId="1" applyFont="1" applyBorder="1"/>
    <xf numFmtId="164" fontId="17" fillId="0" borderId="0" xfId="0" applyNumberFormat="1" applyFont="1" applyAlignment="1">
      <alignment horizontal="right" vertical="center"/>
    </xf>
    <xf numFmtId="43" fontId="18" fillId="0" borderId="0" xfId="1" applyFont="1" applyBorder="1"/>
    <xf numFmtId="0" fontId="2" fillId="4" borderId="27" xfId="0" applyFont="1" applyFill="1" applyBorder="1" applyAlignment="1">
      <alignment horizontal="center" vertical="center" wrapText="1"/>
    </xf>
    <xf numFmtId="0" fontId="2" fillId="6" borderId="2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/>
    </xf>
    <xf numFmtId="43" fontId="4" fillId="0" borderId="0" xfId="1" applyFont="1" applyFill="1" applyBorder="1" applyAlignment="1">
      <alignment horizontal="left" vertical="top"/>
    </xf>
    <xf numFmtId="0" fontId="9" fillId="0" borderId="0" xfId="0" applyFont="1" applyAlignment="1">
      <alignment vertical="center"/>
    </xf>
    <xf numFmtId="0" fontId="7" fillId="2" borderId="22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left" vertical="top" wrapText="1"/>
    </xf>
    <xf numFmtId="0" fontId="7" fillId="2" borderId="4" xfId="0" applyFont="1" applyFill="1" applyBorder="1" applyAlignment="1">
      <alignment horizontal="center" vertical="top"/>
    </xf>
    <xf numFmtId="43" fontId="7" fillId="2" borderId="4" xfId="1" applyFont="1" applyFill="1" applyBorder="1" applyAlignment="1">
      <alignment horizontal="left" vertical="top"/>
    </xf>
    <xf numFmtId="43" fontId="7" fillId="2" borderId="23" xfId="1" applyFont="1" applyFill="1" applyBorder="1" applyAlignment="1">
      <alignment horizontal="left" vertical="top"/>
    </xf>
    <xf numFmtId="43" fontId="17" fillId="0" borderId="2" xfId="1" applyFont="1" applyBorder="1" applyAlignment="1">
      <alignment vertical="center"/>
    </xf>
    <xf numFmtId="0" fontId="7" fillId="0" borderId="42" xfId="0" applyFont="1" applyBorder="1" applyAlignment="1">
      <alignment horizontal="center" vertical="center" wrapText="1"/>
    </xf>
    <xf numFmtId="43" fontId="7" fillId="3" borderId="43" xfId="1" applyFont="1" applyFill="1" applyBorder="1" applyAlignment="1">
      <alignment horizontal="left" vertical="top"/>
    </xf>
    <xf numFmtId="43" fontId="15" fillId="0" borderId="44" xfId="1" applyFont="1" applyFill="1" applyBorder="1" applyAlignment="1">
      <alignment horizontal="left" vertical="top"/>
    </xf>
    <xf numFmtId="43" fontId="15" fillId="0" borderId="45" xfId="1" applyFont="1" applyFill="1" applyBorder="1" applyAlignment="1">
      <alignment horizontal="left" vertical="top"/>
    </xf>
    <xf numFmtId="165" fontId="1" fillId="0" borderId="28" xfId="1" applyNumberFormat="1" applyFont="1" applyBorder="1" applyAlignment="1">
      <alignment horizontal="center" vertical="center"/>
    </xf>
    <xf numFmtId="165" fontId="2" fillId="0" borderId="28" xfId="1" applyNumberFormat="1" applyFont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4" borderId="48" xfId="0" applyFont="1" applyFill="1" applyBorder="1" applyAlignment="1">
      <alignment horizontal="center" vertical="center"/>
    </xf>
    <xf numFmtId="0" fontId="7" fillId="4" borderId="46" xfId="0" applyFont="1" applyFill="1" applyBorder="1" applyAlignment="1">
      <alignment horizontal="center" vertical="center"/>
    </xf>
    <xf numFmtId="0" fontId="7" fillId="4" borderId="47" xfId="0" applyFont="1" applyFill="1" applyBorder="1" applyAlignment="1">
      <alignment horizontal="center" vertical="center"/>
    </xf>
    <xf numFmtId="43" fontId="4" fillId="0" borderId="51" xfId="1" applyFont="1" applyBorder="1" applyAlignment="1">
      <alignment vertical="center"/>
    </xf>
    <xf numFmtId="43" fontId="4" fillId="0" borderId="53" xfId="1" applyFont="1" applyBorder="1" applyAlignment="1">
      <alignment vertical="center"/>
    </xf>
    <xf numFmtId="43" fontId="7" fillId="0" borderId="54" xfId="1" applyFont="1" applyBorder="1" applyAlignment="1">
      <alignment vertical="center"/>
    </xf>
    <xf numFmtId="43" fontId="7" fillId="0" borderId="52" xfId="1" applyFont="1" applyBorder="1" applyAlignment="1">
      <alignment vertical="center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43" fontId="7" fillId="0" borderId="0" xfId="1" applyFont="1" applyFill="1" applyBorder="1" applyAlignment="1">
      <alignment vertical="center"/>
    </xf>
    <xf numFmtId="0" fontId="3" fillId="0" borderId="0" xfId="0" applyFont="1"/>
    <xf numFmtId="0" fontId="8" fillId="0" borderId="0" xfId="0" applyFont="1" applyAlignment="1">
      <alignment wrapText="1"/>
    </xf>
    <xf numFmtId="0" fontId="4" fillId="0" borderId="0" xfId="0" applyFont="1" applyAlignment="1">
      <alignment horizontal="left" vertical="center"/>
    </xf>
    <xf numFmtId="0" fontId="4" fillId="0" borderId="22" xfId="0" applyFont="1" applyBorder="1" applyAlignment="1">
      <alignment horizontal="left"/>
    </xf>
    <xf numFmtId="0" fontId="4" fillId="5" borderId="23" xfId="0" applyFont="1" applyFill="1" applyBorder="1"/>
    <xf numFmtId="0" fontId="4" fillId="0" borderId="10" xfId="0" applyFont="1" applyBorder="1" applyAlignment="1">
      <alignment horizontal="left"/>
    </xf>
    <xf numFmtId="0" fontId="4" fillId="5" borderId="12" xfId="0" applyFont="1" applyFill="1" applyBorder="1"/>
    <xf numFmtId="0" fontId="4" fillId="0" borderId="22" xfId="0" applyFont="1" applyBorder="1" applyAlignment="1">
      <alignment horizontal="left" vertical="center"/>
    </xf>
    <xf numFmtId="0" fontId="4" fillId="5" borderId="23" xfId="0" applyFont="1" applyFill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5" borderId="9" xfId="0" applyFont="1" applyFill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5" borderId="9" xfId="0" applyFont="1" applyFill="1" applyBorder="1" applyAlignment="1">
      <alignment horizontal="left" vertical="center" wrapText="1"/>
    </xf>
    <xf numFmtId="10" fontId="4" fillId="5" borderId="9" xfId="0" applyNumberFormat="1" applyFont="1" applyFill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/>
    </xf>
    <xf numFmtId="0" fontId="4" fillId="5" borderId="12" xfId="0" applyFont="1" applyFill="1" applyBorder="1" applyAlignment="1">
      <alignment horizontal="left" vertical="center"/>
    </xf>
    <xf numFmtId="0" fontId="4" fillId="0" borderId="61" xfId="0" applyFont="1" applyBorder="1" applyAlignment="1">
      <alignment horizontal="left" vertical="center"/>
    </xf>
    <xf numFmtId="164" fontId="4" fillId="5" borderId="12" xfId="0" applyNumberFormat="1" applyFont="1" applyFill="1" applyBorder="1" applyAlignment="1">
      <alignment horizontal="left" vertical="center"/>
    </xf>
    <xf numFmtId="0" fontId="4" fillId="0" borderId="8" xfId="0" applyFont="1" applyBorder="1" applyAlignment="1">
      <alignment horizontal="left"/>
    </xf>
    <xf numFmtId="0" fontId="4" fillId="5" borderId="9" xfId="0" applyFont="1" applyFill="1" applyBorder="1"/>
    <xf numFmtId="164" fontId="4" fillId="5" borderId="23" xfId="0" applyNumberFormat="1" applyFont="1" applyFill="1" applyBorder="1" applyAlignment="1">
      <alignment horizontal="left"/>
    </xf>
    <xf numFmtId="164" fontId="4" fillId="5" borderId="12" xfId="0" applyNumberFormat="1" applyFont="1" applyFill="1" applyBorder="1" applyAlignment="1">
      <alignment horizontal="left"/>
    </xf>
    <xf numFmtId="0" fontId="4" fillId="5" borderId="23" xfId="0" applyFont="1" applyFill="1" applyBorder="1" applyAlignment="1">
      <alignment horizontal="left" vertical="center" wrapText="1"/>
    </xf>
    <xf numFmtId="0" fontId="2" fillId="0" borderId="0" xfId="0" applyFont="1"/>
    <xf numFmtId="166" fontId="4" fillId="0" borderId="0" xfId="0" applyNumberFormat="1" applyFont="1"/>
    <xf numFmtId="166" fontId="0" fillId="0" borderId="0" xfId="0" applyNumberFormat="1"/>
    <xf numFmtId="2" fontId="0" fillId="0" borderId="0" xfId="0" applyNumberFormat="1"/>
    <xf numFmtId="0" fontId="27" fillId="10" borderId="1" xfId="4" applyFont="1" applyFill="1" applyBorder="1" applyAlignment="1">
      <alignment horizontal="center" vertical="center" wrapText="1"/>
    </xf>
    <xf numFmtId="0" fontId="27" fillId="10" borderId="16" xfId="4" applyFont="1" applyFill="1" applyBorder="1" applyAlignment="1">
      <alignment horizontal="center" vertical="center" wrapText="1"/>
    </xf>
    <xf numFmtId="0" fontId="28" fillId="10" borderId="0" xfId="4" applyFont="1" applyFill="1" applyAlignment="1">
      <alignment vertical="center"/>
    </xf>
    <xf numFmtId="0" fontId="12" fillId="10" borderId="19" xfId="4" applyFill="1" applyBorder="1" applyAlignment="1">
      <alignment vertical="center"/>
    </xf>
    <xf numFmtId="0" fontId="27" fillId="10" borderId="14" xfId="4" applyFont="1" applyFill="1" applyBorder="1" applyAlignment="1">
      <alignment horizontal="center" vertical="center" wrapText="1"/>
    </xf>
    <xf numFmtId="0" fontId="29" fillId="11" borderId="14" xfId="4" applyFont="1" applyFill="1" applyBorder="1" applyAlignment="1">
      <alignment horizontal="center" vertical="center"/>
    </xf>
    <xf numFmtId="0" fontId="26" fillId="10" borderId="14" xfId="4" applyFont="1" applyFill="1" applyBorder="1" applyAlignment="1">
      <alignment vertical="center" wrapText="1"/>
    </xf>
    <xf numFmtId="0" fontId="27" fillId="10" borderId="13" xfId="4" applyFont="1" applyFill="1" applyBorder="1" applyAlignment="1">
      <alignment horizontal="center" vertical="center" wrapText="1"/>
    </xf>
    <xf numFmtId="0" fontId="12" fillId="0" borderId="0" xfId="4" applyAlignment="1">
      <alignment vertical="center"/>
    </xf>
    <xf numFmtId="0" fontId="7" fillId="0" borderId="0" xfId="0" applyFont="1" applyAlignment="1">
      <alignment horizontal="left" vertical="top"/>
    </xf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3" fillId="0" borderId="0" xfId="0" applyFont="1" applyAlignment="1">
      <alignment horizontal="center" vertical="center"/>
    </xf>
    <xf numFmtId="2" fontId="0" fillId="0" borderId="0" xfId="0" applyNumberFormat="1" applyAlignment="1">
      <alignment vertical="center"/>
    </xf>
    <xf numFmtId="166" fontId="0" fillId="0" borderId="0" xfId="0" applyNumberFormat="1" applyAlignment="1">
      <alignment horizontal="center" vertical="center"/>
    </xf>
    <xf numFmtId="10" fontId="0" fillId="0" borderId="0" xfId="3" applyNumberFormat="1" applyFont="1"/>
    <xf numFmtId="0" fontId="8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11" fillId="0" borderId="71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70" xfId="0" applyFont="1" applyBorder="1" applyAlignment="1">
      <alignment horizontal="center" vertical="center" wrapText="1"/>
    </xf>
    <xf numFmtId="0" fontId="22" fillId="9" borderId="1" xfId="0" applyFont="1" applyFill="1" applyBorder="1" applyAlignment="1">
      <alignment horizontal="left" vertical="center" wrapText="1"/>
    </xf>
    <xf numFmtId="0" fontId="21" fillId="10" borderId="1" xfId="0" applyFont="1" applyFill="1" applyBorder="1" applyAlignment="1">
      <alignment horizontal="left" vertical="center" wrapText="1"/>
    </xf>
    <xf numFmtId="0" fontId="21" fillId="10" borderId="1" xfId="0" applyFont="1" applyFill="1" applyBorder="1" applyAlignment="1">
      <alignment horizontal="right" vertical="center" wrapText="1"/>
    </xf>
    <xf numFmtId="0" fontId="21" fillId="10" borderId="1" xfId="0" applyFont="1" applyFill="1" applyBorder="1" applyAlignment="1">
      <alignment horizontal="center" vertical="center" wrapText="1"/>
    </xf>
    <xf numFmtId="4" fontId="21" fillId="10" borderId="1" xfId="0" applyNumberFormat="1" applyFont="1" applyFill="1" applyBorder="1" applyAlignment="1">
      <alignment horizontal="right" vertical="center" wrapText="1"/>
    </xf>
    <xf numFmtId="43" fontId="4" fillId="10" borderId="1" xfId="1" applyFont="1" applyFill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22" fillId="9" borderId="1" xfId="0" applyFont="1" applyFill="1" applyBorder="1" applyAlignment="1">
      <alignment horizontal="center" vertical="center" wrapText="1"/>
    </xf>
    <xf numFmtId="2" fontId="21" fillId="10" borderId="1" xfId="0" applyNumberFormat="1" applyFont="1" applyFill="1" applyBorder="1" applyAlignment="1">
      <alignment horizontal="center" vertical="center" wrapText="1"/>
    </xf>
    <xf numFmtId="2" fontId="22" fillId="9" borderId="1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Alignment="1">
      <alignment vertical="top"/>
    </xf>
    <xf numFmtId="10" fontId="45" fillId="14" borderId="1" xfId="4" applyNumberFormat="1" applyFont="1" applyFill="1" applyBorder="1" applyAlignment="1" applyProtection="1">
      <alignment horizontal="center" vertical="center"/>
      <protection locked="0"/>
    </xf>
    <xf numFmtId="10" fontId="45" fillId="0" borderId="1" xfId="4" applyNumberFormat="1" applyFont="1" applyBorder="1" applyAlignment="1">
      <alignment horizontal="center" vertical="center"/>
    </xf>
    <xf numFmtId="10" fontId="45" fillId="0" borderId="1" xfId="4" applyNumberFormat="1" applyFont="1" applyBorder="1" applyAlignment="1">
      <alignment horizontal="center" vertical="center" wrapText="1"/>
    </xf>
    <xf numFmtId="0" fontId="12" fillId="0" borderId="0" xfId="4"/>
    <xf numFmtId="0" fontId="47" fillId="0" borderId="0" xfId="4" applyFont="1"/>
    <xf numFmtId="0" fontId="44" fillId="0" borderId="1" xfId="4" applyFont="1" applyBorder="1" applyAlignment="1">
      <alignment horizontal="center" vertical="center" wrapText="1"/>
    </xf>
    <xf numFmtId="0" fontId="48" fillId="0" borderId="0" xfId="4" applyFont="1" applyAlignment="1">
      <alignment vertical="top" wrapText="1"/>
    </xf>
    <xf numFmtId="0" fontId="45" fillId="0" borderId="1" xfId="4" applyFont="1" applyBorder="1" applyAlignment="1">
      <alignment horizontal="center" vertical="center"/>
    </xf>
    <xf numFmtId="4" fontId="28" fillId="0" borderId="1" xfId="4" applyNumberFormat="1" applyFont="1" applyBorder="1" applyAlignment="1">
      <alignment horizontal="center" vertical="center"/>
    </xf>
    <xf numFmtId="0" fontId="45" fillId="0" borderId="1" xfId="4" applyFont="1" applyBorder="1" applyAlignment="1">
      <alignment horizontal="center" vertical="center" wrapText="1"/>
    </xf>
    <xf numFmtId="4" fontId="28" fillId="0" borderId="1" xfId="4" applyNumberFormat="1" applyFont="1" applyBorder="1" applyAlignment="1">
      <alignment horizontal="center" vertical="center" wrapText="1"/>
    </xf>
    <xf numFmtId="0" fontId="49" fillId="0" borderId="0" xfId="4" applyFont="1" applyAlignment="1">
      <alignment wrapText="1"/>
    </xf>
    <xf numFmtId="0" fontId="50" fillId="0" borderId="0" xfId="4" applyFont="1" applyAlignment="1">
      <alignment horizontal="center" vertical="center" wrapText="1"/>
    </xf>
    <xf numFmtId="10" fontId="50" fillId="0" borderId="0" xfId="4" applyNumberFormat="1" applyFont="1" applyAlignment="1">
      <alignment horizontal="center" vertical="center"/>
    </xf>
    <xf numFmtId="4" fontId="28" fillId="0" borderId="0" xfId="4" applyNumberFormat="1" applyFont="1" applyAlignment="1">
      <alignment horizontal="center" vertical="center" wrapText="1"/>
    </xf>
    <xf numFmtId="0" fontId="12" fillId="0" borderId="0" xfId="4" applyProtection="1">
      <protection locked="0"/>
    </xf>
    <xf numFmtId="0" fontId="52" fillId="0" borderId="1" xfId="4" applyFont="1" applyBorder="1" applyAlignment="1">
      <alignment horizontal="center" vertical="center"/>
    </xf>
    <xf numFmtId="0" fontId="28" fillId="0" borderId="0" xfId="4" applyFont="1" applyAlignment="1">
      <alignment vertical="center"/>
    </xf>
    <xf numFmtId="0" fontId="44" fillId="0" borderId="0" xfId="4" applyFont="1" applyAlignment="1">
      <alignment horizontal="center" vertical="center"/>
    </xf>
    <xf numFmtId="0" fontId="42" fillId="0" borderId="0" xfId="4" applyFont="1" applyAlignment="1">
      <alignment horizontal="center" vertical="center"/>
    </xf>
    <xf numFmtId="0" fontId="1" fillId="0" borderId="0" xfId="17" applyAlignment="1">
      <alignment vertical="center"/>
    </xf>
    <xf numFmtId="0" fontId="44" fillId="0" borderId="1" xfId="4" applyFont="1" applyBorder="1" applyAlignment="1">
      <alignment horizontal="center" vertical="center"/>
    </xf>
    <xf numFmtId="10" fontId="46" fillId="0" borderId="1" xfId="4" applyNumberFormat="1" applyFont="1" applyBorder="1" applyAlignment="1">
      <alignment horizontal="center" vertical="center"/>
    </xf>
    <xf numFmtId="0" fontId="44" fillId="0" borderId="0" xfId="4" applyFont="1" applyAlignment="1">
      <alignment vertical="center"/>
    </xf>
    <xf numFmtId="0" fontId="12" fillId="0" borderId="0" xfId="4" applyAlignment="1">
      <alignment horizontal="center" vertical="center"/>
    </xf>
    <xf numFmtId="0" fontId="56" fillId="0" borderId="0" xfId="4" applyFont="1" applyAlignment="1">
      <alignment horizontal="center" vertical="center"/>
    </xf>
    <xf numFmtId="171" fontId="12" fillId="0" borderId="0" xfId="4" applyNumberFormat="1" applyAlignment="1">
      <alignment vertical="center"/>
    </xf>
    <xf numFmtId="0" fontId="44" fillId="0" borderId="41" xfId="4" applyFont="1" applyBorder="1" applyAlignment="1">
      <alignment horizontal="left" vertical="center"/>
    </xf>
    <xf numFmtId="0" fontId="12" fillId="0" borderId="41" xfId="4" applyBorder="1" applyAlignment="1">
      <alignment vertical="center"/>
    </xf>
    <xf numFmtId="0" fontId="45" fillId="0" borderId="0" xfId="4" applyFont="1" applyAlignment="1">
      <alignment vertical="center"/>
    </xf>
    <xf numFmtId="0" fontId="44" fillId="0" borderId="0" xfId="18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8" borderId="56" xfId="0" applyFont="1" applyFill="1" applyBorder="1" applyAlignment="1">
      <alignment horizontal="center" vertical="center" wrapText="1"/>
    </xf>
    <xf numFmtId="0" fontId="11" fillId="8" borderId="57" xfId="0" applyFont="1" applyFill="1" applyBorder="1" applyAlignment="1">
      <alignment horizontal="center" vertical="center" wrapText="1"/>
    </xf>
    <xf numFmtId="0" fontId="11" fillId="8" borderId="55" xfId="0" applyFont="1" applyFill="1" applyBorder="1" applyAlignment="1">
      <alignment horizontal="center" vertical="center" wrapText="1"/>
    </xf>
    <xf numFmtId="0" fontId="22" fillId="9" borderId="16" xfId="0" applyFont="1" applyFill="1" applyBorder="1" applyAlignment="1">
      <alignment horizontal="left" vertical="center" wrapText="1"/>
    </xf>
    <xf numFmtId="43" fontId="22" fillId="9" borderId="17" xfId="0" applyNumberFormat="1" applyFont="1" applyFill="1" applyBorder="1" applyAlignment="1">
      <alignment horizontal="left" vertical="center" wrapText="1"/>
    </xf>
    <xf numFmtId="0" fontId="21" fillId="10" borderId="16" xfId="0" applyFont="1" applyFill="1" applyBorder="1" applyAlignment="1">
      <alignment horizontal="left" vertical="center" wrapText="1"/>
    </xf>
    <xf numFmtId="43" fontId="4" fillId="10" borderId="17" xfId="1" applyFont="1" applyFill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1" fillId="0" borderId="38" xfId="0" applyFont="1" applyBorder="1" applyAlignment="1">
      <alignment horizontal="left" vertical="center"/>
    </xf>
    <xf numFmtId="10" fontId="8" fillId="0" borderId="0" xfId="0" applyNumberFormat="1" applyFont="1" applyAlignment="1">
      <alignment horizontal="left" vertical="top"/>
    </xf>
    <xf numFmtId="0" fontId="13" fillId="0" borderId="38" xfId="0" applyFont="1" applyBorder="1"/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38" xfId="0" applyFont="1" applyBorder="1" applyAlignment="1">
      <alignment vertical="center"/>
    </xf>
    <xf numFmtId="0" fontId="11" fillId="0" borderId="0" xfId="0" applyFont="1" applyAlignment="1">
      <alignment vertical="center"/>
    </xf>
    <xf numFmtId="4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20" fillId="0" borderId="0" xfId="0" applyNumberFormat="1" applyFont="1" applyAlignment="1">
      <alignment horizontal="center" vertical="center"/>
    </xf>
    <xf numFmtId="0" fontId="11" fillId="7" borderId="56" xfId="0" applyFont="1" applyFill="1" applyBorder="1" applyAlignment="1">
      <alignment horizontal="center" vertical="center" wrapText="1"/>
    </xf>
    <xf numFmtId="0" fontId="11" fillId="7" borderId="57" xfId="0" applyFont="1" applyFill="1" applyBorder="1" applyAlignment="1">
      <alignment horizontal="center" vertical="center" wrapText="1"/>
    </xf>
    <xf numFmtId="0" fontId="11" fillId="7" borderId="55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10" fontId="8" fillId="0" borderId="0" xfId="0" applyNumberFormat="1" applyFont="1" applyAlignment="1">
      <alignment horizontal="center" vertical="center" wrapText="1"/>
    </xf>
    <xf numFmtId="10" fontId="8" fillId="0" borderId="0" xfId="0" applyNumberFormat="1" applyFont="1" applyAlignment="1">
      <alignment horizontal="left" vertical="center"/>
    </xf>
    <xf numFmtId="0" fontId="7" fillId="4" borderId="22" xfId="0" applyFont="1" applyFill="1" applyBorder="1" applyAlignment="1">
      <alignment horizontal="left" vertical="center"/>
    </xf>
    <xf numFmtId="0" fontId="7" fillId="4" borderId="4" xfId="0" applyFont="1" applyFill="1" applyBorder="1" applyAlignment="1">
      <alignment horizontal="left" vertical="center"/>
    </xf>
    <xf numFmtId="0" fontId="7" fillId="4" borderId="4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center" vertical="center"/>
    </xf>
    <xf numFmtId="43" fontId="7" fillId="4" borderId="4" xfId="1" applyFont="1" applyFill="1" applyBorder="1" applyAlignment="1">
      <alignment horizontal="left" vertical="center"/>
    </xf>
    <xf numFmtId="43" fontId="7" fillId="4" borderId="23" xfId="1" applyFont="1" applyFill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43" fontId="4" fillId="0" borderId="3" xfId="1" applyFont="1" applyFill="1" applyBorder="1" applyAlignment="1">
      <alignment horizontal="left" vertical="center"/>
    </xf>
    <xf numFmtId="43" fontId="4" fillId="0" borderId="9" xfId="1" applyFont="1" applyFill="1" applyBorder="1" applyAlignment="1">
      <alignment horizontal="left" vertical="center"/>
    </xf>
    <xf numFmtId="43" fontId="7" fillId="0" borderId="0" xfId="1" applyFont="1" applyFill="1" applyBorder="1" applyAlignment="1">
      <alignment horizontal="left" vertical="center"/>
    </xf>
    <xf numFmtId="43" fontId="4" fillId="0" borderId="8" xfId="1" applyFont="1" applyFill="1" applyBorder="1" applyAlignment="1">
      <alignment horizontal="left" vertical="center"/>
    </xf>
    <xf numFmtId="43" fontId="4" fillId="5" borderId="3" xfId="1" applyFont="1" applyFill="1" applyBorder="1" applyAlignment="1">
      <alignment horizontal="left" vertical="center"/>
    </xf>
    <xf numFmtId="43" fontId="4" fillId="0" borderId="9" xfId="1" applyFont="1" applyBorder="1" applyAlignment="1">
      <alignment vertical="center"/>
    </xf>
    <xf numFmtId="43" fontId="4" fillId="0" borderId="8" xfId="1" applyFont="1" applyBorder="1" applyAlignment="1">
      <alignment vertical="center"/>
    </xf>
    <xf numFmtId="43" fontId="4" fillId="0" borderId="3" xfId="1" applyFont="1" applyBorder="1" applyAlignment="1">
      <alignment vertical="center"/>
    </xf>
    <xf numFmtId="43" fontId="4" fillId="0" borderId="0" xfId="1" applyFont="1" applyFill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/>
    </xf>
    <xf numFmtId="43" fontId="4" fillId="0" borderId="11" xfId="1" applyFont="1" applyFill="1" applyBorder="1" applyAlignment="1">
      <alignment horizontal="left" vertical="center"/>
    </xf>
    <xf numFmtId="43" fontId="4" fillId="0" borderId="12" xfId="1" applyFont="1" applyFill="1" applyBorder="1" applyAlignment="1">
      <alignment horizontal="left" vertical="center"/>
    </xf>
    <xf numFmtId="43" fontId="4" fillId="0" borderId="10" xfId="1" applyFont="1" applyFill="1" applyBorder="1" applyAlignment="1">
      <alignment horizontal="left" vertical="center"/>
    </xf>
    <xf numFmtId="43" fontId="4" fillId="5" borderId="11" xfId="1" applyFont="1" applyFill="1" applyBorder="1" applyAlignment="1">
      <alignment horizontal="left" vertical="center"/>
    </xf>
    <xf numFmtId="43" fontId="4" fillId="0" borderId="12" xfId="1" applyFont="1" applyBorder="1" applyAlignment="1">
      <alignment vertical="center"/>
    </xf>
    <xf numFmtId="43" fontId="4" fillId="0" borderId="10" xfId="1" applyFont="1" applyBorder="1" applyAlignment="1">
      <alignment vertical="center"/>
    </xf>
    <xf numFmtId="43" fontId="4" fillId="0" borderId="11" xfId="1" applyFont="1" applyBorder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43" fontId="4" fillId="0" borderId="0" xfId="1" applyFont="1" applyFill="1" applyBorder="1" applyAlignment="1">
      <alignment vertical="center"/>
    </xf>
    <xf numFmtId="164" fontId="4" fillId="0" borderId="0" xfId="0" applyNumberFormat="1" applyFont="1" applyAlignment="1">
      <alignment horizontal="left" vertical="center"/>
    </xf>
    <xf numFmtId="14" fontId="4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165" fontId="1" fillId="0" borderId="0" xfId="1" applyNumberFormat="1" applyFont="1" applyBorder="1" applyAlignment="1">
      <alignment horizontal="center" vertical="center"/>
    </xf>
    <xf numFmtId="0" fontId="6" fillId="0" borderId="0" xfId="19" applyFont="1" applyAlignment="1">
      <alignment vertical="center"/>
    </xf>
    <xf numFmtId="0" fontId="1" fillId="0" borderId="0" xfId="19"/>
    <xf numFmtId="0" fontId="5" fillId="0" borderId="0" xfId="19" applyFont="1" applyAlignment="1">
      <alignment vertical="center"/>
    </xf>
    <xf numFmtId="0" fontId="4" fillId="0" borderId="0" xfId="19" applyFont="1"/>
    <xf numFmtId="0" fontId="4" fillId="0" borderId="0" xfId="19" applyFont="1" applyAlignment="1">
      <alignment wrapText="1"/>
    </xf>
    <xf numFmtId="0" fontId="8" fillId="0" borderId="0" xfId="19" applyFont="1" applyAlignment="1">
      <alignment vertical="center"/>
    </xf>
    <xf numFmtId="0" fontId="13" fillId="0" borderId="0" xfId="19" applyFont="1"/>
    <xf numFmtId="0" fontId="7" fillId="0" borderId="0" xfId="19" applyFont="1" applyAlignment="1">
      <alignment vertical="center" wrapText="1"/>
    </xf>
    <xf numFmtId="14" fontId="7" fillId="0" borderId="0" xfId="19" applyNumberFormat="1" applyFont="1" applyAlignment="1">
      <alignment vertical="center"/>
    </xf>
    <xf numFmtId="0" fontId="35" fillId="0" borderId="0" xfId="20" applyFont="1" applyAlignment="1">
      <alignment vertical="center"/>
    </xf>
    <xf numFmtId="0" fontId="36" fillId="12" borderId="0" xfId="21" applyFont="1" applyFill="1" applyAlignment="1">
      <alignment horizontal="left" vertical="center"/>
    </xf>
    <xf numFmtId="49" fontId="36" fillId="12" borderId="0" xfId="21" applyNumberFormat="1" applyFont="1" applyFill="1" applyAlignment="1">
      <alignment horizontal="left" vertical="center"/>
    </xf>
    <xf numFmtId="0" fontId="36" fillId="12" borderId="0" xfId="21" applyFont="1" applyFill="1" applyAlignment="1">
      <alignment vertical="center"/>
    </xf>
    <xf numFmtId="0" fontId="36" fillId="12" borderId="0" xfId="21" applyFont="1" applyFill="1" applyAlignment="1">
      <alignment horizontal="center" vertical="center"/>
    </xf>
    <xf numFmtId="0" fontId="13" fillId="0" borderId="0" xfId="22" applyFont="1" applyAlignment="1">
      <alignment vertical="center"/>
    </xf>
    <xf numFmtId="0" fontId="38" fillId="9" borderId="13" xfId="20" applyFont="1" applyFill="1" applyBorder="1" applyAlignment="1">
      <alignment horizontal="center" vertical="center" wrapText="1"/>
    </xf>
    <xf numFmtId="0" fontId="38" fillId="9" borderId="14" xfId="20" applyFont="1" applyFill="1" applyBorder="1" applyAlignment="1">
      <alignment horizontal="center" vertical="center" wrapText="1"/>
    </xf>
    <xf numFmtId="0" fontId="38" fillId="9" borderId="15" xfId="20" applyFont="1" applyFill="1" applyBorder="1" applyAlignment="1">
      <alignment horizontal="center" vertical="center" wrapText="1"/>
    </xf>
    <xf numFmtId="0" fontId="39" fillId="10" borderId="16" xfId="22" applyFont="1" applyFill="1" applyBorder="1" applyAlignment="1">
      <alignment horizontal="center" vertical="center"/>
    </xf>
    <xf numFmtId="49" fontId="39" fillId="10" borderId="1" xfId="22" applyNumberFormat="1" applyFont="1" applyFill="1" applyBorder="1" applyAlignment="1" applyProtection="1">
      <alignment vertical="center"/>
      <protection locked="0"/>
    </xf>
    <xf numFmtId="49" fontId="39" fillId="10" borderId="1" xfId="22" applyNumberFormat="1" applyFont="1" applyFill="1" applyBorder="1" applyAlignment="1" applyProtection="1">
      <alignment vertical="center" wrapText="1"/>
      <protection locked="0"/>
    </xf>
    <xf numFmtId="49" fontId="39" fillId="10" borderId="17" xfId="22" applyNumberFormat="1" applyFont="1" applyFill="1" applyBorder="1" applyAlignment="1" applyProtection="1">
      <alignment vertical="center" wrapText="1"/>
      <protection locked="0"/>
    </xf>
    <xf numFmtId="0" fontId="13" fillId="10" borderId="0" xfId="22" applyFont="1" applyFill="1" applyAlignment="1">
      <alignment vertical="center"/>
    </xf>
    <xf numFmtId="0" fontId="39" fillId="10" borderId="18" xfId="22" applyFont="1" applyFill="1" applyBorder="1" applyAlignment="1">
      <alignment horizontal="center" vertical="center"/>
    </xf>
    <xf numFmtId="49" fontId="39" fillId="10" borderId="19" xfId="22" applyNumberFormat="1" applyFont="1" applyFill="1" applyBorder="1" applyAlignment="1" applyProtection="1">
      <alignment vertical="center"/>
      <protection locked="0"/>
    </xf>
    <xf numFmtId="49" fontId="39" fillId="10" borderId="20" xfId="22" applyNumberFormat="1" applyFont="1" applyFill="1" applyBorder="1" applyAlignment="1" applyProtection="1">
      <alignment vertical="center" wrapText="1"/>
      <protection locked="0"/>
    </xf>
    <xf numFmtId="0" fontId="38" fillId="9" borderId="1" xfId="20" applyFont="1" applyFill="1" applyBorder="1" applyAlignment="1">
      <alignment horizontal="center" vertical="center" wrapText="1"/>
    </xf>
    <xf numFmtId="49" fontId="39" fillId="13" borderId="16" xfId="22" applyNumberFormat="1" applyFont="1" applyFill="1" applyBorder="1" applyAlignment="1">
      <alignment horizontal="center" vertical="center"/>
    </xf>
    <xf numFmtId="0" fontId="39" fillId="13" borderId="1" xfId="22" applyFont="1" applyFill="1" applyBorder="1" applyAlignment="1">
      <alignment horizontal="center" vertical="center"/>
    </xf>
    <xf numFmtId="168" fontId="39" fillId="13" borderId="17" xfId="22" applyNumberFormat="1" applyFont="1" applyFill="1" applyBorder="1" applyAlignment="1">
      <alignment horizontal="center" vertical="center"/>
    </xf>
    <xf numFmtId="0" fontId="38" fillId="9" borderId="58" xfId="20" applyFont="1" applyFill="1" applyBorder="1" applyAlignment="1">
      <alignment vertical="center" wrapText="1"/>
    </xf>
    <xf numFmtId="0" fontId="38" fillId="9" borderId="66" xfId="20" applyFont="1" applyFill="1" applyBorder="1" applyAlignment="1">
      <alignment vertical="center" wrapText="1"/>
    </xf>
    <xf numFmtId="0" fontId="38" fillId="9" borderId="67" xfId="20" applyFont="1" applyFill="1" applyBorder="1" applyAlignment="1">
      <alignment vertical="center" wrapText="1"/>
    </xf>
    <xf numFmtId="0" fontId="41" fillId="10" borderId="0" xfId="20" applyFont="1" applyFill="1" applyAlignment="1">
      <alignment horizontal="center" vertical="center"/>
    </xf>
    <xf numFmtId="0" fontId="41" fillId="0" borderId="0" xfId="20" applyFont="1" applyAlignment="1">
      <alignment horizontal="center" vertical="center"/>
    </xf>
    <xf numFmtId="0" fontId="39" fillId="10" borderId="16" xfId="22" applyFont="1" applyFill="1" applyBorder="1" applyAlignment="1" applyProtection="1">
      <alignment horizontal="center" vertical="center" wrapText="1"/>
      <protection locked="0"/>
    </xf>
    <xf numFmtId="168" fontId="39" fillId="10" borderId="1" xfId="23" applyNumberFormat="1" applyFont="1" applyFill="1" applyBorder="1" applyAlignment="1" applyProtection="1">
      <alignment horizontal="center" vertical="center" wrapText="1"/>
      <protection locked="0"/>
    </xf>
    <xf numFmtId="49" fontId="39" fillId="10" borderId="17" xfId="22" applyNumberFormat="1" applyFont="1" applyFill="1" applyBorder="1" applyAlignment="1" applyProtection="1">
      <alignment horizontal="center" vertical="center" wrapText="1"/>
      <protection locked="0"/>
    </xf>
    <xf numFmtId="0" fontId="39" fillId="10" borderId="18" xfId="22" applyFont="1" applyFill="1" applyBorder="1" applyAlignment="1" applyProtection="1">
      <alignment horizontal="center" vertical="center" wrapText="1"/>
      <protection locked="0"/>
    </xf>
    <xf numFmtId="168" fontId="39" fillId="10" borderId="19" xfId="23" applyNumberFormat="1" applyFont="1" applyFill="1" applyBorder="1" applyAlignment="1" applyProtection="1">
      <alignment horizontal="center" vertical="center" wrapText="1"/>
      <protection locked="0"/>
    </xf>
    <xf numFmtId="49" fontId="39" fillId="10" borderId="20" xfId="22" applyNumberFormat="1" applyFont="1" applyFill="1" applyBorder="1" applyAlignment="1" applyProtection="1">
      <alignment horizontal="center" vertical="center" wrapText="1"/>
      <protection locked="0"/>
    </xf>
    <xf numFmtId="0" fontId="39" fillId="0" borderId="0" xfId="22" applyFont="1" applyAlignment="1">
      <alignment vertical="center"/>
    </xf>
    <xf numFmtId="0" fontId="39" fillId="0" borderId="0" xfId="22" applyFont="1" applyAlignment="1">
      <alignment horizontal="center" vertical="center"/>
    </xf>
    <xf numFmtId="0" fontId="39" fillId="10" borderId="0" xfId="22" applyFont="1" applyFill="1" applyAlignment="1" applyProtection="1">
      <alignment horizontal="center" vertical="center" wrapText="1"/>
      <protection locked="0"/>
    </xf>
    <xf numFmtId="0" fontId="39" fillId="10" borderId="0" xfId="22" applyFont="1" applyFill="1" applyAlignment="1">
      <alignment horizontal="left" vertical="center"/>
    </xf>
    <xf numFmtId="168" fontId="39" fillId="10" borderId="0" xfId="23" applyNumberFormat="1" applyFont="1" applyFill="1" applyBorder="1" applyAlignment="1" applyProtection="1">
      <alignment horizontal="center" vertical="center" wrapText="1"/>
      <protection locked="0"/>
    </xf>
    <xf numFmtId="49" fontId="39" fillId="10" borderId="0" xfId="22" applyNumberFormat="1" applyFont="1" applyFill="1" applyAlignment="1" applyProtection="1">
      <alignment horizontal="center" vertical="center" wrapText="1"/>
      <protection locked="0"/>
    </xf>
    <xf numFmtId="0" fontId="4" fillId="0" borderId="0" xfId="19" applyFont="1" applyAlignment="1">
      <alignment horizontal="center" vertical="top"/>
    </xf>
    <xf numFmtId="164" fontId="4" fillId="0" borderId="38" xfId="19" applyNumberFormat="1" applyFont="1" applyBorder="1" applyAlignment="1">
      <alignment horizontal="center" vertical="top"/>
    </xf>
    <xf numFmtId="0" fontId="7" fillId="0" borderId="41" xfId="19" applyFont="1" applyBorder="1" applyAlignment="1">
      <alignment vertical="top"/>
    </xf>
    <xf numFmtId="0" fontId="4" fillId="0" borderId="0" xfId="19" applyFont="1" applyAlignment="1">
      <alignment horizontal="left" vertical="top"/>
    </xf>
    <xf numFmtId="0" fontId="4" fillId="0" borderId="0" xfId="19" applyFont="1" applyAlignment="1">
      <alignment horizontal="left" vertical="top" wrapText="1"/>
    </xf>
    <xf numFmtId="43" fontId="4" fillId="0" borderId="0" xfId="23" applyFont="1" applyFill="1" applyBorder="1" applyAlignment="1">
      <alignment horizontal="left" vertical="top"/>
    </xf>
    <xf numFmtId="0" fontId="7" fillId="0" borderId="0" xfId="19" applyFont="1" applyAlignment="1">
      <alignment horizontal="right" vertical="top"/>
    </xf>
    <xf numFmtId="0" fontId="4" fillId="0" borderId="38" xfId="0" applyFont="1" applyBorder="1" applyAlignment="1">
      <alignment horizontal="center" vertical="top"/>
    </xf>
    <xf numFmtId="4" fontId="57" fillId="11" borderId="37" xfId="0" applyNumberFormat="1" applyFont="1" applyFill="1" applyBorder="1" applyAlignment="1">
      <alignment vertical="center" wrapText="1"/>
    </xf>
    <xf numFmtId="165" fontId="0" fillId="0" borderId="0" xfId="0" applyNumberFormat="1" applyAlignment="1">
      <alignment vertical="center"/>
    </xf>
    <xf numFmtId="4" fontId="57" fillId="11" borderId="0" xfId="0" applyNumberFormat="1" applyFont="1" applyFill="1" applyAlignment="1">
      <alignment horizontal="right" vertical="top" wrapText="1"/>
    </xf>
    <xf numFmtId="0" fontId="57" fillId="11" borderId="0" xfId="0" applyFont="1" applyFill="1" applyAlignment="1">
      <alignment horizontal="right" vertical="top" wrapText="1"/>
    </xf>
    <xf numFmtId="172" fontId="57" fillId="11" borderId="0" xfId="0" applyNumberFormat="1" applyFont="1" applyFill="1" applyAlignment="1">
      <alignment horizontal="right" vertical="top" wrapText="1"/>
    </xf>
    <xf numFmtId="0" fontId="4" fillId="0" borderId="38" xfId="0" applyFont="1" applyBorder="1" applyAlignment="1">
      <alignment vertical="top"/>
    </xf>
    <xf numFmtId="0" fontId="0" fillId="0" borderId="38" xfId="0" applyBorder="1" applyAlignment="1">
      <alignment vertical="center"/>
    </xf>
    <xf numFmtId="4" fontId="0" fillId="0" borderId="0" xfId="0" applyNumberFormat="1"/>
    <xf numFmtId="164" fontId="4" fillId="0" borderId="0" xfId="0" applyNumberFormat="1" applyFont="1" applyAlignment="1">
      <alignment horizontal="left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166" fontId="4" fillId="0" borderId="0" xfId="0" applyNumberFormat="1" applyFont="1" applyAlignment="1">
      <alignment horizontal="right" vertical="center"/>
    </xf>
    <xf numFmtId="0" fontId="27" fillId="10" borderId="1" xfId="4" applyFont="1" applyFill="1" applyBorder="1" applyAlignment="1">
      <alignment horizontal="right" vertical="center" wrapText="1"/>
    </xf>
    <xf numFmtId="0" fontId="26" fillId="10" borderId="14" xfId="4" applyFont="1" applyFill="1" applyBorder="1" applyAlignment="1">
      <alignment horizontal="center" vertical="center" wrapText="1"/>
    </xf>
    <xf numFmtId="0" fontId="13" fillId="0" borderId="38" xfId="4" applyFont="1" applyBorder="1"/>
    <xf numFmtId="0" fontId="13" fillId="0" borderId="0" xfId="4" applyFont="1"/>
    <xf numFmtId="0" fontId="8" fillId="0" borderId="0" xfId="4" applyFont="1" applyAlignment="1">
      <alignment horizontal="left" vertical="top"/>
    </xf>
    <xf numFmtId="14" fontId="8" fillId="0" borderId="0" xfId="4" applyNumberFormat="1" applyFont="1" applyAlignment="1">
      <alignment horizontal="left" vertical="top"/>
    </xf>
    <xf numFmtId="0" fontId="8" fillId="0" borderId="0" xfId="4" applyFont="1" applyAlignment="1">
      <alignment horizontal="left" vertical="top" wrapText="1"/>
    </xf>
    <xf numFmtId="10" fontId="8" fillId="0" borderId="0" xfId="4" applyNumberFormat="1" applyFont="1" applyAlignment="1">
      <alignment horizontal="left" vertical="top"/>
    </xf>
    <xf numFmtId="0" fontId="8" fillId="0" borderId="0" xfId="4" applyFont="1" applyAlignment="1">
      <alignment vertical="center"/>
    </xf>
    <xf numFmtId="0" fontId="8" fillId="0" borderId="0" xfId="4" applyFont="1" applyAlignment="1">
      <alignment horizontal="center" vertical="center"/>
    </xf>
    <xf numFmtId="0" fontId="8" fillId="0" borderId="0" xfId="4" applyFont="1" applyAlignment="1">
      <alignment vertical="center" wrapText="1"/>
    </xf>
    <xf numFmtId="2" fontId="8" fillId="0" borderId="0" xfId="4" applyNumberFormat="1" applyFont="1" applyAlignment="1">
      <alignment vertical="center"/>
    </xf>
    <xf numFmtId="166" fontId="8" fillId="0" borderId="0" xfId="4" applyNumberFormat="1" applyFont="1" applyAlignment="1">
      <alignment horizontal="center" vertical="center"/>
    </xf>
    <xf numFmtId="43" fontId="12" fillId="0" borderId="0" xfId="4" applyNumberFormat="1"/>
    <xf numFmtId="173" fontId="12" fillId="0" borderId="0" xfId="24"/>
    <xf numFmtId="174" fontId="29" fillId="11" borderId="14" xfId="25" applyFont="1" applyFill="1" applyBorder="1" applyAlignment="1">
      <alignment horizontal="center" vertical="center"/>
    </xf>
    <xf numFmtId="174" fontId="29" fillId="11" borderId="14" xfId="25" applyFont="1" applyFill="1" applyBorder="1" applyAlignment="1">
      <alignment horizontal="left" vertical="center"/>
    </xf>
    <xf numFmtId="174" fontId="29" fillId="11" borderId="15" xfId="25" applyFont="1" applyFill="1" applyBorder="1" applyAlignment="1">
      <alignment horizontal="center" vertical="center"/>
    </xf>
    <xf numFmtId="174" fontId="27" fillId="10" borderId="1" xfId="25" applyFont="1" applyFill="1" applyBorder="1" applyAlignment="1">
      <alignment horizontal="right" vertical="center" wrapText="1"/>
    </xf>
    <xf numFmtId="174" fontId="26" fillId="10" borderId="17" xfId="25" applyFont="1" applyFill="1" applyBorder="1" applyAlignment="1">
      <alignment horizontal="right" vertical="center" wrapText="1"/>
    </xf>
    <xf numFmtId="174" fontId="12" fillId="10" borderId="19" xfId="25" applyFill="1" applyBorder="1" applyAlignment="1">
      <alignment vertical="center"/>
    </xf>
    <xf numFmtId="174" fontId="27" fillId="10" borderId="19" xfId="25" applyFont="1" applyFill="1" applyBorder="1" applyAlignment="1">
      <alignment horizontal="right" vertical="center" wrapText="1"/>
    </xf>
    <xf numFmtId="174" fontId="26" fillId="10" borderId="19" xfId="25" applyFont="1" applyFill="1" applyBorder="1" applyAlignment="1">
      <alignment horizontal="right" vertical="center" wrapText="1"/>
    </xf>
    <xf numFmtId="174" fontId="26" fillId="10" borderId="20" xfId="25" applyFont="1" applyFill="1" applyBorder="1" applyAlignment="1">
      <alignment horizontal="center" vertical="center" wrapText="1"/>
    </xf>
    <xf numFmtId="174" fontId="29" fillId="11" borderId="14" xfId="25" applyFont="1" applyFill="1" applyBorder="1" applyAlignment="1">
      <alignment horizontal="center" vertical="center" wrapText="1"/>
    </xf>
    <xf numFmtId="173" fontId="27" fillId="10" borderId="1" xfId="24" applyFont="1" applyFill="1" applyBorder="1" applyAlignment="1">
      <alignment horizontal="right" vertical="center" wrapText="1"/>
    </xf>
    <xf numFmtId="173" fontId="29" fillId="11" borderId="14" xfId="24" applyFont="1" applyFill="1" applyBorder="1" applyAlignment="1">
      <alignment horizontal="center" vertical="center" wrapText="1"/>
    </xf>
    <xf numFmtId="173" fontId="29" fillId="11" borderId="14" xfId="24" applyFont="1" applyFill="1" applyBorder="1" applyAlignment="1">
      <alignment horizontal="center" vertical="center"/>
    </xf>
    <xf numFmtId="0" fontId="25" fillId="0" borderId="0" xfId="27" applyFont="1" applyAlignment="1">
      <alignment vertical="center" wrapText="1"/>
    </xf>
    <xf numFmtId="0" fontId="33" fillId="0" borderId="0" xfId="4" applyFont="1"/>
    <xf numFmtId="0" fontId="34" fillId="0" borderId="0" xfId="4" applyFont="1" applyAlignment="1">
      <alignment horizontal="left" vertical="top"/>
    </xf>
    <xf numFmtId="0" fontId="34" fillId="0" borderId="0" xfId="4" applyFont="1" applyAlignment="1">
      <alignment vertical="top"/>
    </xf>
    <xf numFmtId="0" fontId="32" fillId="0" borderId="0" xfId="4" applyFont="1" applyAlignment="1">
      <alignment horizontal="left" vertical="top"/>
    </xf>
    <xf numFmtId="0" fontId="32" fillId="0" borderId="0" xfId="4" applyFont="1" applyAlignment="1">
      <alignment horizontal="left" vertical="top" wrapText="1"/>
    </xf>
    <xf numFmtId="0" fontId="32" fillId="0" borderId="0" xfId="4" applyFont="1" applyAlignment="1">
      <alignment horizontal="center" vertical="top"/>
    </xf>
    <xf numFmtId="173" fontId="32" fillId="0" borderId="0" xfId="24" applyFont="1" applyFill="1" applyBorder="1" applyAlignment="1">
      <alignment horizontal="left" vertical="top"/>
    </xf>
    <xf numFmtId="173" fontId="8" fillId="0" borderId="0" xfId="24" applyFont="1" applyFill="1" applyBorder="1" applyAlignment="1">
      <alignment horizontal="left" vertical="top"/>
    </xf>
    <xf numFmtId="0" fontId="25" fillId="0" borderId="0" xfId="27" applyFont="1" applyAlignment="1">
      <alignment vertical="center"/>
    </xf>
    <xf numFmtId="0" fontId="25" fillId="0" borderId="0" xfId="27" applyFont="1" applyAlignment="1">
      <alignment horizontal="center" vertical="center"/>
    </xf>
    <xf numFmtId="174" fontId="25" fillId="0" borderId="0" xfId="25" applyFont="1" applyAlignment="1">
      <alignment vertical="center"/>
    </xf>
    <xf numFmtId="0" fontId="21" fillId="15" borderId="78" xfId="0" applyFont="1" applyFill="1" applyBorder="1" applyAlignment="1">
      <alignment horizontal="left" vertical="top" wrapText="1"/>
    </xf>
    <xf numFmtId="174" fontId="29" fillId="11" borderId="80" xfId="25" applyFont="1" applyFill="1" applyBorder="1" applyAlignment="1">
      <alignment horizontal="center" vertical="center"/>
    </xf>
    <xf numFmtId="0" fontId="63" fillId="10" borderId="79" xfId="4" applyFont="1" applyFill="1" applyBorder="1" applyAlignment="1">
      <alignment horizontal="center" vertical="center" wrapText="1"/>
    </xf>
    <xf numFmtId="0" fontId="63" fillId="10" borderId="76" xfId="4" applyFont="1" applyFill="1" applyBorder="1" applyAlignment="1">
      <alignment horizontal="center" vertical="center" wrapText="1"/>
    </xf>
    <xf numFmtId="0" fontId="64" fillId="11" borderId="76" xfId="4" applyFont="1" applyFill="1" applyBorder="1" applyAlignment="1">
      <alignment horizontal="center" vertical="center"/>
    </xf>
    <xf numFmtId="174" fontId="64" fillId="11" borderId="76" xfId="25" applyFont="1" applyFill="1" applyBorder="1" applyAlignment="1">
      <alignment horizontal="center" vertical="center"/>
    </xf>
    <xf numFmtId="174" fontId="64" fillId="11" borderId="76" xfId="25" applyFont="1" applyFill="1" applyBorder="1" applyAlignment="1">
      <alignment horizontal="center" vertical="center" wrapText="1"/>
    </xf>
    <xf numFmtId="0" fontId="62" fillId="0" borderId="1" xfId="4" applyFont="1" applyBorder="1" applyAlignment="1">
      <alignment horizontal="center" vertical="center" wrapText="1"/>
    </xf>
    <xf numFmtId="0" fontId="63" fillId="10" borderId="76" xfId="4" applyFont="1" applyFill="1" applyBorder="1" applyAlignment="1">
      <alignment horizontal="right" vertical="center" wrapText="1"/>
    </xf>
    <xf numFmtId="49" fontId="4" fillId="5" borderId="12" xfId="0" applyNumberFormat="1" applyFont="1" applyFill="1" applyBorder="1"/>
    <xf numFmtId="0" fontId="12" fillId="0" borderId="0" xfId="4" applyAlignment="1">
      <alignment horizontal="left"/>
    </xf>
    <xf numFmtId="174" fontId="29" fillId="10" borderId="14" xfId="25" applyFont="1" applyFill="1" applyBorder="1" applyAlignment="1">
      <alignment horizontal="center" vertical="center" wrapText="1"/>
    </xf>
    <xf numFmtId="2" fontId="26" fillId="10" borderId="14" xfId="4" applyNumberFormat="1" applyFont="1" applyFill="1" applyBorder="1" applyAlignment="1">
      <alignment horizontal="center" vertical="center" wrapText="1"/>
    </xf>
    <xf numFmtId="0" fontId="65" fillId="10" borderId="1" xfId="0" applyFont="1" applyFill="1" applyBorder="1" applyAlignment="1">
      <alignment horizontal="center" vertical="center" wrapText="1"/>
    </xf>
    <xf numFmtId="0" fontId="27" fillId="0" borderId="13" xfId="4" applyFont="1" applyBorder="1" applyAlignment="1">
      <alignment horizontal="center" vertical="center" wrapText="1"/>
    </xf>
    <xf numFmtId="0" fontId="27" fillId="0" borderId="14" xfId="4" applyFont="1" applyBorder="1" applyAlignment="1">
      <alignment horizontal="center" vertical="center" wrapText="1"/>
    </xf>
    <xf numFmtId="0" fontId="26" fillId="0" borderId="14" xfId="4" applyFont="1" applyBorder="1" applyAlignment="1">
      <alignment vertical="center" wrapText="1"/>
    </xf>
    <xf numFmtId="0" fontId="26" fillId="0" borderId="14" xfId="4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2" fontId="27" fillId="10" borderId="1" xfId="4" applyNumberFormat="1" applyFont="1" applyFill="1" applyBorder="1" applyAlignment="1">
      <alignment horizontal="center" vertical="center" wrapText="1"/>
    </xf>
    <xf numFmtId="174" fontId="29" fillId="11" borderId="14" xfId="25" applyFont="1" applyFill="1" applyBorder="1" applyAlignment="1">
      <alignment wrapText="1"/>
    </xf>
    <xf numFmtId="174" fontId="29" fillId="11" borderId="14" xfId="25" applyFont="1" applyFill="1" applyBorder="1" applyAlignment="1">
      <alignment horizontal="left" vertical="center" wrapText="1"/>
    </xf>
    <xf numFmtId="4" fontId="12" fillId="0" borderId="0" xfId="4" applyNumberFormat="1"/>
    <xf numFmtId="0" fontId="27" fillId="10" borderId="79" xfId="4" applyFont="1" applyFill="1" applyBorder="1" applyAlignment="1">
      <alignment horizontal="center" vertical="center" wrapText="1"/>
    </xf>
    <xf numFmtId="0" fontId="65" fillId="10" borderId="76" xfId="0" applyFont="1" applyFill="1" applyBorder="1" applyAlignment="1">
      <alignment horizontal="center" vertical="center" wrapText="1"/>
    </xf>
    <xf numFmtId="0" fontId="26" fillId="10" borderId="76" xfId="4" applyFont="1" applyFill="1" applyBorder="1" applyAlignment="1">
      <alignment vertical="center" wrapText="1"/>
    </xf>
    <xf numFmtId="0" fontId="26" fillId="10" borderId="76" xfId="4" applyFont="1" applyFill="1" applyBorder="1" applyAlignment="1">
      <alignment horizontal="center" vertical="center" wrapText="1"/>
    </xf>
    <xf numFmtId="0" fontId="29" fillId="11" borderId="76" xfId="4" applyFont="1" applyFill="1" applyBorder="1" applyAlignment="1">
      <alignment horizontal="center" vertical="center"/>
    </xf>
    <xf numFmtId="174" fontId="29" fillId="11" borderId="76" xfId="25" applyFont="1" applyFill="1" applyBorder="1" applyAlignment="1">
      <alignment horizontal="center" vertical="center"/>
    </xf>
    <xf numFmtId="174" fontId="29" fillId="11" borderId="76" xfId="25" applyFont="1" applyFill="1" applyBorder="1" applyAlignment="1">
      <alignment horizontal="left" vertical="center"/>
    </xf>
    <xf numFmtId="2" fontId="12" fillId="0" borderId="0" xfId="4" applyNumberFormat="1"/>
    <xf numFmtId="0" fontId="26" fillId="10" borderId="1" xfId="4" applyFont="1" applyFill="1" applyBorder="1" applyAlignment="1">
      <alignment horizontal="right" vertical="center" wrapText="1"/>
    </xf>
    <xf numFmtId="175" fontId="27" fillId="10" borderId="1" xfId="25" applyNumberFormat="1" applyFont="1" applyFill="1" applyBorder="1" applyAlignment="1">
      <alignment horizontal="right" vertical="center" wrapText="1"/>
    </xf>
    <xf numFmtId="4" fontId="27" fillId="10" borderId="1" xfId="4" applyNumberFormat="1" applyFont="1" applyFill="1" applyBorder="1" applyAlignment="1">
      <alignment horizontal="center" vertical="center" wrapText="1"/>
    </xf>
    <xf numFmtId="0" fontId="60" fillId="16" borderId="77" xfId="10" applyFont="1" applyFill="1" applyBorder="1" applyAlignment="1">
      <alignment horizontal="left" vertical="top" wrapText="1"/>
    </xf>
    <xf numFmtId="0" fontId="60" fillId="17" borderId="77" xfId="10" applyFont="1" applyFill="1" applyBorder="1" applyAlignment="1">
      <alignment horizontal="left" vertical="top" wrapText="1"/>
    </xf>
    <xf numFmtId="0" fontId="60" fillId="11" borderId="0" xfId="10" applyFont="1" applyFill="1" applyAlignment="1">
      <alignment horizontal="right" vertical="top" wrapText="1"/>
    </xf>
    <xf numFmtId="0" fontId="21" fillId="15" borderId="77" xfId="10" applyFont="1" applyFill="1" applyBorder="1" applyAlignment="1">
      <alignment horizontal="left" vertical="top" wrapText="1"/>
    </xf>
    <xf numFmtId="0" fontId="59" fillId="11" borderId="77" xfId="10" applyFont="1" applyFill="1" applyBorder="1" applyAlignment="1">
      <alignment horizontal="left" vertical="top" wrapText="1"/>
    </xf>
    <xf numFmtId="0" fontId="59" fillId="11" borderId="77" xfId="10" applyFont="1" applyFill="1" applyBorder="1" applyAlignment="1">
      <alignment horizontal="right" vertical="top" wrapText="1"/>
    </xf>
    <xf numFmtId="0" fontId="59" fillId="11" borderId="77" xfId="10" applyFont="1" applyFill="1" applyBorder="1" applyAlignment="1">
      <alignment horizontal="center" vertical="top" wrapText="1"/>
    </xf>
    <xf numFmtId="0" fontId="21" fillId="15" borderId="77" xfId="10" applyFont="1" applyFill="1" applyBorder="1" applyAlignment="1">
      <alignment horizontal="center" vertical="top" wrapText="1"/>
    </xf>
    <xf numFmtId="0" fontId="21" fillId="15" borderId="77" xfId="10" applyFont="1" applyFill="1" applyBorder="1" applyAlignment="1">
      <alignment horizontal="right" vertical="top" wrapText="1"/>
    </xf>
    <xf numFmtId="4" fontId="21" fillId="15" borderId="77" xfId="10" applyNumberFormat="1" applyFont="1" applyFill="1" applyBorder="1" applyAlignment="1">
      <alignment horizontal="right" vertical="top" wrapText="1"/>
    </xf>
    <xf numFmtId="172" fontId="21" fillId="15" borderId="77" xfId="10" applyNumberFormat="1" applyFont="1" applyFill="1" applyBorder="1" applyAlignment="1">
      <alignment horizontal="right" vertical="top" wrapText="1"/>
    </xf>
    <xf numFmtId="0" fontId="21" fillId="15" borderId="78" xfId="10" applyFont="1" applyFill="1" applyBorder="1" applyAlignment="1">
      <alignment horizontal="left" vertical="top" wrapText="1"/>
    </xf>
    <xf numFmtId="0" fontId="60" fillId="16" borderId="77" xfId="10" applyFont="1" applyFill="1" applyBorder="1" applyAlignment="1">
      <alignment horizontal="center" vertical="top" wrapText="1"/>
    </xf>
    <xf numFmtId="0" fontId="60" fillId="16" borderId="77" xfId="10" applyFont="1" applyFill="1" applyBorder="1" applyAlignment="1">
      <alignment horizontal="right" vertical="top" wrapText="1"/>
    </xf>
    <xf numFmtId="4" fontId="60" fillId="16" borderId="77" xfId="10" applyNumberFormat="1" applyFont="1" applyFill="1" applyBorder="1" applyAlignment="1">
      <alignment horizontal="right" vertical="top" wrapText="1"/>
    </xf>
    <xf numFmtId="172" fontId="60" fillId="16" borderId="77" xfId="10" applyNumberFormat="1" applyFont="1" applyFill="1" applyBorder="1" applyAlignment="1">
      <alignment horizontal="right" vertical="top" wrapText="1"/>
    </xf>
    <xf numFmtId="0" fontId="60" fillId="17" borderId="77" xfId="10" applyFont="1" applyFill="1" applyBorder="1" applyAlignment="1">
      <alignment horizontal="center" vertical="top" wrapText="1"/>
    </xf>
    <xf numFmtId="0" fontId="60" fillId="17" borderId="77" xfId="10" applyFont="1" applyFill="1" applyBorder="1" applyAlignment="1">
      <alignment horizontal="right" vertical="top" wrapText="1"/>
    </xf>
    <xf numFmtId="4" fontId="60" fillId="17" borderId="77" xfId="10" applyNumberFormat="1" applyFont="1" applyFill="1" applyBorder="1" applyAlignment="1">
      <alignment horizontal="right" vertical="top" wrapText="1"/>
    </xf>
    <xf numFmtId="172" fontId="60" fillId="17" borderId="77" xfId="10" applyNumberFormat="1" applyFont="1" applyFill="1" applyBorder="1" applyAlignment="1">
      <alignment horizontal="right" vertical="top" wrapText="1"/>
    </xf>
    <xf numFmtId="4" fontId="60" fillId="11" borderId="0" xfId="10" applyNumberFormat="1" applyFont="1" applyFill="1" applyAlignment="1">
      <alignment horizontal="right" vertical="top" wrapText="1"/>
    </xf>
    <xf numFmtId="0" fontId="27" fillId="10" borderId="83" xfId="4" applyFont="1" applyFill="1" applyBorder="1" applyAlignment="1">
      <alignment horizontal="center" vertical="center" wrapText="1"/>
    </xf>
    <xf numFmtId="0" fontId="27" fillId="10" borderId="41" xfId="4" applyFont="1" applyFill="1" applyBorder="1" applyAlignment="1">
      <alignment horizontal="center" vertical="center" wrapText="1"/>
    </xf>
    <xf numFmtId="0" fontId="27" fillId="10" borderId="84" xfId="4" applyFont="1" applyFill="1" applyBorder="1" applyAlignment="1">
      <alignment horizontal="right" vertical="center" wrapText="1"/>
    </xf>
    <xf numFmtId="0" fontId="27" fillId="10" borderId="56" xfId="4" applyFont="1" applyFill="1" applyBorder="1" applyAlignment="1">
      <alignment horizontal="center" vertical="center" wrapText="1"/>
    </xf>
    <xf numFmtId="174" fontId="27" fillId="10" borderId="56" xfId="25" applyFont="1" applyFill="1" applyBorder="1" applyAlignment="1">
      <alignment horizontal="right" vertical="center" wrapText="1"/>
    </xf>
    <xf numFmtId="174" fontId="26" fillId="10" borderId="57" xfId="25" applyFont="1" applyFill="1" applyBorder="1" applyAlignment="1">
      <alignment horizontal="right" vertical="center" wrapText="1"/>
    </xf>
    <xf numFmtId="175" fontId="27" fillId="10" borderId="56" xfId="25" applyNumberFormat="1" applyFont="1" applyFill="1" applyBorder="1" applyAlignment="1">
      <alignment horizontal="right" vertical="center" wrapText="1"/>
    </xf>
    <xf numFmtId="173" fontId="27" fillId="10" borderId="56" xfId="24" applyFont="1" applyFill="1" applyBorder="1" applyAlignment="1">
      <alignment horizontal="right" vertical="center" wrapText="1"/>
    </xf>
    <xf numFmtId="0" fontId="63" fillId="10" borderId="1" xfId="4" applyFont="1" applyFill="1" applyBorder="1" applyAlignment="1">
      <alignment horizontal="right" vertical="center" wrapText="1"/>
    </xf>
    <xf numFmtId="0" fontId="63" fillId="10" borderId="84" xfId="4" applyFont="1" applyFill="1" applyBorder="1" applyAlignment="1">
      <alignment horizontal="right" vertical="center" wrapText="1"/>
    </xf>
    <xf numFmtId="4" fontId="27" fillId="10" borderId="56" xfId="4" applyNumberFormat="1" applyFont="1" applyFill="1" applyBorder="1" applyAlignment="1">
      <alignment horizontal="center" vertical="center" wrapText="1"/>
    </xf>
    <xf numFmtId="174" fontId="27" fillId="10" borderId="1" xfId="4" applyNumberFormat="1" applyFont="1" applyFill="1" applyBorder="1" applyAlignment="1">
      <alignment horizontal="center" vertical="center" wrapText="1"/>
    </xf>
    <xf numFmtId="4" fontId="12" fillId="0" borderId="0" xfId="4" applyNumberFormat="1" applyAlignment="1">
      <alignment horizontal="center"/>
    </xf>
    <xf numFmtId="0" fontId="44" fillId="0" borderId="0" xfId="4" applyFont="1" applyAlignment="1">
      <alignment horizontal="center" vertical="center" wrapText="1"/>
    </xf>
    <xf numFmtId="174" fontId="66" fillId="10" borderId="1" xfId="25" applyFont="1" applyFill="1" applyBorder="1" applyAlignment="1">
      <alignment horizontal="right" vertical="center" wrapText="1"/>
    </xf>
    <xf numFmtId="0" fontId="29" fillId="0" borderId="14" xfId="4" applyFont="1" applyBorder="1" applyAlignment="1">
      <alignment horizontal="center" vertical="center"/>
    </xf>
    <xf numFmtId="173" fontId="29" fillId="0" borderId="14" xfId="24" applyFont="1" applyFill="1" applyBorder="1" applyAlignment="1">
      <alignment horizontal="center" vertical="center"/>
    </xf>
    <xf numFmtId="173" fontId="29" fillId="0" borderId="14" xfId="24" applyFont="1" applyFill="1" applyBorder="1" applyAlignment="1">
      <alignment horizontal="center" vertical="center" wrapText="1"/>
    </xf>
    <xf numFmtId="174" fontId="29" fillId="0" borderId="15" xfId="25" applyFont="1" applyFill="1" applyBorder="1" applyAlignment="1">
      <alignment horizontal="center" vertical="center"/>
    </xf>
    <xf numFmtId="0" fontId="27" fillId="0" borderId="16" xfId="4" applyFont="1" applyBorder="1" applyAlignment="1">
      <alignment horizontal="center" vertical="center" wrapText="1"/>
    </xf>
    <xf numFmtId="0" fontId="27" fillId="0" borderId="1" xfId="4" applyFont="1" applyBorder="1" applyAlignment="1">
      <alignment horizontal="center" vertical="center" wrapText="1"/>
    </xf>
    <xf numFmtId="0" fontId="27" fillId="0" borderId="1" xfId="4" applyFont="1" applyBorder="1" applyAlignment="1">
      <alignment horizontal="right" vertical="center" wrapText="1"/>
    </xf>
    <xf numFmtId="174" fontId="27" fillId="0" borderId="1" xfId="25" applyFont="1" applyFill="1" applyBorder="1" applyAlignment="1">
      <alignment horizontal="right" vertical="center" wrapText="1"/>
    </xf>
    <xf numFmtId="174" fontId="26" fillId="0" borderId="17" xfId="25" applyFont="1" applyFill="1" applyBorder="1" applyAlignment="1">
      <alignment horizontal="right" vertical="center" wrapText="1"/>
    </xf>
    <xf numFmtId="0" fontId="12" fillId="0" borderId="19" xfId="4" applyBorder="1" applyAlignment="1">
      <alignment vertical="center"/>
    </xf>
    <xf numFmtId="174" fontId="12" fillId="0" borderId="19" xfId="25" applyFill="1" applyBorder="1" applyAlignment="1">
      <alignment vertical="center"/>
    </xf>
    <xf numFmtId="174" fontId="27" fillId="0" borderId="19" xfId="25" applyFont="1" applyFill="1" applyBorder="1" applyAlignment="1">
      <alignment horizontal="right" vertical="center" wrapText="1"/>
    </xf>
    <xf numFmtId="174" fontId="26" fillId="0" borderId="19" xfId="25" applyFont="1" applyFill="1" applyBorder="1" applyAlignment="1">
      <alignment horizontal="right" vertical="center" wrapText="1"/>
    </xf>
    <xf numFmtId="174" fontId="26" fillId="0" borderId="20" xfId="25" applyFont="1" applyFill="1" applyBorder="1" applyAlignment="1">
      <alignment horizontal="center" vertical="center" wrapText="1"/>
    </xf>
    <xf numFmtId="174" fontId="29" fillId="11" borderId="1" xfId="25" applyFont="1" applyFill="1" applyBorder="1" applyAlignment="1">
      <alignment horizontal="center" vertical="center"/>
    </xf>
    <xf numFmtId="0" fontId="0" fillId="0" borderId="1" xfId="0" applyBorder="1"/>
    <xf numFmtId="174" fontId="63" fillId="10" borderId="17" xfId="25" applyFont="1" applyFill="1" applyBorder="1" applyAlignment="1">
      <alignment horizontal="right" vertical="center" wrapText="1"/>
    </xf>
    <xf numFmtId="0" fontId="0" fillId="0" borderId="16" xfId="0" applyBorder="1"/>
    <xf numFmtId="174" fontId="0" fillId="0" borderId="0" xfId="0" applyNumberFormat="1"/>
    <xf numFmtId="0" fontId="26" fillId="0" borderId="1" xfId="4" applyFont="1" applyBorder="1" applyAlignment="1">
      <alignment horizontal="right" vertical="center" wrapText="1"/>
    </xf>
    <xf numFmtId="174" fontId="63" fillId="0" borderId="17" xfId="25" applyFont="1" applyFill="1" applyBorder="1" applyAlignment="1">
      <alignment horizontal="right" vertical="center" wrapText="1"/>
    </xf>
    <xf numFmtId="174" fontId="63" fillId="10" borderId="1" xfId="4" applyNumberFormat="1" applyFont="1" applyFill="1" applyBorder="1" applyAlignment="1">
      <alignment horizontal="center" vertical="center" wrapText="1"/>
    </xf>
    <xf numFmtId="0" fontId="65" fillId="10" borderId="16" xfId="0" applyFont="1" applyFill="1" applyBorder="1" applyAlignment="1">
      <alignment horizontal="center" vertical="center" wrapText="1"/>
    </xf>
    <xf numFmtId="0" fontId="65" fillId="10" borderId="13" xfId="0" applyFont="1" applyFill="1" applyBorder="1" applyAlignment="1">
      <alignment horizontal="center" vertical="center" wrapText="1"/>
    </xf>
    <xf numFmtId="0" fontId="65" fillId="10" borderId="14" xfId="0" applyFont="1" applyFill="1" applyBorder="1" applyAlignment="1">
      <alignment horizontal="center" vertical="center" wrapText="1"/>
    </xf>
    <xf numFmtId="0" fontId="30" fillId="9" borderId="93" xfId="4" applyFont="1" applyFill="1" applyBorder="1" applyAlignment="1">
      <alignment horizontal="center" vertical="center" wrapText="1"/>
    </xf>
    <xf numFmtId="0" fontId="30" fillId="9" borderId="94" xfId="4" applyFont="1" applyFill="1" applyBorder="1" applyAlignment="1">
      <alignment horizontal="center" vertical="center" wrapText="1"/>
    </xf>
    <xf numFmtId="0" fontId="30" fillId="9" borderId="95" xfId="4" applyFont="1" applyFill="1" applyBorder="1" applyAlignment="1">
      <alignment horizontal="center" vertical="center" wrapText="1"/>
    </xf>
    <xf numFmtId="0" fontId="12" fillId="0" borderId="82" xfId="4" applyBorder="1" applyAlignment="1">
      <alignment horizontal="center" vertical="center"/>
    </xf>
    <xf numFmtId="173" fontId="25" fillId="10" borderId="1" xfId="24" applyFont="1" applyFill="1" applyBorder="1" applyAlignment="1">
      <alignment horizontal="right" vertical="center" wrapText="1"/>
    </xf>
    <xf numFmtId="0" fontId="10" fillId="4" borderId="0" xfId="0" applyFont="1" applyFill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43" fillId="0" borderId="1" xfId="4" applyFont="1" applyBorder="1" applyAlignment="1">
      <alignment horizontal="center" vertical="center" wrapText="1"/>
    </xf>
    <xf numFmtId="0" fontId="12" fillId="0" borderId="1" xfId="4" applyBorder="1" applyAlignment="1">
      <alignment horizontal="left" vertical="center" wrapText="1"/>
    </xf>
    <xf numFmtId="0" fontId="50" fillId="0" borderId="0" xfId="4" applyFont="1" applyAlignment="1">
      <alignment horizontal="left" vertical="center" wrapText="1"/>
    </xf>
    <xf numFmtId="2" fontId="51" fillId="0" borderId="41" xfId="4" applyNumberFormat="1" applyFont="1" applyBorder="1" applyAlignment="1">
      <alignment horizontal="center" vertical="center"/>
    </xf>
    <xf numFmtId="0" fontId="53" fillId="0" borderId="0" xfId="4" applyFont="1" applyAlignment="1">
      <alignment horizontal="left" vertical="center"/>
    </xf>
    <xf numFmtId="0" fontId="12" fillId="0" borderId="0" xfId="4" applyAlignment="1">
      <alignment horizontal="center" vertical="center"/>
    </xf>
    <xf numFmtId="0" fontId="54" fillId="0" borderId="0" xfId="17" applyFont="1" applyAlignment="1">
      <alignment horizontal="right" vertical="center"/>
    </xf>
    <xf numFmtId="0" fontId="55" fillId="0" borderId="0" xfId="17" applyFont="1" applyAlignment="1">
      <alignment horizontal="center" vertical="center"/>
    </xf>
    <xf numFmtId="0" fontId="54" fillId="0" borderId="0" xfId="17" quotePrefix="1" applyFont="1" applyAlignment="1">
      <alignment horizontal="left" vertical="center"/>
    </xf>
    <xf numFmtId="0" fontId="54" fillId="0" borderId="0" xfId="17" applyFont="1" applyAlignment="1">
      <alignment horizontal="left" vertical="center"/>
    </xf>
    <xf numFmtId="0" fontId="54" fillId="0" borderId="0" xfId="17" applyFont="1" applyAlignment="1">
      <alignment horizontal="center" vertical="center"/>
    </xf>
    <xf numFmtId="170" fontId="12" fillId="0" borderId="0" xfId="4" applyNumberFormat="1" applyAlignment="1">
      <alignment horizontal="left" vertical="center"/>
    </xf>
    <xf numFmtId="49" fontId="12" fillId="14" borderId="58" xfId="4" applyNumberFormat="1" applyFill="1" applyBorder="1" applyAlignment="1" applyProtection="1">
      <alignment horizontal="left" vertical="center" wrapText="1"/>
      <protection locked="0"/>
    </xf>
    <xf numFmtId="49" fontId="12" fillId="14" borderId="66" xfId="4" applyNumberFormat="1" applyFill="1" applyBorder="1" applyAlignment="1" applyProtection="1">
      <alignment horizontal="left" vertical="center" wrapText="1"/>
      <protection locked="0"/>
    </xf>
    <xf numFmtId="49" fontId="12" fillId="14" borderId="67" xfId="4" applyNumberFormat="1" applyFill="1" applyBorder="1" applyAlignment="1" applyProtection="1">
      <alignment horizontal="left" vertical="center" wrapText="1"/>
      <protection locked="0"/>
    </xf>
    <xf numFmtId="170" fontId="12" fillId="0" borderId="38" xfId="4" applyNumberFormat="1" applyBorder="1" applyAlignment="1">
      <alignment horizontal="left" vertical="center"/>
    </xf>
    <xf numFmtId="164" fontId="12" fillId="0" borderId="38" xfId="4" applyNumberFormat="1" applyBorder="1" applyAlignment="1">
      <alignment horizontal="left" vertical="center"/>
    </xf>
    <xf numFmtId="0" fontId="44" fillId="0" borderId="0" xfId="4" applyFont="1" applyAlignment="1">
      <alignment horizontal="left" vertical="center"/>
    </xf>
    <xf numFmtId="0" fontId="28" fillId="0" borderId="0" xfId="4" applyFont="1" applyAlignment="1">
      <alignment horizontal="left" vertical="center"/>
    </xf>
    <xf numFmtId="0" fontId="12" fillId="0" borderId="41" xfId="4" applyBorder="1" applyAlignment="1">
      <alignment horizontal="center" vertical="center"/>
    </xf>
    <xf numFmtId="0" fontId="48" fillId="0" borderId="0" xfId="4" applyFont="1" applyAlignment="1">
      <alignment horizontal="center" vertical="top" wrapText="1"/>
    </xf>
    <xf numFmtId="0" fontId="12" fillId="0" borderId="1" xfId="4" applyBorder="1" applyAlignment="1">
      <alignment horizontal="left" vertical="center"/>
    </xf>
    <xf numFmtId="0" fontId="28" fillId="0" borderId="1" xfId="4" applyFont="1" applyBorder="1" applyAlignment="1">
      <alignment horizontal="center" vertical="center"/>
    </xf>
    <xf numFmtId="4" fontId="28" fillId="0" borderId="1" xfId="4" applyNumberFormat="1" applyFont="1" applyBorder="1" applyAlignment="1">
      <alignment horizontal="center" vertical="center" wrapText="1"/>
    </xf>
    <xf numFmtId="0" fontId="44" fillId="0" borderId="1" xfId="4" applyFont="1" applyBorder="1" applyAlignment="1">
      <alignment horizontal="center" vertical="center"/>
    </xf>
    <xf numFmtId="0" fontId="12" fillId="0" borderId="64" xfId="4" applyBorder="1" applyAlignment="1">
      <alignment horizontal="center" vertical="center" wrapText="1"/>
    </xf>
    <xf numFmtId="0" fontId="12" fillId="0" borderId="65" xfId="4" applyBorder="1" applyAlignment="1">
      <alignment horizontal="center" vertical="center" wrapText="1"/>
    </xf>
    <xf numFmtId="0" fontId="35" fillId="0" borderId="1" xfId="4" applyFont="1" applyBorder="1" applyAlignment="1">
      <alignment horizontal="left" vertical="center" wrapText="1"/>
    </xf>
    <xf numFmtId="10" fontId="35" fillId="14" borderId="1" xfId="4" applyNumberFormat="1" applyFont="1" applyFill="1" applyBorder="1" applyAlignment="1" applyProtection="1">
      <alignment horizontal="center" vertical="center"/>
      <protection locked="0"/>
    </xf>
    <xf numFmtId="0" fontId="35" fillId="0" borderId="1" xfId="4" applyFont="1" applyBorder="1" applyAlignment="1">
      <alignment horizontal="left" vertical="center"/>
    </xf>
    <xf numFmtId="169" fontId="35" fillId="14" borderId="64" xfId="16" applyFont="1" applyFill="1" applyBorder="1" applyAlignment="1" applyProtection="1">
      <alignment horizontal="left" vertical="center"/>
      <protection locked="0"/>
    </xf>
    <xf numFmtId="169" fontId="35" fillId="14" borderId="38" xfId="16" applyFont="1" applyFill="1" applyBorder="1" applyAlignment="1" applyProtection="1">
      <alignment horizontal="left" vertical="center"/>
      <protection locked="0"/>
    </xf>
    <xf numFmtId="169" fontId="35" fillId="14" borderId="65" xfId="16" applyFont="1" applyFill="1" applyBorder="1" applyAlignment="1" applyProtection="1">
      <alignment horizontal="left" vertical="center"/>
      <protection locked="0"/>
    </xf>
    <xf numFmtId="0" fontId="44" fillId="0" borderId="62" xfId="18" applyFont="1" applyBorder="1" applyAlignment="1">
      <alignment horizontal="left" vertical="center"/>
    </xf>
    <xf numFmtId="0" fontId="44" fillId="0" borderId="0" xfId="18" applyFont="1" applyAlignment="1">
      <alignment horizontal="left" vertical="center"/>
    </xf>
    <xf numFmtId="0" fontId="44" fillId="0" borderId="63" xfId="18" applyFont="1" applyBorder="1" applyAlignment="1">
      <alignment horizontal="left" vertical="center"/>
    </xf>
    <xf numFmtId="0" fontId="11" fillId="0" borderId="38" xfId="0" applyFont="1" applyBorder="1" applyAlignment="1">
      <alignment horizontal="left"/>
    </xf>
    <xf numFmtId="0" fontId="4" fillId="0" borderId="0" xfId="0" applyFont="1" applyAlignment="1">
      <alignment horizontal="left" vertical="top"/>
    </xf>
    <xf numFmtId="14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2" fillId="0" borderId="64" xfId="4" applyBorder="1" applyAlignment="1">
      <alignment horizontal="left" vertical="center" wrapText="1"/>
    </xf>
    <xf numFmtId="0" fontId="12" fillId="0" borderId="65" xfId="4" applyBorder="1" applyAlignment="1">
      <alignment horizontal="left" vertical="center" wrapText="1"/>
    </xf>
    <xf numFmtId="49" fontId="12" fillId="0" borderId="64" xfId="4" applyNumberFormat="1" applyBorder="1" applyAlignment="1">
      <alignment horizontal="left" vertical="center" wrapText="1"/>
    </xf>
    <xf numFmtId="0" fontId="12" fillId="0" borderId="38" xfId="4" applyBorder="1" applyAlignment="1">
      <alignment horizontal="left" vertical="center" wrapText="1"/>
    </xf>
    <xf numFmtId="0" fontId="44" fillId="0" borderId="41" xfId="4" applyFont="1" applyBorder="1" applyAlignment="1">
      <alignment horizontal="center" vertical="center" wrapText="1"/>
    </xf>
    <xf numFmtId="0" fontId="35" fillId="0" borderId="64" xfId="16" applyNumberFormat="1" applyFont="1" applyFill="1" applyBorder="1" applyAlignment="1" applyProtection="1">
      <alignment horizontal="left" vertical="center" wrapText="1"/>
    </xf>
    <xf numFmtId="0" fontId="35" fillId="0" borderId="38" xfId="16" applyNumberFormat="1" applyFont="1" applyFill="1" applyBorder="1" applyAlignment="1" applyProtection="1">
      <alignment horizontal="left" vertical="center" wrapText="1"/>
    </xf>
    <xf numFmtId="0" fontId="35" fillId="0" borderId="65" xfId="16" applyNumberFormat="1" applyFont="1" applyFill="1" applyBorder="1" applyAlignment="1" applyProtection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4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38" xfId="0" applyFont="1" applyBorder="1" applyAlignment="1">
      <alignment horizontal="center"/>
    </xf>
    <xf numFmtId="0" fontId="7" fillId="0" borderId="41" xfId="0" applyFont="1" applyBorder="1" applyAlignment="1">
      <alignment horizontal="center"/>
    </xf>
    <xf numFmtId="0" fontId="7" fillId="0" borderId="36" xfId="0" applyFont="1" applyBorder="1" applyAlignment="1">
      <alignment horizontal="right" vertical="center"/>
    </xf>
    <xf numFmtId="0" fontId="7" fillId="0" borderId="37" xfId="0" applyFont="1" applyBorder="1" applyAlignment="1">
      <alignment horizontal="right" vertical="center"/>
    </xf>
    <xf numFmtId="0" fontId="4" fillId="0" borderId="38" xfId="0" applyFont="1" applyBorder="1" applyAlignment="1">
      <alignment horizontal="left"/>
    </xf>
    <xf numFmtId="164" fontId="4" fillId="0" borderId="38" xfId="0" applyNumberFormat="1" applyFont="1" applyBorder="1" applyAlignment="1">
      <alignment horizontal="left"/>
    </xf>
    <xf numFmtId="0" fontId="7" fillId="0" borderId="41" xfId="0" applyFont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0" fontId="11" fillId="0" borderId="38" xfId="0" applyFont="1" applyBorder="1" applyAlignment="1">
      <alignment horizontal="left" vertical="center"/>
    </xf>
    <xf numFmtId="0" fontId="8" fillId="0" borderId="0" xfId="0" applyFont="1" applyAlignment="1">
      <alignment horizontal="left" vertical="top"/>
    </xf>
    <xf numFmtId="14" fontId="8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left" vertical="top" wrapText="1"/>
    </xf>
    <xf numFmtId="0" fontId="12" fillId="0" borderId="81" xfId="4" applyBorder="1" applyAlignment="1">
      <alignment horizontal="center" vertical="center" wrapText="1"/>
    </xf>
    <xf numFmtId="0" fontId="12" fillId="0" borderId="82" xfId="4" applyBorder="1" applyAlignment="1">
      <alignment horizontal="center" vertical="center" wrapText="1"/>
    </xf>
    <xf numFmtId="0" fontId="12" fillId="0" borderId="54" xfId="4" applyBorder="1" applyAlignment="1">
      <alignment horizontal="center" vertical="center" wrapText="1"/>
    </xf>
    <xf numFmtId="0" fontId="27" fillId="10" borderId="75" xfId="4" applyFont="1" applyFill="1" applyBorder="1" applyAlignment="1">
      <alignment horizontal="right" vertical="center" wrapText="1"/>
    </xf>
    <xf numFmtId="0" fontId="27" fillId="10" borderId="69" xfId="4" applyFont="1" applyFill="1" applyBorder="1" applyAlignment="1">
      <alignment horizontal="right" vertical="center" wrapText="1"/>
    </xf>
    <xf numFmtId="0" fontId="27" fillId="10" borderId="74" xfId="4" applyFont="1" applyFill="1" applyBorder="1" applyAlignment="1">
      <alignment horizontal="right" vertical="center" wrapText="1"/>
    </xf>
    <xf numFmtId="0" fontId="26" fillId="4" borderId="36" xfId="4" applyFont="1" applyFill="1" applyBorder="1" applyAlignment="1">
      <alignment horizontal="center" vertical="center" wrapText="1"/>
    </xf>
    <xf numFmtId="0" fontId="26" fillId="4" borderId="40" xfId="4" applyFont="1" applyFill="1" applyBorder="1" applyAlignment="1">
      <alignment horizontal="center" vertical="center" wrapText="1"/>
    </xf>
    <xf numFmtId="0" fontId="26" fillId="4" borderId="37" xfId="4" applyFont="1" applyFill="1" applyBorder="1" applyAlignment="1">
      <alignment horizontal="center" vertical="center" wrapText="1"/>
    </xf>
    <xf numFmtId="0" fontId="12" fillId="0" borderId="81" xfId="4" applyBorder="1" applyAlignment="1">
      <alignment horizontal="center" vertical="center"/>
    </xf>
    <xf numFmtId="0" fontId="12" fillId="0" borderId="82" xfId="4" applyBorder="1" applyAlignment="1">
      <alignment horizontal="center" vertical="center"/>
    </xf>
    <xf numFmtId="0" fontId="12" fillId="0" borderId="54" xfId="4" applyBorder="1" applyAlignment="1">
      <alignment horizontal="center" vertical="center"/>
    </xf>
    <xf numFmtId="0" fontId="11" fillId="0" borderId="38" xfId="4" applyFont="1" applyBorder="1" applyAlignment="1">
      <alignment horizontal="left" vertical="center"/>
    </xf>
    <xf numFmtId="0" fontId="8" fillId="0" borderId="41" xfId="4" applyFont="1" applyBorder="1" applyAlignment="1">
      <alignment horizontal="left" vertical="top"/>
    </xf>
    <xf numFmtId="0" fontId="8" fillId="0" borderId="41" xfId="4" applyFont="1" applyBorder="1" applyAlignment="1">
      <alignment horizontal="left" vertical="top" wrapText="1"/>
    </xf>
    <xf numFmtId="14" fontId="8" fillId="0" borderId="0" xfId="4" applyNumberFormat="1" applyFont="1" applyAlignment="1">
      <alignment horizontal="left" vertical="top"/>
    </xf>
    <xf numFmtId="0" fontId="8" fillId="0" borderId="41" xfId="0" applyFont="1" applyBorder="1" applyAlignment="1">
      <alignment horizontal="left" vertical="top" wrapText="1"/>
    </xf>
    <xf numFmtId="10" fontId="8" fillId="0" borderId="0" xfId="4" applyNumberFormat="1" applyFont="1" applyAlignment="1">
      <alignment horizontal="left" vertical="top"/>
    </xf>
    <xf numFmtId="0" fontId="10" fillId="0" borderId="0" xfId="4" applyFont="1" applyAlignment="1">
      <alignment horizontal="center" vertical="center"/>
    </xf>
    <xf numFmtId="174" fontId="41" fillId="11" borderId="81" xfId="25" applyFont="1" applyFill="1" applyBorder="1" applyAlignment="1">
      <alignment horizontal="center" vertical="center" wrapText="1"/>
    </xf>
    <xf numFmtId="174" fontId="41" fillId="11" borderId="82" xfId="25" applyFont="1" applyFill="1" applyBorder="1" applyAlignment="1">
      <alignment horizontal="center" vertical="center" wrapText="1"/>
    </xf>
    <xf numFmtId="174" fontId="41" fillId="11" borderId="54" xfId="25" applyFont="1" applyFill="1" applyBorder="1" applyAlignment="1">
      <alignment horizontal="center" vertical="center" wrapText="1"/>
    </xf>
    <xf numFmtId="174" fontId="41" fillId="11" borderId="85" xfId="25" applyFont="1" applyFill="1" applyBorder="1" applyAlignment="1">
      <alignment horizontal="center" vertical="center" wrapText="1"/>
    </xf>
    <xf numFmtId="174" fontId="41" fillId="11" borderId="91" xfId="25" applyFont="1" applyFill="1" applyBorder="1" applyAlignment="1">
      <alignment horizontal="center" vertical="center" wrapText="1"/>
    </xf>
    <xf numFmtId="174" fontId="41" fillId="11" borderId="88" xfId="25" applyFont="1" applyFill="1" applyBorder="1" applyAlignment="1">
      <alignment horizontal="center" vertical="center" wrapText="1"/>
    </xf>
    <xf numFmtId="174" fontId="41" fillId="11" borderId="92" xfId="25" applyFont="1" applyFill="1" applyBorder="1" applyAlignment="1">
      <alignment horizontal="center" vertical="center" wrapText="1"/>
    </xf>
    <xf numFmtId="174" fontId="41" fillId="11" borderId="86" xfId="25" applyFont="1" applyFill="1" applyBorder="1" applyAlignment="1">
      <alignment horizontal="center" vertical="center" wrapText="1"/>
    </xf>
    <xf numFmtId="174" fontId="41" fillId="11" borderId="87" xfId="25" applyFont="1" applyFill="1" applyBorder="1" applyAlignment="1">
      <alignment horizontal="center" vertical="center" wrapText="1"/>
    </xf>
    <xf numFmtId="174" fontId="41" fillId="11" borderId="89" xfId="25" applyFont="1" applyFill="1" applyBorder="1" applyAlignment="1">
      <alignment horizontal="center" vertical="center" wrapText="1"/>
    </xf>
    <xf numFmtId="174" fontId="41" fillId="11" borderId="90" xfId="25" applyFont="1" applyFill="1" applyBorder="1" applyAlignment="1">
      <alignment horizontal="center" vertical="center" wrapText="1"/>
    </xf>
    <xf numFmtId="0" fontId="35" fillId="10" borderId="81" xfId="4" applyFont="1" applyFill="1" applyBorder="1" applyAlignment="1">
      <alignment horizontal="center" vertical="center" wrapText="1"/>
    </xf>
    <xf numFmtId="0" fontId="35" fillId="10" borderId="82" xfId="4" applyFont="1" applyFill="1" applyBorder="1" applyAlignment="1">
      <alignment horizontal="center" vertical="center" wrapText="1"/>
    </xf>
    <xf numFmtId="0" fontId="35" fillId="10" borderId="54" xfId="4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/>
    </xf>
    <xf numFmtId="0" fontId="30" fillId="9" borderId="94" xfId="4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left" vertical="center"/>
    </xf>
    <xf numFmtId="164" fontId="4" fillId="0" borderId="38" xfId="0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27" fillId="0" borderId="75" xfId="4" applyFont="1" applyBorder="1" applyAlignment="1">
      <alignment horizontal="right" vertical="center" wrapText="1"/>
    </xf>
    <xf numFmtId="0" fontId="27" fillId="0" borderId="69" xfId="4" applyFont="1" applyBorder="1" applyAlignment="1">
      <alignment horizontal="right" vertical="center" wrapText="1"/>
    </xf>
    <xf numFmtId="0" fontId="27" fillId="0" borderId="74" xfId="4" applyFont="1" applyBorder="1" applyAlignment="1">
      <alignment horizontal="right" vertical="center" wrapText="1"/>
    </xf>
    <xf numFmtId="0" fontId="32" fillId="0" borderId="0" xfId="4" applyFont="1" applyAlignment="1">
      <alignment horizontal="center" vertical="top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60" fillId="17" borderId="77" xfId="10" applyFont="1" applyFill="1" applyBorder="1" applyAlignment="1">
      <alignment horizontal="left" vertical="top" wrapText="1"/>
    </xf>
    <xf numFmtId="0" fontId="60" fillId="11" borderId="0" xfId="10" applyFont="1" applyFill="1" applyAlignment="1">
      <alignment horizontal="right" vertical="top" wrapText="1"/>
    </xf>
    <xf numFmtId="0" fontId="7" fillId="0" borderId="41" xfId="0" applyFont="1" applyBorder="1" applyAlignment="1">
      <alignment horizontal="center" vertical="center"/>
    </xf>
    <xf numFmtId="0" fontId="7" fillId="0" borderId="41" xfId="0" applyFont="1" applyBorder="1" applyAlignment="1">
      <alignment horizontal="left" vertical="center"/>
    </xf>
    <xf numFmtId="4" fontId="57" fillId="11" borderId="0" xfId="0" applyNumberFormat="1" applyFont="1" applyFill="1" applyAlignment="1">
      <alignment horizontal="right" vertical="top" wrapText="1"/>
    </xf>
    <xf numFmtId="0" fontId="57" fillId="11" borderId="0" xfId="0" applyFont="1" applyFill="1" applyAlignment="1">
      <alignment horizontal="right" vertical="top" wrapText="1"/>
    </xf>
    <xf numFmtId="0" fontId="7" fillId="0" borderId="0" xfId="0" applyFont="1" applyAlignment="1">
      <alignment horizontal="center" vertical="top"/>
    </xf>
    <xf numFmtId="164" fontId="4" fillId="0" borderId="0" xfId="0" applyNumberFormat="1" applyFont="1" applyAlignment="1">
      <alignment horizontal="center" vertical="top"/>
    </xf>
    <xf numFmtId="0" fontId="7" fillId="0" borderId="41" xfId="0" applyFont="1" applyBorder="1" applyAlignment="1">
      <alignment horizontal="center" vertical="top"/>
    </xf>
    <xf numFmtId="0" fontId="60" fillId="16" borderId="77" xfId="10" applyFont="1" applyFill="1" applyBorder="1" applyAlignment="1">
      <alignment horizontal="left" vertical="top" wrapText="1"/>
    </xf>
    <xf numFmtId="0" fontId="59" fillId="11" borderId="77" xfId="10" applyFont="1" applyFill="1" applyBorder="1" applyAlignment="1">
      <alignment horizontal="left" vertical="top" wrapText="1"/>
    </xf>
    <xf numFmtId="0" fontId="21" fillId="15" borderId="77" xfId="10" applyFont="1" applyFill="1" applyBorder="1" applyAlignment="1">
      <alignment horizontal="left" vertical="top" wrapText="1"/>
    </xf>
    <xf numFmtId="10" fontId="8" fillId="0" borderId="0" xfId="0" applyNumberFormat="1" applyFont="1" applyAlignment="1">
      <alignment horizontal="left" vertical="top"/>
    </xf>
    <xf numFmtId="0" fontId="4" fillId="0" borderId="38" xfId="19" applyFont="1" applyBorder="1" applyAlignment="1">
      <alignment horizontal="left" vertical="top"/>
    </xf>
    <xf numFmtId="0" fontId="7" fillId="0" borderId="41" xfId="19" applyFont="1" applyBorder="1" applyAlignment="1">
      <alignment horizontal="left" vertical="top"/>
    </xf>
    <xf numFmtId="0" fontId="4" fillId="0" borderId="38" xfId="19" applyFont="1" applyBorder="1" applyAlignment="1">
      <alignment horizontal="center" vertical="top"/>
    </xf>
    <xf numFmtId="0" fontId="7" fillId="0" borderId="41" xfId="19" applyFont="1" applyBorder="1" applyAlignment="1">
      <alignment horizontal="center" vertical="top"/>
    </xf>
    <xf numFmtId="0" fontId="39" fillId="10" borderId="68" xfId="22" applyFont="1" applyFill="1" applyBorder="1" applyAlignment="1">
      <alignment horizontal="left" vertical="center"/>
    </xf>
    <xf numFmtId="0" fontId="39" fillId="10" borderId="69" xfId="22" applyFont="1" applyFill="1" applyBorder="1" applyAlignment="1">
      <alignment horizontal="left" vertical="center"/>
    </xf>
    <xf numFmtId="0" fontId="39" fillId="10" borderId="74" xfId="22" applyFont="1" applyFill="1" applyBorder="1" applyAlignment="1">
      <alignment horizontal="left" vertical="center"/>
    </xf>
    <xf numFmtId="0" fontId="38" fillId="9" borderId="58" xfId="20" applyFont="1" applyFill="1" applyBorder="1" applyAlignment="1">
      <alignment horizontal="center" vertical="center" wrapText="1"/>
    </xf>
    <xf numFmtId="0" fontId="38" fillId="9" borderId="66" xfId="20" applyFont="1" applyFill="1" applyBorder="1" applyAlignment="1">
      <alignment horizontal="center" vertical="center" wrapText="1"/>
    </xf>
    <xf numFmtId="0" fontId="38" fillId="9" borderId="67" xfId="20" applyFont="1" applyFill="1" applyBorder="1" applyAlignment="1">
      <alignment horizontal="center" vertical="center" wrapText="1"/>
    </xf>
    <xf numFmtId="0" fontId="39" fillId="13" borderId="58" xfId="22" applyFont="1" applyFill="1" applyBorder="1" applyAlignment="1">
      <alignment horizontal="left" vertical="center" wrapText="1"/>
    </xf>
    <xf numFmtId="0" fontId="39" fillId="13" borderId="66" xfId="22" applyFont="1" applyFill="1" applyBorder="1" applyAlignment="1">
      <alignment horizontal="left" vertical="center" wrapText="1"/>
    </xf>
    <xf numFmtId="0" fontId="39" fillId="13" borderId="67" xfId="22" applyFont="1" applyFill="1" applyBorder="1" applyAlignment="1">
      <alignment horizontal="left" vertical="center" wrapText="1"/>
    </xf>
    <xf numFmtId="0" fontId="39" fillId="10" borderId="58" xfId="22" applyFont="1" applyFill="1" applyBorder="1" applyAlignment="1">
      <alignment horizontal="left" vertical="center"/>
    </xf>
    <xf numFmtId="0" fontId="39" fillId="10" borderId="66" xfId="22" applyFont="1" applyFill="1" applyBorder="1" applyAlignment="1">
      <alignment horizontal="left" vertical="center"/>
    </xf>
    <xf numFmtId="0" fontId="39" fillId="10" borderId="67" xfId="22" applyFont="1" applyFill="1" applyBorder="1" applyAlignment="1">
      <alignment horizontal="left" vertical="center"/>
    </xf>
    <xf numFmtId="0" fontId="39" fillId="10" borderId="68" xfId="22" applyFont="1" applyFill="1" applyBorder="1" applyAlignment="1" applyProtection="1">
      <alignment horizontal="left" vertical="center"/>
      <protection locked="0"/>
    </xf>
    <xf numFmtId="0" fontId="39" fillId="10" borderId="69" xfId="22" applyFont="1" applyFill="1" applyBorder="1" applyAlignment="1" applyProtection="1">
      <alignment horizontal="left" vertical="center"/>
      <protection locked="0"/>
    </xf>
    <xf numFmtId="0" fontId="39" fillId="10" borderId="74" xfId="22" applyFont="1" applyFill="1" applyBorder="1" applyAlignment="1" applyProtection="1">
      <alignment horizontal="left" vertical="center"/>
      <protection locked="0"/>
    </xf>
    <xf numFmtId="0" fontId="39" fillId="10" borderId="58" xfId="22" applyFont="1" applyFill="1" applyBorder="1" applyAlignment="1" applyProtection="1">
      <alignment horizontal="left" vertical="center"/>
      <protection locked="0"/>
    </xf>
    <xf numFmtId="0" fontId="39" fillId="10" borderId="66" xfId="22" applyFont="1" applyFill="1" applyBorder="1" applyAlignment="1" applyProtection="1">
      <alignment horizontal="left" vertical="center"/>
      <protection locked="0"/>
    </xf>
    <xf numFmtId="0" fontId="39" fillId="10" borderId="67" xfId="22" applyFont="1" applyFill="1" applyBorder="1" applyAlignment="1" applyProtection="1">
      <alignment horizontal="left" vertical="center"/>
      <protection locked="0"/>
    </xf>
    <xf numFmtId="49" fontId="39" fillId="13" borderId="58" xfId="22" applyNumberFormat="1" applyFont="1" applyFill="1" applyBorder="1" applyAlignment="1">
      <alignment horizontal="left" vertical="center" wrapText="1"/>
    </xf>
    <xf numFmtId="49" fontId="39" fillId="13" borderId="66" xfId="22" applyNumberFormat="1" applyFont="1" applyFill="1" applyBorder="1" applyAlignment="1">
      <alignment horizontal="left" vertical="center" wrapText="1"/>
    </xf>
    <xf numFmtId="49" fontId="39" fillId="13" borderId="67" xfId="22" applyNumberFormat="1" applyFont="1" applyFill="1" applyBorder="1" applyAlignment="1">
      <alignment horizontal="left" vertical="center" wrapText="1"/>
    </xf>
    <xf numFmtId="49" fontId="39" fillId="10" borderId="1" xfId="22" applyNumberFormat="1" applyFont="1" applyFill="1" applyBorder="1" applyAlignment="1" applyProtection="1">
      <alignment horizontal="left" vertical="center" wrapText="1"/>
      <protection locked="0"/>
    </xf>
    <xf numFmtId="49" fontId="39" fillId="10" borderId="19" xfId="22" applyNumberFormat="1" applyFont="1" applyFill="1" applyBorder="1" applyAlignment="1" applyProtection="1">
      <alignment horizontal="left" vertical="center" wrapText="1"/>
      <protection locked="0"/>
    </xf>
    <xf numFmtId="0" fontId="37" fillId="0" borderId="36" xfId="22" applyFont="1" applyBorder="1" applyAlignment="1">
      <alignment horizontal="center" vertical="center"/>
    </xf>
    <xf numFmtId="0" fontId="37" fillId="0" borderId="40" xfId="22" applyFont="1" applyBorder="1" applyAlignment="1">
      <alignment horizontal="center" vertical="center"/>
    </xf>
    <xf numFmtId="0" fontId="37" fillId="0" borderId="37" xfId="22" applyFont="1" applyBorder="1" applyAlignment="1">
      <alignment horizontal="center" vertical="center"/>
    </xf>
    <xf numFmtId="0" fontId="11" fillId="0" borderId="38" xfId="19" applyFont="1" applyBorder="1" applyAlignment="1">
      <alignment horizontal="left" vertical="center"/>
    </xf>
    <xf numFmtId="0" fontId="8" fillId="0" borderId="0" xfId="19" applyFont="1" applyAlignment="1">
      <alignment horizontal="left" vertical="top"/>
    </xf>
    <xf numFmtId="14" fontId="8" fillId="0" borderId="0" xfId="19" applyNumberFormat="1" applyFont="1" applyAlignment="1">
      <alignment horizontal="left" vertical="top"/>
    </xf>
    <xf numFmtId="0" fontId="28" fillId="0" borderId="0" xfId="20" applyFont="1" applyAlignment="1">
      <alignment horizontal="center" vertical="center"/>
    </xf>
    <xf numFmtId="0" fontId="6" fillId="0" borderId="0" xfId="19" applyFont="1" applyAlignment="1">
      <alignment horizontal="center" vertical="center"/>
    </xf>
    <xf numFmtId="0" fontId="10" fillId="0" borderId="0" xfId="19" applyFont="1" applyAlignment="1">
      <alignment horizontal="center" vertical="center"/>
    </xf>
    <xf numFmtId="0" fontId="4" fillId="0" borderId="0" xfId="19" applyFont="1" applyAlignment="1">
      <alignment horizontal="center" vertical="center" wrapText="1"/>
    </xf>
    <xf numFmtId="0" fontId="4" fillId="0" borderId="0" xfId="19" applyFont="1" applyAlignment="1">
      <alignment horizontal="center" vertical="center"/>
    </xf>
    <xf numFmtId="0" fontId="8" fillId="0" borderId="0" xfId="19" applyFont="1" applyAlignment="1">
      <alignment horizontal="left" vertical="top" wrapText="1"/>
    </xf>
    <xf numFmtId="0" fontId="38" fillId="9" borderId="72" xfId="20" applyFont="1" applyFill="1" applyBorder="1" applyAlignment="1">
      <alignment horizontal="center" vertical="center" wrapText="1"/>
    </xf>
    <xf numFmtId="0" fontId="38" fillId="9" borderId="73" xfId="20" applyFont="1" applyFill="1" applyBorder="1" applyAlignment="1">
      <alignment horizontal="center" vertical="center" wrapText="1"/>
    </xf>
    <xf numFmtId="0" fontId="14" fillId="0" borderId="36" xfId="0" applyFont="1" applyBorder="1" applyAlignment="1">
      <alignment horizontal="right" vertical="center"/>
    </xf>
    <xf numFmtId="0" fontId="14" fillId="0" borderId="37" xfId="0" applyFont="1" applyBorder="1" applyAlignment="1">
      <alignment horizontal="right" vertical="center"/>
    </xf>
    <xf numFmtId="0" fontId="7" fillId="0" borderId="0" xfId="0" applyFont="1" applyAlignment="1">
      <alignment horizontal="center"/>
    </xf>
    <xf numFmtId="0" fontId="16" fillId="0" borderId="36" xfId="0" applyFont="1" applyBorder="1" applyAlignment="1">
      <alignment horizontal="right" vertical="center"/>
    </xf>
    <xf numFmtId="0" fontId="16" fillId="0" borderId="37" xfId="0" applyFont="1" applyBorder="1" applyAlignment="1">
      <alignment horizontal="right" vertical="center"/>
    </xf>
    <xf numFmtId="164" fontId="17" fillId="0" borderId="36" xfId="0" applyNumberFormat="1" applyFont="1" applyBorder="1" applyAlignment="1">
      <alignment horizontal="right" vertical="center"/>
    </xf>
    <xf numFmtId="164" fontId="17" fillId="0" borderId="37" xfId="0" applyNumberFormat="1" applyFont="1" applyBorder="1" applyAlignment="1">
      <alignment horizontal="right" vertical="center"/>
    </xf>
    <xf numFmtId="0" fontId="7" fillId="0" borderId="40" xfId="0" applyFont="1" applyBorder="1" applyAlignment="1">
      <alignment horizontal="right" vertical="center"/>
    </xf>
    <xf numFmtId="0" fontId="10" fillId="0" borderId="59" xfId="0" applyFont="1" applyBorder="1" applyAlignment="1">
      <alignment horizontal="center" vertical="center" wrapText="1"/>
    </xf>
    <xf numFmtId="0" fontId="10" fillId="0" borderId="60" xfId="0" applyFont="1" applyBorder="1" applyAlignment="1">
      <alignment horizontal="center" vertical="center"/>
    </xf>
    <xf numFmtId="0" fontId="10" fillId="5" borderId="51" xfId="0" applyFont="1" applyFill="1" applyBorder="1" applyAlignment="1">
      <alignment horizontal="center" vertical="center" wrapText="1"/>
    </xf>
    <xf numFmtId="0" fontId="10" fillId="5" borderId="53" xfId="0" applyFont="1" applyFill="1" applyBorder="1" applyAlignment="1">
      <alignment horizontal="center" vertical="center" wrapText="1"/>
    </xf>
    <xf numFmtId="0" fontId="7" fillId="4" borderId="49" xfId="0" applyFont="1" applyFill="1" applyBorder="1" applyAlignment="1">
      <alignment horizontal="center" vertical="center"/>
    </xf>
    <xf numFmtId="0" fontId="7" fillId="4" borderId="50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44" fontId="3" fillId="0" borderId="1" xfId="0" applyNumberFormat="1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43" fontId="20" fillId="0" borderId="51" xfId="0" applyNumberFormat="1" applyFont="1" applyBorder="1" applyAlignment="1">
      <alignment horizontal="center" vertical="center"/>
    </xf>
    <xf numFmtId="43" fontId="20" fillId="0" borderId="5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1" fillId="7" borderId="13" xfId="0" applyFont="1" applyFill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center" vertical="center" wrapText="1"/>
    </xf>
    <xf numFmtId="0" fontId="11" fillId="8" borderId="13" xfId="0" applyFont="1" applyFill="1" applyBorder="1" applyAlignment="1">
      <alignment horizontal="center" vertical="center" wrapText="1"/>
    </xf>
    <xf numFmtId="0" fontId="11" fillId="8" borderId="14" xfId="0" applyFont="1" applyFill="1" applyBorder="1" applyAlignment="1">
      <alignment horizontal="center" vertical="center" wrapText="1"/>
    </xf>
    <xf numFmtId="0" fontId="11" fillId="8" borderId="15" xfId="0" applyFont="1" applyFill="1" applyBorder="1" applyAlignment="1">
      <alignment horizontal="center" vertical="center" wrapText="1"/>
    </xf>
    <xf numFmtId="0" fontId="11" fillId="0" borderId="59" xfId="0" applyFont="1" applyBorder="1" applyAlignment="1">
      <alignment horizontal="center" vertical="center"/>
    </xf>
    <xf numFmtId="0" fontId="11" fillId="0" borderId="60" xfId="0" applyFont="1" applyBorder="1" applyAlignment="1">
      <alignment horizontal="center" vertical="center"/>
    </xf>
    <xf numFmtId="0" fontId="10" fillId="0" borderId="51" xfId="0" applyFont="1" applyBorder="1" applyAlignment="1">
      <alignment horizontal="center" vertical="center"/>
    </xf>
    <xf numFmtId="0" fontId="10" fillId="0" borderId="5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164" fontId="4" fillId="0" borderId="38" xfId="0" applyNumberFormat="1" applyFont="1" applyBorder="1" applyAlignment="1">
      <alignment horizontal="center" vertical="center"/>
    </xf>
    <xf numFmtId="44" fontId="3" fillId="0" borderId="1" xfId="2" applyFont="1" applyBorder="1" applyAlignment="1">
      <alignment horizontal="center" vertical="center"/>
    </xf>
    <xf numFmtId="44" fontId="3" fillId="0" borderId="58" xfId="2" applyFont="1" applyBorder="1" applyAlignment="1">
      <alignment horizontal="center" vertical="center"/>
    </xf>
    <xf numFmtId="0" fontId="11" fillId="0" borderId="58" xfId="0" applyFont="1" applyBorder="1" applyAlignment="1">
      <alignment horizontal="center" vertical="center"/>
    </xf>
    <xf numFmtId="14" fontId="8" fillId="0" borderId="0" xfId="0" applyNumberFormat="1" applyFont="1" applyAlignment="1">
      <alignment horizontal="left" vertical="center"/>
    </xf>
    <xf numFmtId="0" fontId="8" fillId="0" borderId="4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29">
    <cellStyle name="Hiperlink 2" xfId="14" xr:uid="{00000000-0005-0000-0000-000000000000}"/>
    <cellStyle name="Moeda" xfId="2" builtinId="4"/>
    <cellStyle name="Moeda_Composicao BDI v2.1" xfId="16" xr:uid="{00000000-0005-0000-0000-000002000000}"/>
    <cellStyle name="Normal" xfId="0" builtinId="0"/>
    <cellStyle name="Normal 105" xfId="19" xr:uid="{00000000-0005-0000-0000-000004000000}"/>
    <cellStyle name="Normal 14" xfId="5" xr:uid="{00000000-0005-0000-0000-000005000000}"/>
    <cellStyle name="Normal 2" xfId="4" xr:uid="{00000000-0005-0000-0000-000006000000}"/>
    <cellStyle name="Normal 2 2" xfId="10" xr:uid="{00000000-0005-0000-0000-000007000000}"/>
    <cellStyle name="Normal 2 2 2" xfId="11" xr:uid="{00000000-0005-0000-0000-000008000000}"/>
    <cellStyle name="Normal 2 2 2 3" xfId="21" xr:uid="{00000000-0005-0000-0000-000009000000}"/>
    <cellStyle name="Normal 2 2 4" xfId="20" xr:uid="{00000000-0005-0000-0000-00000A000000}"/>
    <cellStyle name="Normal 3" xfId="6" xr:uid="{00000000-0005-0000-0000-00000B000000}"/>
    <cellStyle name="Normal 3 2" xfId="17" xr:uid="{00000000-0005-0000-0000-00000C000000}"/>
    <cellStyle name="Normal 3 3" xfId="27" xr:uid="{00000000-0005-0000-0000-00000D000000}"/>
    <cellStyle name="Normal 4" xfId="8" xr:uid="{00000000-0005-0000-0000-00000E000000}"/>
    <cellStyle name="Normal 5" xfId="12" xr:uid="{00000000-0005-0000-0000-00000F000000}"/>
    <cellStyle name="Normal 5 12" xfId="22" xr:uid="{00000000-0005-0000-0000-000010000000}"/>
    <cellStyle name="Normal 6" xfId="28" xr:uid="{00000000-0005-0000-0000-000011000000}"/>
    <cellStyle name="Normal_FICHA DE VERIFICAÇÃO PRELIMINAR - Plano R" xfId="18" xr:uid="{00000000-0005-0000-0000-000012000000}"/>
    <cellStyle name="Porcentagem" xfId="3" builtinId="5"/>
    <cellStyle name="Porcentagem 2" xfId="26" xr:uid="{00000000-0005-0000-0000-000014000000}"/>
    <cellStyle name="Vírgula" xfId="1" builtinId="3"/>
    <cellStyle name="Vírgula 2" xfId="7" xr:uid="{00000000-0005-0000-0000-000016000000}"/>
    <cellStyle name="Vírgula 2 2" xfId="24" xr:uid="{00000000-0005-0000-0000-000017000000}"/>
    <cellStyle name="Vírgula 2 2 2" xfId="25" xr:uid="{00000000-0005-0000-0000-000018000000}"/>
    <cellStyle name="Vírgula 3" xfId="9" xr:uid="{00000000-0005-0000-0000-000019000000}"/>
    <cellStyle name="Vírgula 3 2" xfId="13" xr:uid="{00000000-0005-0000-0000-00001A000000}"/>
    <cellStyle name="Vírgula 6" xfId="15" xr:uid="{00000000-0005-0000-0000-00001B000000}"/>
    <cellStyle name="Vírgula 6 8" xfId="23" xr:uid="{00000000-0005-0000-0000-00001C000000}"/>
  </cellStyles>
  <dxfs count="24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none">
          <bgColor indexed="65"/>
        </patternFill>
      </fill>
    </dxf>
    <dxf>
      <fill>
        <patternFill>
          <bgColor rgb="FFFFFF9E"/>
        </patternFill>
      </fill>
    </dxf>
    <dxf>
      <font>
        <condense val="0"/>
        <extend val="0"/>
        <color indexed="17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none">
          <bgColor indexed="65"/>
        </patternFill>
      </fill>
    </dxf>
    <dxf>
      <fill>
        <patternFill>
          <bgColor rgb="FFFFFF9E"/>
        </patternFill>
      </fill>
    </dxf>
    <dxf>
      <font>
        <condense val="0"/>
        <extend val="0"/>
        <color indexed="17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none">
          <bgColor indexed="65"/>
        </patternFill>
      </fill>
    </dxf>
    <dxf>
      <fill>
        <patternFill>
          <bgColor rgb="FFFFFF9E"/>
        </patternFill>
      </fill>
    </dxf>
    <dxf>
      <font>
        <condense val="0"/>
        <extend val="0"/>
        <color indexed="17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BDBDFF"/>
      <color rgb="FFC8E6F0"/>
      <color rgb="FFFFFFCC"/>
      <color rgb="FFFFFF99"/>
      <color rgb="FF9999FF"/>
      <color rgb="FFDFF0D8"/>
      <color rgb="FFC8E5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</xdr:colOff>
      <xdr:row>0</xdr:row>
      <xdr:rowOff>19050</xdr:rowOff>
    </xdr:from>
    <xdr:to>
      <xdr:col>8</xdr:col>
      <xdr:colOff>28575</xdr:colOff>
      <xdr:row>10</xdr:row>
      <xdr:rowOff>118783</xdr:rowOff>
    </xdr:to>
    <xdr:sp macro="" textlink="">
      <xdr:nvSpPr>
        <xdr:cNvPr id="2" name="Object 476" hidden="1">
          <a:extLst>
            <a:ext uri="{FF2B5EF4-FFF2-40B4-BE49-F238E27FC236}">
              <a16:creationId xmlns:a16="http://schemas.microsoft.com/office/drawing/2014/main" id="{E37525C3-4AF3-4A48-B2A5-87071336F2A0}"/>
            </a:ext>
          </a:extLst>
        </xdr:cNvPr>
        <xdr:cNvSpPr>
          <a:spLocks noChangeArrowheads="1"/>
        </xdr:cNvSpPr>
      </xdr:nvSpPr>
      <xdr:spPr bwMode="auto">
        <a:xfrm>
          <a:off x="28575" y="0"/>
          <a:ext cx="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28575</xdr:colOff>
      <xdr:row>0</xdr:row>
      <xdr:rowOff>19050</xdr:rowOff>
    </xdr:from>
    <xdr:to>
      <xdr:col>8</xdr:col>
      <xdr:colOff>28575</xdr:colOff>
      <xdr:row>10</xdr:row>
      <xdr:rowOff>118783</xdr:rowOff>
    </xdr:to>
    <xdr:pic>
      <xdr:nvPicPr>
        <xdr:cNvPr id="3" name="Picture 476">
          <a:extLst>
            <a:ext uri="{FF2B5EF4-FFF2-40B4-BE49-F238E27FC236}">
              <a16:creationId xmlns:a16="http://schemas.microsoft.com/office/drawing/2014/main" id="{1EF3BA70-AEAF-4EA0-97FA-C1D19CFC35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</xdr:colOff>
      <xdr:row>4</xdr:row>
      <xdr:rowOff>19050</xdr:rowOff>
    </xdr:from>
    <xdr:to>
      <xdr:col>8</xdr:col>
      <xdr:colOff>28575</xdr:colOff>
      <xdr:row>10</xdr:row>
      <xdr:rowOff>118783</xdr:rowOff>
    </xdr:to>
    <xdr:sp macro="" textlink="">
      <xdr:nvSpPr>
        <xdr:cNvPr id="4" name="Object 476" hidden="1">
          <a:extLst>
            <a:ext uri="{FF2B5EF4-FFF2-40B4-BE49-F238E27FC236}">
              <a16:creationId xmlns:a16="http://schemas.microsoft.com/office/drawing/2014/main" id="{F5A3F44C-E517-4ADA-8EF1-B606FA07F7DD}"/>
            </a:ext>
          </a:extLst>
        </xdr:cNvPr>
        <xdr:cNvSpPr>
          <a:spLocks noChangeArrowheads="1"/>
        </xdr:cNvSpPr>
      </xdr:nvSpPr>
      <xdr:spPr bwMode="auto">
        <a:xfrm>
          <a:off x="28575" y="0"/>
          <a:ext cx="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28575</xdr:colOff>
      <xdr:row>4</xdr:row>
      <xdr:rowOff>19050</xdr:rowOff>
    </xdr:from>
    <xdr:to>
      <xdr:col>8</xdr:col>
      <xdr:colOff>28575</xdr:colOff>
      <xdr:row>10</xdr:row>
      <xdr:rowOff>118783</xdr:rowOff>
    </xdr:to>
    <xdr:pic>
      <xdr:nvPicPr>
        <xdr:cNvPr id="5" name="Picture 476">
          <a:extLst>
            <a:ext uri="{FF2B5EF4-FFF2-40B4-BE49-F238E27FC236}">
              <a16:creationId xmlns:a16="http://schemas.microsoft.com/office/drawing/2014/main" id="{68E979E7-F8CA-408F-8398-2B6B55F1A2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683447</xdr:colOff>
      <xdr:row>0</xdr:row>
      <xdr:rowOff>0</xdr:rowOff>
    </xdr:from>
    <xdr:to>
      <xdr:col>16</xdr:col>
      <xdr:colOff>277905</xdr:colOff>
      <xdr:row>12</xdr:row>
      <xdr:rowOff>286870</xdr:rowOff>
    </xdr:to>
    <xdr:pic>
      <xdr:nvPicPr>
        <xdr:cNvPr id="6" name="Image 2">
          <a:extLst>
            <a:ext uri="{FF2B5EF4-FFF2-40B4-BE49-F238E27FC236}">
              <a16:creationId xmlns:a16="http://schemas.microsoft.com/office/drawing/2014/main" id="{D3251F21-2B26-A275-67E6-AC9729C362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83729" y="0"/>
          <a:ext cx="1163282" cy="833717"/>
        </a:xfrm>
        <a:prstGeom prst="rect">
          <a:avLst/>
        </a:prstGeom>
      </xdr:spPr>
    </xdr:pic>
    <xdr:clientData/>
  </xdr:twoCellAnchor>
  <xdr:twoCellAnchor editAs="oneCell">
    <xdr:from>
      <xdr:col>8</xdr:col>
      <xdr:colOff>26893</xdr:colOff>
      <xdr:row>9</xdr:row>
      <xdr:rowOff>30481</xdr:rowOff>
    </xdr:from>
    <xdr:to>
      <xdr:col>9</xdr:col>
      <xdr:colOff>3064</xdr:colOff>
      <xdr:row>13</xdr:row>
      <xdr:rowOff>99477</xdr:rowOff>
    </xdr:to>
    <xdr:pic>
      <xdr:nvPicPr>
        <xdr:cNvPr id="9" name="Image 3">
          <a:extLst>
            <a:ext uri="{FF2B5EF4-FFF2-40B4-BE49-F238E27FC236}">
              <a16:creationId xmlns:a16="http://schemas.microsoft.com/office/drawing/2014/main" id="{B495C255-A00D-71F6-87AE-8719AE8BA05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6893" y="30481"/>
          <a:ext cx="693347" cy="10371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</xdr:colOff>
      <xdr:row>0</xdr:row>
      <xdr:rowOff>19050</xdr:rowOff>
    </xdr:from>
    <xdr:to>
      <xdr:col>8</xdr:col>
      <xdr:colOff>28575</xdr:colOff>
      <xdr:row>7</xdr:row>
      <xdr:rowOff>41237</xdr:rowOff>
    </xdr:to>
    <xdr:sp macro="" textlink="">
      <xdr:nvSpPr>
        <xdr:cNvPr id="2" name="Object 476" hidden="1">
          <a:extLst>
            <a:ext uri="{FF2B5EF4-FFF2-40B4-BE49-F238E27FC236}">
              <a16:creationId xmlns:a16="http://schemas.microsoft.com/office/drawing/2014/main" id="{2911C745-54C0-4BC3-B89A-205E3CB0275E}"/>
            </a:ext>
          </a:extLst>
        </xdr:cNvPr>
        <xdr:cNvSpPr>
          <a:spLocks noChangeArrowheads="1"/>
        </xdr:cNvSpPr>
      </xdr:nvSpPr>
      <xdr:spPr bwMode="auto">
        <a:xfrm>
          <a:off x="28575" y="0"/>
          <a:ext cx="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28575</xdr:colOff>
      <xdr:row>0</xdr:row>
      <xdr:rowOff>19050</xdr:rowOff>
    </xdr:from>
    <xdr:to>
      <xdr:col>8</xdr:col>
      <xdr:colOff>28575</xdr:colOff>
      <xdr:row>7</xdr:row>
      <xdr:rowOff>41237</xdr:rowOff>
    </xdr:to>
    <xdr:pic>
      <xdr:nvPicPr>
        <xdr:cNvPr id="3" name="Picture 476">
          <a:extLst>
            <a:ext uri="{FF2B5EF4-FFF2-40B4-BE49-F238E27FC236}">
              <a16:creationId xmlns:a16="http://schemas.microsoft.com/office/drawing/2014/main" id="{09633FAE-F8C7-41B5-8530-42A9802A06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</xdr:colOff>
      <xdr:row>0</xdr:row>
      <xdr:rowOff>19050</xdr:rowOff>
    </xdr:from>
    <xdr:to>
      <xdr:col>8</xdr:col>
      <xdr:colOff>28575</xdr:colOff>
      <xdr:row>7</xdr:row>
      <xdr:rowOff>42583</xdr:rowOff>
    </xdr:to>
    <xdr:sp macro="" textlink="">
      <xdr:nvSpPr>
        <xdr:cNvPr id="5" name="Object 476" hidden="1">
          <a:extLst>
            <a:ext uri="{FF2B5EF4-FFF2-40B4-BE49-F238E27FC236}">
              <a16:creationId xmlns:a16="http://schemas.microsoft.com/office/drawing/2014/main" id="{8939D6A9-F702-4991-889C-3ABFD3428052}"/>
            </a:ext>
          </a:extLst>
        </xdr:cNvPr>
        <xdr:cNvSpPr>
          <a:spLocks noChangeArrowheads="1"/>
        </xdr:cNvSpPr>
      </xdr:nvSpPr>
      <xdr:spPr bwMode="auto">
        <a:xfrm>
          <a:off x="28575" y="0"/>
          <a:ext cx="0" cy="1949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28575</xdr:colOff>
      <xdr:row>0</xdr:row>
      <xdr:rowOff>19050</xdr:rowOff>
    </xdr:from>
    <xdr:to>
      <xdr:col>8</xdr:col>
      <xdr:colOff>28575</xdr:colOff>
      <xdr:row>7</xdr:row>
      <xdr:rowOff>42583</xdr:rowOff>
    </xdr:to>
    <xdr:pic>
      <xdr:nvPicPr>
        <xdr:cNvPr id="6" name="Picture 476">
          <a:extLst>
            <a:ext uri="{FF2B5EF4-FFF2-40B4-BE49-F238E27FC236}">
              <a16:creationId xmlns:a16="http://schemas.microsoft.com/office/drawing/2014/main" id="{13D3FC6B-0E2E-4957-8D3F-5ABAAC82D5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0" cy="1949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</xdr:colOff>
      <xdr:row>0</xdr:row>
      <xdr:rowOff>19050</xdr:rowOff>
    </xdr:from>
    <xdr:to>
      <xdr:col>8</xdr:col>
      <xdr:colOff>28575</xdr:colOff>
      <xdr:row>7</xdr:row>
      <xdr:rowOff>42583</xdr:rowOff>
    </xdr:to>
    <xdr:sp macro="" textlink="">
      <xdr:nvSpPr>
        <xdr:cNvPr id="7" name="Object 476" hidden="1">
          <a:extLst>
            <a:ext uri="{FF2B5EF4-FFF2-40B4-BE49-F238E27FC236}">
              <a16:creationId xmlns:a16="http://schemas.microsoft.com/office/drawing/2014/main" id="{0F4F4B2E-F814-46A7-B390-87F6DD086C12}"/>
            </a:ext>
          </a:extLst>
        </xdr:cNvPr>
        <xdr:cNvSpPr>
          <a:spLocks noChangeArrowheads="1"/>
        </xdr:cNvSpPr>
      </xdr:nvSpPr>
      <xdr:spPr bwMode="auto">
        <a:xfrm>
          <a:off x="28575" y="0"/>
          <a:ext cx="0" cy="1949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28575</xdr:colOff>
      <xdr:row>0</xdr:row>
      <xdr:rowOff>19050</xdr:rowOff>
    </xdr:from>
    <xdr:to>
      <xdr:col>8</xdr:col>
      <xdr:colOff>28575</xdr:colOff>
      <xdr:row>7</xdr:row>
      <xdr:rowOff>42583</xdr:rowOff>
    </xdr:to>
    <xdr:pic>
      <xdr:nvPicPr>
        <xdr:cNvPr id="8" name="Picture 476">
          <a:extLst>
            <a:ext uri="{FF2B5EF4-FFF2-40B4-BE49-F238E27FC236}">
              <a16:creationId xmlns:a16="http://schemas.microsoft.com/office/drawing/2014/main" id="{F84E2D56-7CF8-48F6-8B64-BFD4C24082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0" cy="1949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44824</xdr:colOff>
      <xdr:row>6</xdr:row>
      <xdr:rowOff>62755</xdr:rowOff>
    </xdr:from>
    <xdr:to>
      <xdr:col>9</xdr:col>
      <xdr:colOff>251012</xdr:colOff>
      <xdr:row>9</xdr:row>
      <xdr:rowOff>35860</xdr:rowOff>
    </xdr:to>
    <xdr:pic>
      <xdr:nvPicPr>
        <xdr:cNvPr id="9" name="Imagem 8" descr="lles-02">
          <a:extLst>
            <a:ext uri="{FF2B5EF4-FFF2-40B4-BE49-F238E27FC236}">
              <a16:creationId xmlns:a16="http://schemas.microsoft.com/office/drawing/2014/main" id="{7B4C57F0-2FA8-4E1C-9ACA-C3CAC72B2E08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clrChange>
            <a:clrFrom>
              <a:srgbClr val="FFFFFD"/>
            </a:clrFrom>
            <a:clrTo>
              <a:srgbClr val="FFFFFD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8424" b="21124"/>
        <a:stretch/>
      </xdr:blipFill>
      <xdr:spPr bwMode="auto">
        <a:xfrm>
          <a:off x="44824" y="143437"/>
          <a:ext cx="923364" cy="860611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123265</xdr:colOff>
      <xdr:row>0</xdr:row>
      <xdr:rowOff>78441</xdr:rowOff>
    </xdr:from>
    <xdr:to>
      <xdr:col>1</xdr:col>
      <xdr:colOff>493059</xdr:colOff>
      <xdr:row>3</xdr:row>
      <xdr:rowOff>107577</xdr:rowOff>
    </xdr:to>
    <xdr:pic>
      <xdr:nvPicPr>
        <xdr:cNvPr id="2" name="Imagem 1" descr="lles-02">
          <a:extLst>
            <a:ext uri="{FF2B5EF4-FFF2-40B4-BE49-F238E27FC236}">
              <a16:creationId xmlns:a16="http://schemas.microsoft.com/office/drawing/2014/main" id="{DA6C9322-0261-4724-A6FE-9849C9A3EE81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FFFFFD"/>
            </a:clrFrom>
            <a:clrTo>
              <a:srgbClr val="FFFFFD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8424" b="21124"/>
        <a:stretch/>
      </xdr:blipFill>
      <xdr:spPr bwMode="auto">
        <a:xfrm>
          <a:off x="123265" y="78441"/>
          <a:ext cx="903194" cy="92829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123265</xdr:colOff>
      <xdr:row>0</xdr:row>
      <xdr:rowOff>78441</xdr:rowOff>
    </xdr:from>
    <xdr:to>
      <xdr:col>1</xdr:col>
      <xdr:colOff>493059</xdr:colOff>
      <xdr:row>3</xdr:row>
      <xdr:rowOff>107577</xdr:rowOff>
    </xdr:to>
    <xdr:pic>
      <xdr:nvPicPr>
        <xdr:cNvPr id="2" name="Imagem 1" descr="lles-02">
          <a:extLst>
            <a:ext uri="{FF2B5EF4-FFF2-40B4-BE49-F238E27FC236}">
              <a16:creationId xmlns:a16="http://schemas.microsoft.com/office/drawing/2014/main" id="{1FDB0400-6238-4BB8-A253-A17EA7E627B6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FFFFFD"/>
            </a:clrFrom>
            <a:clrTo>
              <a:srgbClr val="FFFFFD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8424" b="21124"/>
        <a:stretch/>
      </xdr:blipFill>
      <xdr:spPr bwMode="auto">
        <a:xfrm>
          <a:off x="123265" y="78441"/>
          <a:ext cx="903194" cy="92829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123265</xdr:colOff>
      <xdr:row>0</xdr:row>
      <xdr:rowOff>78441</xdr:rowOff>
    </xdr:from>
    <xdr:to>
      <xdr:col>1</xdr:col>
      <xdr:colOff>493059</xdr:colOff>
      <xdr:row>3</xdr:row>
      <xdr:rowOff>107577</xdr:rowOff>
    </xdr:to>
    <xdr:pic>
      <xdr:nvPicPr>
        <xdr:cNvPr id="2" name="Imagem 1" descr="lles-02">
          <a:extLst>
            <a:ext uri="{FF2B5EF4-FFF2-40B4-BE49-F238E27FC236}">
              <a16:creationId xmlns:a16="http://schemas.microsoft.com/office/drawing/2014/main" id="{86C132DB-3703-4DED-904A-D2710E947416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FFFFFD"/>
            </a:clrFrom>
            <a:clrTo>
              <a:srgbClr val="FFFFFD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8424" b="21124"/>
        <a:stretch/>
      </xdr:blipFill>
      <xdr:spPr bwMode="auto">
        <a:xfrm>
          <a:off x="123265" y="78441"/>
          <a:ext cx="903194" cy="92829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</xdr:colOff>
      <xdr:row>0</xdr:row>
      <xdr:rowOff>19050</xdr:rowOff>
    </xdr:from>
    <xdr:to>
      <xdr:col>8</xdr:col>
      <xdr:colOff>28575</xdr:colOff>
      <xdr:row>10</xdr:row>
      <xdr:rowOff>118783</xdr:rowOff>
    </xdr:to>
    <xdr:sp macro="" textlink="">
      <xdr:nvSpPr>
        <xdr:cNvPr id="2" name="Object 476" hidden="1">
          <a:extLst>
            <a:ext uri="{FF2B5EF4-FFF2-40B4-BE49-F238E27FC236}">
              <a16:creationId xmlns:a16="http://schemas.microsoft.com/office/drawing/2014/main" id="{49C9FB21-0DEC-4EB7-BE79-BF17BE4A4512}"/>
            </a:ext>
          </a:extLst>
        </xdr:cNvPr>
        <xdr:cNvSpPr>
          <a:spLocks noChangeArrowheads="1"/>
        </xdr:cNvSpPr>
      </xdr:nvSpPr>
      <xdr:spPr bwMode="auto">
        <a:xfrm>
          <a:off x="28575" y="0"/>
          <a:ext cx="0" cy="1949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28575</xdr:colOff>
      <xdr:row>0</xdr:row>
      <xdr:rowOff>19050</xdr:rowOff>
    </xdr:from>
    <xdr:to>
      <xdr:col>8</xdr:col>
      <xdr:colOff>28575</xdr:colOff>
      <xdr:row>10</xdr:row>
      <xdr:rowOff>118783</xdr:rowOff>
    </xdr:to>
    <xdr:pic>
      <xdr:nvPicPr>
        <xdr:cNvPr id="3" name="Picture 476">
          <a:extLst>
            <a:ext uri="{FF2B5EF4-FFF2-40B4-BE49-F238E27FC236}">
              <a16:creationId xmlns:a16="http://schemas.microsoft.com/office/drawing/2014/main" id="{3A678367-423E-40C8-BA17-CB214730BC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0" cy="1949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</xdr:colOff>
      <xdr:row>4</xdr:row>
      <xdr:rowOff>19050</xdr:rowOff>
    </xdr:from>
    <xdr:to>
      <xdr:col>8</xdr:col>
      <xdr:colOff>28575</xdr:colOff>
      <xdr:row>10</xdr:row>
      <xdr:rowOff>118783</xdr:rowOff>
    </xdr:to>
    <xdr:sp macro="" textlink="">
      <xdr:nvSpPr>
        <xdr:cNvPr id="4" name="Object 476" hidden="1">
          <a:extLst>
            <a:ext uri="{FF2B5EF4-FFF2-40B4-BE49-F238E27FC236}">
              <a16:creationId xmlns:a16="http://schemas.microsoft.com/office/drawing/2014/main" id="{D81D4148-CD36-41C1-8D13-C3BB169E49DC}"/>
            </a:ext>
          </a:extLst>
        </xdr:cNvPr>
        <xdr:cNvSpPr>
          <a:spLocks noChangeArrowheads="1"/>
        </xdr:cNvSpPr>
      </xdr:nvSpPr>
      <xdr:spPr bwMode="auto">
        <a:xfrm>
          <a:off x="28575" y="0"/>
          <a:ext cx="0" cy="1949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28575</xdr:colOff>
      <xdr:row>4</xdr:row>
      <xdr:rowOff>19050</xdr:rowOff>
    </xdr:from>
    <xdr:to>
      <xdr:col>8</xdr:col>
      <xdr:colOff>28575</xdr:colOff>
      <xdr:row>10</xdr:row>
      <xdr:rowOff>118783</xdr:rowOff>
    </xdr:to>
    <xdr:pic>
      <xdr:nvPicPr>
        <xdr:cNvPr id="5" name="Picture 476">
          <a:extLst>
            <a:ext uri="{FF2B5EF4-FFF2-40B4-BE49-F238E27FC236}">
              <a16:creationId xmlns:a16="http://schemas.microsoft.com/office/drawing/2014/main" id="{C15BE143-A45C-4533-84D5-ADFCA38FB2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0" cy="1949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683447</xdr:colOff>
      <xdr:row>0</xdr:row>
      <xdr:rowOff>0</xdr:rowOff>
    </xdr:from>
    <xdr:to>
      <xdr:col>16</xdr:col>
      <xdr:colOff>277905</xdr:colOff>
      <xdr:row>12</xdr:row>
      <xdr:rowOff>286870</xdr:rowOff>
    </xdr:to>
    <xdr:pic>
      <xdr:nvPicPr>
        <xdr:cNvPr id="6" name="Image 2">
          <a:extLst>
            <a:ext uri="{FF2B5EF4-FFF2-40B4-BE49-F238E27FC236}">
              <a16:creationId xmlns:a16="http://schemas.microsoft.com/office/drawing/2014/main" id="{7D88274F-6B90-44A9-945F-F2C34125962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79247" y="0"/>
          <a:ext cx="1164178" cy="835510"/>
        </a:xfrm>
        <a:prstGeom prst="rect">
          <a:avLst/>
        </a:prstGeom>
      </xdr:spPr>
    </xdr:pic>
    <xdr:clientData/>
  </xdr:twoCellAnchor>
  <xdr:twoCellAnchor editAs="oneCell">
    <xdr:from>
      <xdr:col>8</xdr:col>
      <xdr:colOff>26893</xdr:colOff>
      <xdr:row>9</xdr:row>
      <xdr:rowOff>30481</xdr:rowOff>
    </xdr:from>
    <xdr:to>
      <xdr:col>9</xdr:col>
      <xdr:colOff>3064</xdr:colOff>
      <xdr:row>13</xdr:row>
      <xdr:rowOff>99477</xdr:rowOff>
    </xdr:to>
    <xdr:pic>
      <xdr:nvPicPr>
        <xdr:cNvPr id="7" name="Image 3">
          <a:extLst>
            <a:ext uri="{FF2B5EF4-FFF2-40B4-BE49-F238E27FC236}">
              <a16:creationId xmlns:a16="http://schemas.microsoft.com/office/drawing/2014/main" id="{CEA4B28E-A300-4650-9917-82D915E43B9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6893" y="30481"/>
          <a:ext cx="692451" cy="103673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36194</xdr:colOff>
      <xdr:row>0</xdr:row>
      <xdr:rowOff>53340</xdr:rowOff>
    </xdr:from>
    <xdr:to>
      <xdr:col>9</xdr:col>
      <xdr:colOff>335279</xdr:colOff>
      <xdr:row>3</xdr:row>
      <xdr:rowOff>68580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E08F1E37-3F8B-CFE8-5BCB-529E6BCED5F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551794" y="53340"/>
          <a:ext cx="1282065" cy="91440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0</xdr:row>
      <xdr:rowOff>22860</xdr:rowOff>
    </xdr:from>
    <xdr:to>
      <xdr:col>1</xdr:col>
      <xdr:colOff>518160</xdr:colOff>
      <xdr:row>3</xdr:row>
      <xdr:rowOff>91440</xdr:rowOff>
    </xdr:to>
    <xdr:pic>
      <xdr:nvPicPr>
        <xdr:cNvPr id="3" name="Image 3">
          <a:extLst>
            <a:ext uri="{FF2B5EF4-FFF2-40B4-BE49-F238E27FC236}">
              <a16:creationId xmlns:a16="http://schemas.microsoft.com/office/drawing/2014/main" id="{DD83309F-296B-C953-5F7D-8522416DFA6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4300" y="22860"/>
          <a:ext cx="1028700" cy="96774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125507</xdr:colOff>
      <xdr:row>0</xdr:row>
      <xdr:rowOff>44824</xdr:rowOff>
    </xdr:from>
    <xdr:to>
      <xdr:col>1</xdr:col>
      <xdr:colOff>156010</xdr:colOff>
      <xdr:row>3</xdr:row>
      <xdr:rowOff>88366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B817F339-9534-42DC-8F6B-A849029BE9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507" y="44824"/>
          <a:ext cx="1025585" cy="94897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168088</xdr:colOff>
      <xdr:row>0</xdr:row>
      <xdr:rowOff>89647</xdr:rowOff>
    </xdr:from>
    <xdr:to>
      <xdr:col>0</xdr:col>
      <xdr:colOff>968188</xdr:colOff>
      <xdr:row>2</xdr:row>
      <xdr:rowOff>331694</xdr:rowOff>
    </xdr:to>
    <xdr:pic>
      <xdr:nvPicPr>
        <xdr:cNvPr id="2" name="Imagem 1" descr="lles-02">
          <a:extLst>
            <a:ext uri="{FF2B5EF4-FFF2-40B4-BE49-F238E27FC236}">
              <a16:creationId xmlns:a16="http://schemas.microsoft.com/office/drawing/2014/main" id="{CD3F50F1-98AD-4471-AC1C-A4CFD8D11BDF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FFFFFD"/>
            </a:clrFrom>
            <a:clrTo>
              <a:srgbClr val="FFFFFD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8424" b="21124"/>
        <a:stretch/>
      </xdr:blipFill>
      <xdr:spPr bwMode="auto">
        <a:xfrm>
          <a:off x="168088" y="89647"/>
          <a:ext cx="800100" cy="79068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123265</xdr:colOff>
      <xdr:row>0</xdr:row>
      <xdr:rowOff>78441</xdr:rowOff>
    </xdr:from>
    <xdr:to>
      <xdr:col>1</xdr:col>
      <xdr:colOff>358589</xdr:colOff>
      <xdr:row>3</xdr:row>
      <xdr:rowOff>53789</xdr:rowOff>
    </xdr:to>
    <xdr:pic>
      <xdr:nvPicPr>
        <xdr:cNvPr id="4" name="Imagem 3" descr="lles-02">
          <a:extLst>
            <a:ext uri="{FF2B5EF4-FFF2-40B4-BE49-F238E27FC236}">
              <a16:creationId xmlns:a16="http://schemas.microsoft.com/office/drawing/2014/main" id="{FDB2DAB8-B6A6-4D80-B2FD-898916971776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FFFFFD"/>
            </a:clrFrom>
            <a:clrTo>
              <a:srgbClr val="FFFFFD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8424" b="21124"/>
        <a:stretch/>
      </xdr:blipFill>
      <xdr:spPr bwMode="auto">
        <a:xfrm>
          <a:off x="123265" y="78441"/>
          <a:ext cx="773206" cy="88078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123265</xdr:colOff>
      <xdr:row>0</xdr:row>
      <xdr:rowOff>78441</xdr:rowOff>
    </xdr:from>
    <xdr:to>
      <xdr:col>1</xdr:col>
      <xdr:colOff>412376</xdr:colOff>
      <xdr:row>3</xdr:row>
      <xdr:rowOff>89647</xdr:rowOff>
    </xdr:to>
    <xdr:pic>
      <xdr:nvPicPr>
        <xdr:cNvPr id="3" name="Imagem 2" descr="lles-02">
          <a:extLst>
            <a:ext uri="{FF2B5EF4-FFF2-40B4-BE49-F238E27FC236}">
              <a16:creationId xmlns:a16="http://schemas.microsoft.com/office/drawing/2014/main" id="{1BC0EEAF-A846-4313-83F9-BDDFFF085D2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FFFFFD"/>
            </a:clrFrom>
            <a:clrTo>
              <a:srgbClr val="FFFFFD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8424" b="21124"/>
        <a:stretch/>
      </xdr:blipFill>
      <xdr:spPr bwMode="auto">
        <a:xfrm>
          <a:off x="123265" y="78441"/>
          <a:ext cx="719417" cy="916641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123265</xdr:colOff>
      <xdr:row>0</xdr:row>
      <xdr:rowOff>78442</xdr:rowOff>
    </xdr:from>
    <xdr:to>
      <xdr:col>1</xdr:col>
      <xdr:colOff>304800</xdr:colOff>
      <xdr:row>2</xdr:row>
      <xdr:rowOff>295836</xdr:rowOff>
    </xdr:to>
    <xdr:pic>
      <xdr:nvPicPr>
        <xdr:cNvPr id="3" name="Imagem 2" descr="lles-02">
          <a:extLst>
            <a:ext uri="{FF2B5EF4-FFF2-40B4-BE49-F238E27FC236}">
              <a16:creationId xmlns:a16="http://schemas.microsoft.com/office/drawing/2014/main" id="{BB13A997-0039-4C2A-9D30-C2AF23B584B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FFFFFD"/>
            </a:clrFrom>
            <a:clrTo>
              <a:srgbClr val="FFFFFD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8424" b="21124"/>
        <a:stretch/>
      </xdr:blipFill>
      <xdr:spPr bwMode="auto">
        <a:xfrm>
          <a:off x="123265" y="78442"/>
          <a:ext cx="719417" cy="77320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Geniv/Desktop/Pavimenta&#231;&#227;o/LAJE_PAV_PONTE_DE_FERRO_CAIX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liente/Desktop/PMSAJ/Pra&#231;a%20S&#227;o%20Benedito/Refer&#234;ncia%2003-201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94a97203a8f5449b/LLES/01%20-%20ATUAIS/PM_MUNIZ_FERREIRA/MUNIZ_ASFALTO/PMSAJ/RUA%20DA%20LINHA/Rua%20da%20Linha%20%20com%20piso%20modelo%20test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liente/Desktop/PMSAJ/RUA%20DA%20LINHA/Rua%20da%20Linha%20%20com%20piso%20modelo%20testa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Meu%20Drive\CAMPO\S&#195;O%20FELIPE\ATA%20ASFALTO\S&#195;O%20FELIPE_PAVIMENTA&#199;&#213;ES_ASFALTICA.xlsx" TargetMode="External"/><Relationship Id="rId1" Type="http://schemas.openxmlformats.org/officeDocument/2006/relationships/externalLinkPath" Target="/Meu%20Drive/CAMPO/S&#195;O%20FELIPE/ATA%20ASFALTO/S&#195;O%20FELIPE_PAVIMENTA&#199;&#213;ES_ASFALTIC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Planilha1"/>
      <sheetName val="EVENTOS"/>
      <sheetName val="CRONO"/>
      <sheetName val="CRONOPLE"/>
      <sheetName val="PLE"/>
      <sheetName val="QCI"/>
      <sheetName val="BM"/>
      <sheetName val="RRE"/>
      <sheetName val="OFÍCIO"/>
      <sheetName val="LAJE_PAV_PONTE_DE_FERRO_CAIXA"/>
    </sheetNames>
    <sheetDataSet>
      <sheetData sheetId="0" refreshError="1">
        <row r="1">
          <cell r="J1" t="str">
            <v>PM</v>
          </cell>
        </row>
        <row r="2">
          <cell r="J2" t="str">
            <v>v3.0.5</v>
          </cell>
        </row>
        <row r="3">
          <cell r="O3">
            <v>1</v>
          </cell>
        </row>
        <row r="4">
          <cell r="O4">
            <v>1</v>
          </cell>
        </row>
      </sheetData>
      <sheetData sheetId="1" refreshError="1">
        <row r="2">
          <cell r="J2" t="str">
            <v>Itens de Investimento</v>
          </cell>
          <cell r="K2" t="str">
            <v>Unidades habitacionais</v>
          </cell>
          <cell r="L2">
            <v>3</v>
          </cell>
          <cell r="M2" t="str">
            <v>Equipamentos comunitários</v>
          </cell>
          <cell r="N2">
            <v>6</v>
          </cell>
          <cell r="O2" t="str">
            <v>Pavimentação</v>
          </cell>
          <cell r="P2">
            <v>6</v>
          </cell>
          <cell r="Q2" t="str">
            <v xml:space="preserve">Drenagem </v>
          </cell>
          <cell r="R2">
            <v>6</v>
          </cell>
          <cell r="S2" t="str">
            <v>Abastecimento de água</v>
          </cell>
          <cell r="T2">
            <v>11</v>
          </cell>
          <cell r="U2" t="str">
            <v>Esgotamento sanitário</v>
          </cell>
          <cell r="V2">
            <v>8</v>
          </cell>
          <cell r="W2" t="str">
            <v>Energia elétrica e iluminação pública</v>
          </cell>
          <cell r="X2">
            <v>4</v>
          </cell>
          <cell r="Y2" t="str">
            <v>Coleta e tratamento de resíduos sólidos</v>
          </cell>
          <cell r="Z2">
            <v>6</v>
          </cell>
          <cell r="AA2" t="str">
            <v xml:space="preserve">Contenção e estabilização de encostas </v>
          </cell>
          <cell r="AB2">
            <v>2</v>
          </cell>
          <cell r="AC2" t="str">
            <v>Regularização fundiária</v>
          </cell>
          <cell r="AD2">
            <v>2</v>
          </cell>
          <cell r="AE2" t="str">
            <v>Aquisição de terreno</v>
          </cell>
          <cell r="AF2">
            <v>2</v>
          </cell>
          <cell r="AG2" t="str">
            <v>Aquisição de equipamentos e insumos</v>
          </cell>
          <cell r="AH2">
            <v>1</v>
          </cell>
          <cell r="AI2" t="str">
            <v>Elaboração de estudos e projetos</v>
          </cell>
          <cell r="AJ2">
            <v>1</v>
          </cell>
          <cell r="AK2" t="str">
            <v>Instrumentos e ações em planejamento e gestão pública</v>
          </cell>
          <cell r="AL2">
            <v>1</v>
          </cell>
          <cell r="AM2" t="str">
            <v>Ações complementares às obras</v>
          </cell>
          <cell r="AN2">
            <v>3</v>
          </cell>
          <cell r="AO2" t="str">
            <v>Gerenciamento</v>
          </cell>
          <cell r="AP2">
            <v>1</v>
          </cell>
          <cell r="AQ2" t="str">
            <v>Trabalho social</v>
          </cell>
          <cell r="AR2">
            <v>4</v>
          </cell>
        </row>
        <row r="3">
          <cell r="J3" t="str">
            <v>Unidades habitacionais</v>
          </cell>
        </row>
        <row r="4">
          <cell r="F4" t="str">
            <v>(SELECIONAR)</v>
          </cell>
          <cell r="J4" t="str">
            <v>Equipamentos comunitários</v>
          </cell>
        </row>
        <row r="5">
          <cell r="F5" t="str">
            <v>PREFEITURA MUNICIPAL DE LAJE</v>
          </cell>
          <cell r="J5" t="str">
            <v>Pavimentação</v>
          </cell>
        </row>
        <row r="6">
          <cell r="F6" t="str">
            <v>LAJE/BA</v>
          </cell>
          <cell r="J6" t="str">
            <v xml:space="preserve">Drenagem </v>
          </cell>
        </row>
        <row r="7">
          <cell r="F7" t="str">
            <v>1075790-09</v>
          </cell>
          <cell r="J7" t="str">
            <v>Abastecimento de água</v>
          </cell>
        </row>
        <row r="8">
          <cell r="F8" t="str">
            <v>23718/2021</v>
          </cell>
          <cell r="J8" t="str">
            <v>Esgotamento sanitário</v>
          </cell>
        </row>
        <row r="9">
          <cell r="F9">
            <v>335775</v>
          </cell>
          <cell r="J9" t="str">
            <v>Energia elétrica e iluminação pública</v>
          </cell>
        </row>
        <row r="10">
          <cell r="F10">
            <v>19526.220000000088</v>
          </cell>
          <cell r="J10" t="str">
            <v>Coleta e tratamento de resíduos sólidos</v>
          </cell>
        </row>
        <row r="11">
          <cell r="J11" t="str">
            <v xml:space="preserve">Contenção e estabilização de encostas </v>
          </cell>
        </row>
        <row r="12">
          <cell r="J12" t="str">
            <v>Regularização fundiária</v>
          </cell>
        </row>
        <row r="13">
          <cell r="J13" t="str">
            <v>Aquisição de terreno</v>
          </cell>
        </row>
        <row r="14">
          <cell r="J14" t="str">
            <v>Aquisição de equipamentos e insumos</v>
          </cell>
        </row>
        <row r="15">
          <cell r="J15" t="str">
            <v>Elaboração de estudos e projetos</v>
          </cell>
        </row>
        <row r="16">
          <cell r="F16" t="str">
            <v>Pavimentação em paralelepípedo,na região da Ponte de Ferro, localizada no município de Laje/BA</v>
          </cell>
          <cell r="J16" t="str">
            <v>Instrumentos e ações em planejamento e gestão pública</v>
          </cell>
        </row>
        <row r="17">
          <cell r="F17" t="str">
            <v>PAVIMENTAÇÃO DE VIAS NO MUNICÍPIO DE LAJE - BAHIA</v>
          </cell>
          <cell r="J17" t="str">
            <v>Ações complementares às obras</v>
          </cell>
        </row>
        <row r="18">
          <cell r="F18" t="str">
            <v>NÃO DESONERADO</v>
          </cell>
          <cell r="J18" t="str">
            <v>Gerenciamento</v>
          </cell>
        </row>
        <row r="19">
          <cell r="J19" t="str">
            <v>Trabalho social</v>
          </cell>
        </row>
        <row r="22">
          <cell r="F22" t="str">
            <v>Vanessa Andrade Montanha</v>
          </cell>
        </row>
        <row r="23">
          <cell r="F23" t="str">
            <v>CREA-BA 3000050507</v>
          </cell>
        </row>
      </sheetData>
      <sheetData sheetId="2" refreshError="1"/>
      <sheetData sheetId="3" refreshError="1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 refreshError="1">
        <row r="8">
          <cell r="F8" t="str">
            <v>'[Referência 09-2021.xls]Banco'!$a5:$a$65536</v>
          </cell>
          <cell r="AF8" t="b">
            <v>1</v>
          </cell>
        </row>
        <row r="10">
          <cell r="AF10" t="b">
            <v>1</v>
          </cell>
        </row>
        <row r="11">
          <cell r="AF11" t="b">
            <v>1</v>
          </cell>
        </row>
        <row r="15">
          <cell r="M15" t="str">
            <v>LOTE</v>
          </cell>
          <cell r="X15">
            <v>0</v>
          </cell>
          <cell r="Z15" t="str">
            <v/>
          </cell>
          <cell r="AA15">
            <v>0</v>
          </cell>
          <cell r="AB15">
            <v>0</v>
          </cell>
        </row>
        <row r="16">
          <cell r="X16">
            <v>0</v>
          </cell>
          <cell r="Z16" t="str">
            <v/>
          </cell>
          <cell r="AA16">
            <v>0</v>
          </cell>
          <cell r="AB16">
            <v>0</v>
          </cell>
        </row>
        <row r="17">
          <cell r="X17">
            <v>0</v>
          </cell>
          <cell r="Z17" t="str">
            <v/>
          </cell>
          <cell r="AA17">
            <v>0</v>
          </cell>
          <cell r="AB17">
            <v>0</v>
          </cell>
        </row>
        <row r="18">
          <cell r="X18">
            <v>0</v>
          </cell>
          <cell r="Z18" t="str">
            <v/>
          </cell>
          <cell r="AA18">
            <v>0</v>
          </cell>
          <cell r="AB18">
            <v>0</v>
          </cell>
        </row>
        <row r="19">
          <cell r="X19">
            <v>0</v>
          </cell>
          <cell r="Z19" t="str">
            <v/>
          </cell>
          <cell r="AA19">
            <v>0</v>
          </cell>
          <cell r="AB19">
            <v>0</v>
          </cell>
        </row>
        <row r="20">
          <cell r="X20">
            <v>0</v>
          </cell>
          <cell r="Z20" t="str">
            <v/>
          </cell>
          <cell r="AA20">
            <v>0</v>
          </cell>
          <cell r="AB20">
            <v>0</v>
          </cell>
        </row>
        <row r="21">
          <cell r="X21">
            <v>0</v>
          </cell>
          <cell r="Z21" t="str">
            <v/>
          </cell>
          <cell r="AA21">
            <v>0</v>
          </cell>
          <cell r="AB21">
            <v>0</v>
          </cell>
        </row>
        <row r="22">
          <cell r="X22">
            <v>0</v>
          </cell>
          <cell r="Z22" t="str">
            <v/>
          </cell>
          <cell r="AA22">
            <v>0</v>
          </cell>
          <cell r="AB22">
            <v>0</v>
          </cell>
        </row>
        <row r="23">
          <cell r="X23">
            <v>0</v>
          </cell>
          <cell r="Z23" t="str">
            <v/>
          </cell>
          <cell r="AA23">
            <v>0</v>
          </cell>
          <cell r="AB23">
            <v>0</v>
          </cell>
        </row>
        <row r="24">
          <cell r="X24">
            <v>0</v>
          </cell>
          <cell r="Z24" t="str">
            <v/>
          </cell>
          <cell r="AA24">
            <v>0</v>
          </cell>
          <cell r="AB24">
            <v>0</v>
          </cell>
        </row>
        <row r="25">
          <cell r="X25">
            <v>0</v>
          </cell>
          <cell r="Z25" t="str">
            <v/>
          </cell>
          <cell r="AA25">
            <v>0</v>
          </cell>
          <cell r="AB25">
            <v>0</v>
          </cell>
        </row>
        <row r="26">
          <cell r="X26">
            <v>0</v>
          </cell>
          <cell r="Z26" t="str">
            <v/>
          </cell>
          <cell r="AA26">
            <v>0</v>
          </cell>
          <cell r="AB26">
            <v>0</v>
          </cell>
        </row>
        <row r="27">
          <cell r="X27">
            <v>0</v>
          </cell>
          <cell r="Z27" t="str">
            <v/>
          </cell>
          <cell r="AA27">
            <v>0</v>
          </cell>
          <cell r="AB27">
            <v>0</v>
          </cell>
        </row>
        <row r="28">
          <cell r="X28">
            <v>0</v>
          </cell>
          <cell r="Z28" t="str">
            <v/>
          </cell>
          <cell r="AA28">
            <v>0</v>
          </cell>
          <cell r="AB28">
            <v>0</v>
          </cell>
        </row>
        <row r="29">
          <cell r="X29">
            <v>0</v>
          </cell>
          <cell r="Z29" t="str">
            <v/>
          </cell>
          <cell r="AA29">
            <v>0</v>
          </cell>
          <cell r="AB29">
            <v>0</v>
          </cell>
        </row>
        <row r="30">
          <cell r="X30">
            <v>0</v>
          </cell>
          <cell r="Z30" t="str">
            <v/>
          </cell>
          <cell r="AA30">
            <v>0</v>
          </cell>
          <cell r="AB30">
            <v>0</v>
          </cell>
        </row>
        <row r="31">
          <cell r="X31">
            <v>0</v>
          </cell>
          <cell r="Z31" t="str">
            <v/>
          </cell>
          <cell r="AA31">
            <v>0</v>
          </cell>
          <cell r="AB31">
            <v>0</v>
          </cell>
        </row>
        <row r="32">
          <cell r="X32">
            <v>0</v>
          </cell>
          <cell r="Z32" t="str">
            <v/>
          </cell>
          <cell r="AA32">
            <v>0</v>
          </cell>
          <cell r="AB32">
            <v>0</v>
          </cell>
        </row>
        <row r="33">
          <cell r="X33">
            <v>0</v>
          </cell>
          <cell r="Z33" t="str">
            <v/>
          </cell>
          <cell r="AA33">
            <v>0</v>
          </cell>
          <cell r="AB33">
            <v>0</v>
          </cell>
        </row>
        <row r="34">
          <cell r="X34">
            <v>0</v>
          </cell>
          <cell r="Z34" t="str">
            <v/>
          </cell>
          <cell r="AA34">
            <v>0</v>
          </cell>
          <cell r="AB34">
            <v>0</v>
          </cell>
        </row>
        <row r="35">
          <cell r="X35">
            <v>0</v>
          </cell>
          <cell r="Z35" t="str">
            <v/>
          </cell>
          <cell r="AA35">
            <v>0</v>
          </cell>
          <cell r="AB35">
            <v>0</v>
          </cell>
        </row>
        <row r="36">
          <cell r="X36">
            <v>0</v>
          </cell>
          <cell r="Z36" t="str">
            <v/>
          </cell>
          <cell r="AA36">
            <v>0</v>
          </cell>
          <cell r="AB36">
            <v>0</v>
          </cell>
        </row>
        <row r="37">
          <cell r="X37">
            <v>0</v>
          </cell>
          <cell r="Z37" t="str">
            <v/>
          </cell>
          <cell r="AA37">
            <v>0</v>
          </cell>
          <cell r="AB37">
            <v>0</v>
          </cell>
        </row>
        <row r="38">
          <cell r="X38">
            <v>0</v>
          </cell>
          <cell r="Z38" t="str">
            <v/>
          </cell>
          <cell r="AA38">
            <v>0</v>
          </cell>
          <cell r="AB38">
            <v>0</v>
          </cell>
        </row>
      </sheetData>
      <sheetData sheetId="5" refreshError="1">
        <row r="12">
          <cell r="A12" t="str">
            <v>Manual</v>
          </cell>
          <cell r="Q12" t="str">
            <v>PONTE DE FERRO 1</v>
          </cell>
          <cell r="AA12" t="str">
            <v>.</v>
          </cell>
        </row>
        <row r="15">
          <cell r="M15">
            <v>0</v>
          </cell>
          <cell r="Q15">
            <v>0</v>
          </cell>
        </row>
        <row r="16">
          <cell r="M16" t="str">
            <v/>
          </cell>
        </row>
        <row r="17">
          <cell r="M17" t="str">
            <v/>
          </cell>
        </row>
        <row r="18">
          <cell r="M18">
            <v>1</v>
          </cell>
        </row>
        <row r="19">
          <cell r="M19" t="str">
            <v/>
          </cell>
        </row>
        <row r="20">
          <cell r="M20">
            <v>2</v>
          </cell>
        </row>
        <row r="21">
          <cell r="M21">
            <v>2</v>
          </cell>
        </row>
        <row r="22">
          <cell r="M22" t="str">
            <v/>
          </cell>
        </row>
        <row r="23">
          <cell r="M23">
            <v>3</v>
          </cell>
        </row>
        <row r="24">
          <cell r="M24">
            <v>3</v>
          </cell>
        </row>
        <row r="25">
          <cell r="M25">
            <v>3</v>
          </cell>
        </row>
        <row r="26">
          <cell r="M26">
            <v>3</v>
          </cell>
        </row>
        <row r="27">
          <cell r="M27">
            <v>3</v>
          </cell>
        </row>
        <row r="28">
          <cell r="M28">
            <v>3</v>
          </cell>
        </row>
        <row r="29">
          <cell r="M29" t="str">
            <v/>
          </cell>
        </row>
        <row r="30">
          <cell r="M30">
            <v>4</v>
          </cell>
        </row>
        <row r="31">
          <cell r="M31">
            <v>4</v>
          </cell>
        </row>
        <row r="32">
          <cell r="M32">
            <v>4</v>
          </cell>
        </row>
        <row r="33">
          <cell r="M33">
            <v>4</v>
          </cell>
        </row>
        <row r="34">
          <cell r="M34" t="str">
            <v/>
          </cell>
        </row>
        <row r="35">
          <cell r="M35">
            <v>5</v>
          </cell>
        </row>
        <row r="36">
          <cell r="M36">
            <v>5</v>
          </cell>
        </row>
        <row r="37">
          <cell r="M37" t="str">
            <v/>
          </cell>
        </row>
        <row r="38">
          <cell r="M38">
            <v>6</v>
          </cell>
        </row>
      </sheetData>
      <sheetData sheetId="6" refreshError="1"/>
      <sheetData sheetId="7" refreshError="1">
        <row r="14">
          <cell r="C14" t="e">
            <v>#VALUE!</v>
          </cell>
        </row>
        <row r="15">
          <cell r="B15" t="str">
            <v>1.Administração Local</v>
          </cell>
          <cell r="C15">
            <v>1</v>
          </cell>
          <cell r="D15" t="str">
            <v>Administração Local</v>
          </cell>
        </row>
        <row r="16">
          <cell r="C16">
            <v>2</v>
          </cell>
        </row>
        <row r="17">
          <cell r="C17">
            <v>3</v>
          </cell>
        </row>
        <row r="18">
          <cell r="C18">
            <v>4</v>
          </cell>
        </row>
        <row r="19">
          <cell r="C19">
            <v>5</v>
          </cell>
        </row>
        <row r="20">
          <cell r="C20">
            <v>6</v>
          </cell>
        </row>
      </sheetData>
      <sheetData sheetId="8" refreshError="1">
        <row r="10">
          <cell r="G10">
            <v>2</v>
          </cell>
        </row>
      </sheetData>
      <sheetData sheetId="9" refreshError="1"/>
      <sheetData sheetId="10" refreshError="1">
        <row r="9">
          <cell r="J9">
            <v>1</v>
          </cell>
        </row>
        <row r="15">
          <cell r="A15" t="str">
            <v/>
          </cell>
          <cell r="B15">
            <v>1</v>
          </cell>
          <cell r="C15" t="str">
            <v>Administração Local</v>
          </cell>
          <cell r="H15" t="str">
            <v>A administração local será proporcional a execução dos demais eventos, independente de frentes de obra.</v>
          </cell>
        </row>
        <row r="21">
          <cell r="A21" t="str">
            <v>F</v>
          </cell>
        </row>
      </sheetData>
      <sheetData sheetId="11" refreshError="1">
        <row r="13">
          <cell r="B13" t="str">
            <v>Busca</v>
          </cell>
          <cell r="E13" t="str">
            <v>Item de Investimento</v>
          </cell>
          <cell r="F13" t="str">
            <v>Subitem de Investimento</v>
          </cell>
          <cell r="H13" t="str">
            <v>Situação</v>
          </cell>
          <cell r="I13" t="str">
            <v>Quantidade</v>
          </cell>
          <cell r="O13" t="str">
            <v>Investimento (R$)</v>
          </cell>
          <cell r="R13" t="str">
            <v>Descrição da Meta</v>
          </cell>
          <cell r="T13" t="str">
            <v>Lote de Licitação / nº do CTEF</v>
          </cell>
          <cell r="U13" t="str">
            <v>Investimento (R$)</v>
          </cell>
          <cell r="V13" t="str">
            <v>Divisão do Investimento</v>
          </cell>
          <cell r="W13" t="str">
            <v>Contrapartida Financeira (R$)</v>
          </cell>
          <cell r="X13" t="str">
            <v>Outros (R$)</v>
          </cell>
        </row>
        <row r="14">
          <cell r="B14" t="str">
            <v>Automático</v>
          </cell>
          <cell r="O14">
            <v>0</v>
          </cell>
          <cell r="AA14">
            <v>0</v>
          </cell>
          <cell r="AB14">
            <v>0</v>
          </cell>
        </row>
        <row r="15">
          <cell r="B15" t="str">
            <v>Branco</v>
          </cell>
          <cell r="O15">
            <v>0</v>
          </cell>
          <cell r="AA15">
            <v>0</v>
          </cell>
          <cell r="AB15">
            <v>0</v>
          </cell>
        </row>
        <row r="16">
          <cell r="B16" t="str">
            <v>Branco</v>
          </cell>
          <cell r="O16">
            <v>0</v>
          </cell>
          <cell r="AA16">
            <v>0</v>
          </cell>
          <cell r="AB16">
            <v>0</v>
          </cell>
        </row>
        <row r="17">
          <cell r="B17" t="str">
            <v>Branco</v>
          </cell>
          <cell r="O17">
            <v>0</v>
          </cell>
          <cell r="AA17">
            <v>0</v>
          </cell>
          <cell r="AB17">
            <v>0</v>
          </cell>
        </row>
        <row r="18">
          <cell r="B18" t="str">
            <v>Branco</v>
          </cell>
          <cell r="O18">
            <v>0</v>
          </cell>
          <cell r="AA18">
            <v>0</v>
          </cell>
          <cell r="AB18">
            <v>0</v>
          </cell>
        </row>
        <row r="19">
          <cell r="B19" t="str">
            <v>Branco</v>
          </cell>
          <cell r="O19">
            <v>0</v>
          </cell>
          <cell r="AA19">
            <v>0</v>
          </cell>
          <cell r="AB19">
            <v>0</v>
          </cell>
        </row>
        <row r="20">
          <cell r="B20" t="str">
            <v>Branco</v>
          </cell>
          <cell r="O20">
            <v>0</v>
          </cell>
          <cell r="AA20">
            <v>0</v>
          </cell>
          <cell r="AB20">
            <v>0</v>
          </cell>
        </row>
        <row r="21">
          <cell r="B21" t="str">
            <v>Branco</v>
          </cell>
          <cell r="O21">
            <v>0</v>
          </cell>
          <cell r="AA21">
            <v>0</v>
          </cell>
          <cell r="AB21">
            <v>0</v>
          </cell>
        </row>
        <row r="22">
          <cell r="B22" t="str">
            <v>Branco</v>
          </cell>
          <cell r="O22">
            <v>0</v>
          </cell>
          <cell r="AA22">
            <v>0</v>
          </cell>
          <cell r="AB22">
            <v>0</v>
          </cell>
        </row>
        <row r="23">
          <cell r="B23" t="str">
            <v>Branco</v>
          </cell>
          <cell r="O23">
            <v>0</v>
          </cell>
          <cell r="AA23">
            <v>0</v>
          </cell>
          <cell r="AB23">
            <v>0</v>
          </cell>
        </row>
        <row r="24">
          <cell r="B24" t="str">
            <v>TR$</v>
          </cell>
          <cell r="O24">
            <v>0</v>
          </cell>
          <cell r="AA24">
            <v>0</v>
          </cell>
          <cell r="AB24">
            <v>0</v>
          </cell>
        </row>
      </sheetData>
      <sheetData sheetId="12" refreshError="1">
        <row r="3">
          <cell r="A3" t="b">
            <v>0</v>
          </cell>
        </row>
        <row r="7">
          <cell r="O7" t="str">
            <v>Nº MEDIÇÃO</v>
          </cell>
        </row>
        <row r="9">
          <cell r="A9" t="b">
            <v>1</v>
          </cell>
        </row>
        <row r="13">
          <cell r="AB13">
            <v>1</v>
          </cell>
          <cell r="AC13">
            <v>2</v>
          </cell>
          <cell r="AD13">
            <v>3</v>
          </cell>
          <cell r="AE13">
            <v>4</v>
          </cell>
          <cell r="AF13">
            <v>5</v>
          </cell>
          <cell r="AG13">
            <v>6</v>
          </cell>
          <cell r="AH13">
            <v>7</v>
          </cell>
          <cell r="AI13">
            <v>8</v>
          </cell>
          <cell r="AJ13">
            <v>9</v>
          </cell>
          <cell r="AK13">
            <v>10</v>
          </cell>
          <cell r="AL13">
            <v>11</v>
          </cell>
          <cell r="AM13">
            <v>12</v>
          </cell>
        </row>
      </sheetData>
      <sheetData sheetId="13" refreshError="1">
        <row r="7">
          <cell r="O7">
            <v>355301.22000000009</v>
          </cell>
        </row>
        <row r="26">
          <cell r="AC26" t="e">
            <v>#DIV/0!</v>
          </cell>
          <cell r="AD26" t="e">
            <v>#DIV/0!</v>
          </cell>
        </row>
        <row r="27">
          <cell r="AC27" t="e">
            <v>#DIV/0!</v>
          </cell>
          <cell r="AD27" t="e">
            <v>#DIV/0!</v>
          </cell>
        </row>
      </sheetData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</v>
          </cell>
        </row>
        <row r="8">
          <cell r="A8" t="str">
            <v>SINAPI-I</v>
          </cell>
        </row>
        <row r="9">
          <cell r="A9" t="str">
            <v>SINAPI-I</v>
          </cell>
        </row>
        <row r="10">
          <cell r="A10" t="str">
            <v>ORSE</v>
          </cell>
        </row>
        <row r="11">
          <cell r="A11" t="str">
            <v>ORSE-I</v>
          </cell>
        </row>
      </sheetData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evantamento Quantitativo"/>
      <sheetName val="Planilha Global"/>
      <sheetName val="Cotações"/>
      <sheetName val="COMPOSIÇÕES AUXILIARES"/>
      <sheetName val="Cronograma"/>
      <sheetName val="BDI"/>
      <sheetName val="administração"/>
      <sheetName val="Plan2"/>
      <sheetName val="curva abc"/>
    </sheetNames>
    <sheetDataSet>
      <sheetData sheetId="0"/>
      <sheetData sheetId="1"/>
      <sheetData sheetId="2"/>
      <sheetData sheetId="3"/>
      <sheetData sheetId="4">
        <row r="5">
          <cell r="D5" t="str">
            <v>PROJETO DE SINALIZAÇÃO E ADEQUAÇÃO DO CANTEIRO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evantamento Quantitativo"/>
      <sheetName val="Planilha Global"/>
      <sheetName val="Cotações"/>
      <sheetName val="COMPOSIÇÕES AUXILIARES"/>
      <sheetName val="Cronograma"/>
      <sheetName val="BDI"/>
      <sheetName val="administração"/>
      <sheetName val="Plan2"/>
      <sheetName val="curva abc"/>
    </sheetNames>
    <sheetDataSet>
      <sheetData sheetId="0"/>
      <sheetData sheetId="1">
        <row r="5">
          <cell r="E5" t="str">
            <v>PROJETO DE SINALIZAÇÃO E ADEQUAÇÃO DO CANTEIRO</v>
          </cell>
        </row>
      </sheetData>
      <sheetData sheetId="2">
        <row r="20">
          <cell r="F20">
            <v>398</v>
          </cell>
        </row>
      </sheetData>
      <sheetData sheetId="3">
        <row r="18">
          <cell r="C18" t="str">
            <v>Lixeira  redonda com cesto 67L de madeira plástica ipê, com tampa para coleta seletiva, com trava de fechamento: Confeccionada com polipropileno injetado, com suporte em maciço de madeira plastica reciclável d=50cm fixada em base de concreto.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BDI"/>
      <sheetName val="BDI (2)"/>
      <sheetName val="SÃO SEBASTIAO"/>
      <sheetName val="SÃO BENEDITO"/>
      <sheetName val="RUA DA LINHA"/>
      <sheetName val="ORÇAMENTO SINTÉTICO"/>
      <sheetName val="RESUMO"/>
      <sheetName val="COMPOSIÇÕES"/>
      <sheetName val="CRONOGRAMA"/>
      <sheetName val="CURVA ABC"/>
      <sheetName val="Cotações "/>
      <sheetName val="PLANILHA REPROGRAMAÇÃO"/>
      <sheetName val="PLANILHA SERVIÇOS EXTRAS"/>
      <sheetName val="PLANILHA CONTROLE"/>
    </sheetNames>
    <sheetDataSet>
      <sheetData sheetId="0">
        <row r="10">
          <cell r="B10" t="str">
            <v>SINAPI - 04/2025 - Bahia
SICRO3 - 01/2025 - Bahia
ORSE - 02/2025 - Sergipe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/>
  <dimension ref="A1:B42"/>
  <sheetViews>
    <sheetView showGridLines="0" zoomScale="85" zoomScaleNormal="85" workbookViewId="0">
      <selection activeCell="B8" sqref="B8"/>
    </sheetView>
  </sheetViews>
  <sheetFormatPr defaultColWidth="8.88671875" defaultRowHeight="13.2" x14ac:dyDescent="0.25"/>
  <cols>
    <col min="1" max="1" width="26.44140625" style="84" customWidth="1"/>
    <col min="2" max="2" width="58" style="1" customWidth="1"/>
    <col min="3" max="16384" width="8.88671875" style="1"/>
  </cols>
  <sheetData>
    <row r="1" spans="1:2" ht="19.2" customHeight="1" x14ac:dyDescent="0.25">
      <c r="A1" s="452" t="s">
        <v>74</v>
      </c>
      <c r="B1" s="452"/>
    </row>
    <row r="2" spans="1:2" ht="7.2" customHeight="1" thickBot="1" x14ac:dyDescent="0.3"/>
    <row r="3" spans="1:2" ht="13.8" thickBot="1" x14ac:dyDescent="0.3">
      <c r="A3" s="453" t="s">
        <v>64</v>
      </c>
      <c r="B3" s="454"/>
    </row>
    <row r="4" spans="1:2" s="91" customFormat="1" ht="13.8" thickTop="1" x14ac:dyDescent="0.3">
      <c r="A4" s="96" t="s">
        <v>62</v>
      </c>
      <c r="B4" s="97" t="s">
        <v>505</v>
      </c>
    </row>
    <row r="5" spans="1:2" s="91" customFormat="1" ht="13.8" thickBot="1" x14ac:dyDescent="0.35">
      <c r="A5" s="100" t="s">
        <v>63</v>
      </c>
      <c r="B5" s="104" t="s">
        <v>506</v>
      </c>
    </row>
    <row r="6" spans="1:2" s="91" customFormat="1" ht="13.8" thickBot="1" x14ac:dyDescent="0.35"/>
    <row r="7" spans="1:2" s="91" customFormat="1" ht="13.8" thickBot="1" x14ac:dyDescent="0.35">
      <c r="A7" s="453" t="s">
        <v>65</v>
      </c>
      <c r="B7" s="454"/>
    </row>
    <row r="8" spans="1:2" s="91" customFormat="1" ht="27" thickTop="1" x14ac:dyDescent="0.3">
      <c r="A8" s="96" t="s">
        <v>66</v>
      </c>
      <c r="B8" s="111" t="s">
        <v>507</v>
      </c>
    </row>
    <row r="9" spans="1:2" s="91" customFormat="1" x14ac:dyDescent="0.3">
      <c r="A9" s="96" t="s">
        <v>166</v>
      </c>
      <c r="B9" s="111"/>
    </row>
    <row r="10" spans="1:2" s="91" customFormat="1" ht="39.6" x14ac:dyDescent="0.3">
      <c r="A10" s="98" t="s">
        <v>71</v>
      </c>
      <c r="B10" s="101" t="s">
        <v>508</v>
      </c>
    </row>
    <row r="11" spans="1:2" s="91" customFormat="1" x14ac:dyDescent="0.3">
      <c r="A11" s="98" t="s">
        <v>72</v>
      </c>
      <c r="B11" s="102">
        <v>0.2009</v>
      </c>
    </row>
    <row r="12" spans="1:2" s="91" customFormat="1" ht="13.8" thickBot="1" x14ac:dyDescent="0.35">
      <c r="A12" s="100" t="s">
        <v>73</v>
      </c>
      <c r="B12" s="103">
        <v>1.2009000000000001</v>
      </c>
    </row>
    <row r="13" spans="1:2" ht="13.8" thickBot="1" x14ac:dyDescent="0.3"/>
    <row r="14" spans="1:2" ht="13.8" thickBot="1" x14ac:dyDescent="0.3">
      <c r="A14" s="453" t="s">
        <v>67</v>
      </c>
      <c r="B14" s="454"/>
    </row>
    <row r="15" spans="1:2" s="91" customFormat="1" ht="16.2" thickTop="1" x14ac:dyDescent="0.3">
      <c r="A15" s="96" t="s">
        <v>22</v>
      </c>
      <c r="B15" s="180" t="s">
        <v>509</v>
      </c>
    </row>
    <row r="16" spans="1:2" s="91" customFormat="1" ht="15.6" x14ac:dyDescent="0.3">
      <c r="A16" s="98" t="s">
        <v>24</v>
      </c>
      <c r="B16" s="180" t="s">
        <v>510</v>
      </c>
    </row>
    <row r="17" spans="1:2" s="91" customFormat="1" ht="15.6" x14ac:dyDescent="0.3">
      <c r="A17" s="105" t="s">
        <v>25</v>
      </c>
      <c r="B17" s="180" t="s">
        <v>511</v>
      </c>
    </row>
    <row r="18" spans="1:2" s="91" customFormat="1" ht="13.8" thickBot="1" x14ac:dyDescent="0.35">
      <c r="A18" s="100" t="s">
        <v>75</v>
      </c>
      <c r="B18" s="106">
        <f ca="1">TODAY()</f>
        <v>45812</v>
      </c>
    </row>
    <row r="19" spans="1:2" ht="13.8" thickBot="1" x14ac:dyDescent="0.3"/>
    <row r="20" spans="1:2" ht="13.8" thickBot="1" x14ac:dyDescent="0.3">
      <c r="A20" s="453" t="s">
        <v>68</v>
      </c>
      <c r="B20" s="454"/>
    </row>
    <row r="21" spans="1:2" ht="13.8" thickTop="1" x14ac:dyDescent="0.25">
      <c r="A21" s="92" t="s">
        <v>22</v>
      </c>
      <c r="B21" s="93"/>
    </row>
    <row r="22" spans="1:2" ht="13.8" thickBot="1" x14ac:dyDescent="0.3">
      <c r="A22" s="94" t="s">
        <v>69</v>
      </c>
      <c r="B22" s="95" t="s">
        <v>70</v>
      </c>
    </row>
    <row r="25" spans="1:2" ht="19.2" customHeight="1" x14ac:dyDescent="0.25">
      <c r="A25" s="452" t="s">
        <v>282</v>
      </c>
      <c r="B25" s="452"/>
    </row>
    <row r="26" spans="1:2" ht="7.2" customHeight="1" thickBot="1" x14ac:dyDescent="0.3"/>
    <row r="27" spans="1:2" ht="13.8" thickBot="1" x14ac:dyDescent="0.3">
      <c r="A27" s="455" t="s">
        <v>80</v>
      </c>
      <c r="B27" s="456"/>
    </row>
    <row r="28" spans="1:2" ht="13.8" thickTop="1" x14ac:dyDescent="0.25">
      <c r="A28" s="92" t="s">
        <v>283</v>
      </c>
      <c r="B28" s="93"/>
    </row>
    <row r="29" spans="1:2" x14ac:dyDescent="0.25">
      <c r="A29" s="107" t="s">
        <v>5</v>
      </c>
      <c r="B29" s="108"/>
    </row>
    <row r="30" spans="1:2" ht="13.8" thickBot="1" x14ac:dyDescent="0.3">
      <c r="A30" s="94" t="s">
        <v>284</v>
      </c>
      <c r="B30" s="360"/>
    </row>
    <row r="33" spans="1:2" ht="19.2" customHeight="1" x14ac:dyDescent="0.25">
      <c r="A33" s="452" t="s">
        <v>76</v>
      </c>
      <c r="B33" s="452"/>
    </row>
    <row r="34" spans="1:2" ht="7.2" customHeight="1" thickBot="1" x14ac:dyDescent="0.3"/>
    <row r="35" spans="1:2" ht="13.8" thickBot="1" x14ac:dyDescent="0.3">
      <c r="A35" s="455" t="s">
        <v>80</v>
      </c>
      <c r="B35" s="456"/>
    </row>
    <row r="36" spans="1:2" ht="13.8" thickTop="1" x14ac:dyDescent="0.25">
      <c r="A36" s="92" t="s">
        <v>77</v>
      </c>
      <c r="B36" s="109"/>
    </row>
    <row r="37" spans="1:2" ht="13.8" thickBot="1" x14ac:dyDescent="0.3">
      <c r="A37" s="94" t="s">
        <v>78</v>
      </c>
      <c r="B37" s="110"/>
    </row>
    <row r="38" spans="1:2" ht="13.8" thickBot="1" x14ac:dyDescent="0.3"/>
    <row r="39" spans="1:2" ht="13.8" thickBot="1" x14ac:dyDescent="0.3">
      <c r="A39" s="453" t="s">
        <v>79</v>
      </c>
      <c r="B39" s="454"/>
    </row>
    <row r="40" spans="1:2" ht="13.8" thickTop="1" x14ac:dyDescent="0.25">
      <c r="A40" s="96" t="s">
        <v>22</v>
      </c>
      <c r="B40" s="97"/>
    </row>
    <row r="41" spans="1:2" x14ac:dyDescent="0.25">
      <c r="A41" s="98" t="s">
        <v>24</v>
      </c>
      <c r="B41" s="99"/>
    </row>
    <row r="42" spans="1:2" ht="13.8" thickBot="1" x14ac:dyDescent="0.3">
      <c r="A42" s="100" t="s">
        <v>25</v>
      </c>
      <c r="B42" s="104"/>
    </row>
  </sheetData>
  <mergeCells count="10">
    <mergeCell ref="A3:B3"/>
    <mergeCell ref="A14:B14"/>
    <mergeCell ref="A7:B7"/>
    <mergeCell ref="A20:B20"/>
    <mergeCell ref="A1:B1"/>
    <mergeCell ref="A25:B25"/>
    <mergeCell ref="A33:B33"/>
    <mergeCell ref="A39:B39"/>
    <mergeCell ref="A35:B35"/>
    <mergeCell ref="A27:B27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2">
    <pageSetUpPr fitToPage="1"/>
  </sheetPr>
  <dimension ref="A1:AE72"/>
  <sheetViews>
    <sheetView topLeftCell="I25" zoomScale="85" zoomScaleNormal="85" workbookViewId="0">
      <selection activeCell="T28" sqref="T28:U36"/>
    </sheetView>
  </sheetViews>
  <sheetFormatPr defaultColWidth="0" defaultRowHeight="0" customHeight="1" zeroHeight="1" x14ac:dyDescent="0.25"/>
  <cols>
    <col min="1" max="1" width="29.44140625" style="124" hidden="1" customWidth="1"/>
    <col min="2" max="3" width="8.88671875" style="124" hidden="1" customWidth="1"/>
    <col min="4" max="4" width="22.88671875" style="124" hidden="1" customWidth="1"/>
    <col min="5" max="8" width="8.88671875" style="124" hidden="1" customWidth="1"/>
    <col min="9" max="12" width="10.44140625" style="124" customWidth="1"/>
    <col min="13" max="13" width="13.33203125" style="124" customWidth="1"/>
    <col min="14" max="14" width="10.44140625" style="124" customWidth="1"/>
    <col min="15" max="15" width="12.44140625" style="124" customWidth="1"/>
    <col min="16" max="18" width="10.44140625" style="124" customWidth="1"/>
    <col min="19" max="19" width="3.5546875" style="151" customWidth="1"/>
    <col min="20" max="20" width="28.6640625" style="151" customWidth="1"/>
    <col min="21" max="21" width="13.33203125" style="151" customWidth="1"/>
    <col min="22" max="16384" width="8.88671875" style="151" hidden="1"/>
  </cols>
  <sheetData>
    <row r="1" spans="1:19" ht="15" hidden="1" customHeight="1" x14ac:dyDescent="0.25">
      <c r="E1" s="166" t="s">
        <v>138</v>
      </c>
      <c r="F1" s="166" t="s">
        <v>139</v>
      </c>
      <c r="G1" s="166" t="s">
        <v>140</v>
      </c>
      <c r="N1" s="167" t="e">
        <f ca="1">"Quadro de Composição do BDI "&amp;MID(CELL("nome.arquivo",N1),5+FIND("BDI (",CELL("nome.arquivo",N1)),1)</f>
        <v>#VALUE!</v>
      </c>
      <c r="Q1" s="168"/>
      <c r="R1" s="168"/>
    </row>
    <row r="2" spans="1:19" ht="14.4" hidden="1" x14ac:dyDescent="0.25">
      <c r="A2" s="124" t="s">
        <v>102</v>
      </c>
      <c r="B2" s="169" t="s">
        <v>84</v>
      </c>
      <c r="C2" s="124" t="str">
        <f>CONCATENATE(A2,"-",B2)</f>
        <v>Construção e Reforma de Edifícios-AC</v>
      </c>
      <c r="E2" s="170">
        <v>0.03</v>
      </c>
      <c r="F2" s="170">
        <v>0.04</v>
      </c>
      <c r="G2" s="170">
        <v>5.5E-2</v>
      </c>
      <c r="Q2" s="168"/>
      <c r="R2" s="168"/>
    </row>
    <row r="3" spans="1:19" ht="13.2" hidden="1" x14ac:dyDescent="0.25">
      <c r="A3" s="124" t="str">
        <f>A2</f>
        <v>Construção e Reforma de Edifícios</v>
      </c>
      <c r="B3" s="169" t="s">
        <v>85</v>
      </c>
      <c r="C3" s="124" t="str">
        <f>CONCATENATE(A3,"-",B3)</f>
        <v>Construção e Reforma de Edifícios-SG</v>
      </c>
      <c r="E3" s="170">
        <v>8.0000000000000002E-3</v>
      </c>
      <c r="F3" s="170">
        <v>8.0000000000000002E-3</v>
      </c>
      <c r="G3" s="170">
        <v>0.01</v>
      </c>
    </row>
    <row r="4" spans="1:19" ht="13.2" hidden="1" x14ac:dyDescent="0.25">
      <c r="A4" s="124" t="str">
        <f>A3</f>
        <v>Construção e Reforma de Edifícios</v>
      </c>
      <c r="B4" s="169" t="s">
        <v>86</v>
      </c>
      <c r="C4" s="124" t="str">
        <f>CONCATENATE(A4,"-",B4)</f>
        <v>Construção e Reforma de Edifícios-R</v>
      </c>
      <c r="E4" s="170">
        <v>9.7000000000000003E-3</v>
      </c>
      <c r="F4" s="170">
        <v>1.2699999999999999E-2</v>
      </c>
      <c r="G4" s="170">
        <v>1.2699999999999999E-2</v>
      </c>
      <c r="I4" s="490" t="s">
        <v>141</v>
      </c>
      <c r="J4" s="492"/>
      <c r="K4" s="490" t="s">
        <v>142</v>
      </c>
      <c r="L4" s="491"/>
      <c r="M4" s="491"/>
      <c r="N4" s="491"/>
      <c r="O4" s="491"/>
      <c r="P4" s="491"/>
      <c r="Q4" s="491"/>
      <c r="R4" s="492"/>
    </row>
    <row r="5" spans="1:19" ht="12.75" hidden="1" customHeight="1" x14ac:dyDescent="0.35">
      <c r="A5" s="124" t="str">
        <f>A4</f>
        <v>Construção e Reforma de Edifícios</v>
      </c>
      <c r="B5" s="169" t="s">
        <v>87</v>
      </c>
      <c r="C5" s="124" t="str">
        <f>CONCATENATE(A5,"-",B5)</f>
        <v>Construção e Reforma de Edifícios-DF</v>
      </c>
      <c r="E5" s="170">
        <v>5.8999999999999999E-3</v>
      </c>
      <c r="F5" s="170">
        <v>1.23E-2</v>
      </c>
      <c r="G5" s="170">
        <v>1.3899999999999999E-2</v>
      </c>
      <c r="I5" s="498" t="s">
        <v>270</v>
      </c>
      <c r="J5" s="499"/>
      <c r="K5" s="500" t="s">
        <v>271</v>
      </c>
      <c r="L5" s="501"/>
      <c r="M5" s="501"/>
      <c r="N5" s="501"/>
      <c r="O5" s="501"/>
      <c r="P5" s="501"/>
      <c r="Q5" s="501"/>
      <c r="R5" s="499"/>
      <c r="S5" s="152"/>
    </row>
    <row r="6" spans="1:19" ht="15.6" hidden="1" customHeight="1" x14ac:dyDescent="0.35">
      <c r="B6" s="169"/>
      <c r="E6" s="170"/>
      <c r="F6" s="170"/>
      <c r="G6" s="170"/>
      <c r="I6" s="502" t="s">
        <v>143</v>
      </c>
      <c r="J6" s="502"/>
      <c r="K6" s="502"/>
      <c r="L6" s="502"/>
      <c r="M6" s="502"/>
      <c r="N6" s="502"/>
      <c r="O6" s="502"/>
      <c r="P6" s="502"/>
      <c r="Q6" s="502"/>
      <c r="R6" s="502"/>
      <c r="S6" s="152"/>
    </row>
    <row r="7" spans="1:19" ht="15.6" hidden="1" customHeight="1" x14ac:dyDescent="0.25">
      <c r="A7" s="124" t="str">
        <f>A5</f>
        <v>Construção e Reforma de Edifícios</v>
      </c>
      <c r="B7" s="169" t="s">
        <v>88</v>
      </c>
      <c r="C7" s="124" t="str">
        <f t="shared" ref="C7:C27" si="0">CONCATENATE(A7,"-",B7)</f>
        <v>Construção e Reforma de Edifícios-L</v>
      </c>
      <c r="E7" s="170">
        <v>6.1600000000000002E-2</v>
      </c>
      <c r="F7" s="170">
        <v>7.400000000000001E-2</v>
      </c>
      <c r="G7" s="170">
        <v>8.9600000000000013E-2</v>
      </c>
      <c r="I7" s="171"/>
      <c r="J7" s="171"/>
      <c r="K7" s="171"/>
      <c r="L7" s="171"/>
      <c r="M7" s="171"/>
      <c r="N7" s="171"/>
      <c r="O7" s="171"/>
      <c r="P7" s="171"/>
      <c r="Q7" s="171"/>
      <c r="R7" s="171"/>
    </row>
    <row r="8" spans="1:19" ht="15.6" hidden="1" customHeight="1" x14ac:dyDescent="0.25">
      <c r="A8" s="124" t="str">
        <f>A7</f>
        <v>Construção e Reforma de Edifícios</v>
      </c>
      <c r="B8" s="153" t="s">
        <v>92</v>
      </c>
      <c r="C8" s="124" t="str">
        <f t="shared" si="0"/>
        <v>Construção e Reforma de Edifícios-BDI PAD</v>
      </c>
      <c r="E8" s="170">
        <v>0.2034</v>
      </c>
      <c r="F8" s="170">
        <v>0.22120000000000001</v>
      </c>
      <c r="G8" s="170">
        <v>0.25</v>
      </c>
      <c r="I8" s="490" t="s">
        <v>144</v>
      </c>
      <c r="J8" s="491"/>
      <c r="K8" s="491"/>
      <c r="L8" s="491"/>
      <c r="M8" s="491"/>
      <c r="N8" s="491"/>
      <c r="O8" s="491"/>
      <c r="P8" s="491"/>
      <c r="Q8" s="491"/>
      <c r="R8" s="492"/>
    </row>
    <row r="9" spans="1:19" ht="15.6" hidden="1" customHeight="1" x14ac:dyDescent="0.25">
      <c r="A9" s="124" t="s">
        <v>103</v>
      </c>
      <c r="B9" s="169" t="s">
        <v>84</v>
      </c>
      <c r="C9" s="124" t="str">
        <f t="shared" si="0"/>
        <v>Construção de Praças Urbanas, Rodovias, Ferrovias e recapeamento e pavimentação de vias urbanas-AC</v>
      </c>
      <c r="E9" s="170">
        <v>3.7999999999999999E-2</v>
      </c>
      <c r="F9" s="170">
        <v>4.0099999999999997E-2</v>
      </c>
      <c r="G9" s="170">
        <v>4.6699999999999998E-2</v>
      </c>
      <c r="I9" s="503" t="s">
        <v>278</v>
      </c>
      <c r="J9" s="504"/>
      <c r="K9" s="504"/>
      <c r="L9" s="504"/>
      <c r="M9" s="504"/>
      <c r="N9" s="504"/>
      <c r="O9" s="504"/>
      <c r="P9" s="504"/>
      <c r="Q9" s="504"/>
      <c r="R9" s="505"/>
    </row>
    <row r="10" spans="1:19" ht="6" customHeight="1" x14ac:dyDescent="0.25">
      <c r="A10" s="124" t="s">
        <v>103</v>
      </c>
      <c r="B10" s="169" t="s">
        <v>85</v>
      </c>
      <c r="C10" s="124" t="str">
        <f t="shared" si="0"/>
        <v>Construção de Praças Urbanas, Rodovias, Ferrovias e recapeamento e pavimentação de vias urbanas-SG</v>
      </c>
      <c r="E10" s="170">
        <v>3.2000000000000002E-3</v>
      </c>
      <c r="F10" s="170">
        <v>4.0000000000000001E-3</v>
      </c>
      <c r="G10" s="170">
        <v>7.4000000000000003E-3</v>
      </c>
      <c r="I10" s="171"/>
      <c r="J10" s="171"/>
      <c r="K10" s="171"/>
      <c r="L10" s="171"/>
      <c r="M10" s="171"/>
      <c r="N10" s="171"/>
      <c r="O10" s="171"/>
      <c r="P10" s="171"/>
      <c r="Q10" s="171"/>
      <c r="R10" s="171"/>
    </row>
    <row r="11" spans="1:19" ht="18.600000000000001" customHeight="1" x14ac:dyDescent="0.25">
      <c r="B11" s="169"/>
      <c r="E11" s="170"/>
      <c r="F11" s="170"/>
      <c r="G11" s="170"/>
      <c r="I11" s="507"/>
      <c r="J11" s="507"/>
      <c r="K11" s="507"/>
      <c r="L11" s="507"/>
      <c r="M11" s="507"/>
      <c r="N11" s="507"/>
      <c r="O11" s="507"/>
      <c r="P11" s="507"/>
      <c r="Q11" s="507"/>
      <c r="R11" s="507"/>
    </row>
    <row r="12" spans="1:19" ht="18.600000000000001" customHeight="1" x14ac:dyDescent="0.25">
      <c r="B12" s="169"/>
      <c r="E12" s="170"/>
      <c r="F12" s="170"/>
      <c r="G12" s="170"/>
      <c r="I12" s="497"/>
      <c r="J12" s="497"/>
      <c r="K12" s="497"/>
      <c r="L12" s="497"/>
      <c r="M12" s="497"/>
      <c r="N12" s="497"/>
      <c r="O12" s="497"/>
      <c r="P12" s="497"/>
      <c r="Q12" s="497"/>
      <c r="R12" s="497"/>
    </row>
    <row r="13" spans="1:19" ht="33" customHeight="1" x14ac:dyDescent="0.25">
      <c r="B13" s="169"/>
      <c r="E13" s="170"/>
      <c r="F13" s="170"/>
      <c r="G13" s="170"/>
      <c r="I13" s="496"/>
      <c r="J13" s="496"/>
      <c r="K13" s="496"/>
      <c r="L13" s="496"/>
      <c r="M13" s="496"/>
      <c r="N13" s="496"/>
      <c r="O13" s="496"/>
      <c r="P13" s="496"/>
      <c r="Q13" s="496"/>
      <c r="R13" s="126"/>
    </row>
    <row r="14" spans="1:19" ht="18.600000000000001" customHeight="1" x14ac:dyDescent="0.25">
      <c r="B14" s="169"/>
      <c r="E14" s="170"/>
      <c r="F14" s="170"/>
      <c r="G14" s="170"/>
      <c r="I14" s="76"/>
      <c r="J14" s="76"/>
      <c r="K14" s="76"/>
      <c r="L14" s="76"/>
      <c r="M14" s="76"/>
      <c r="N14" s="76"/>
      <c r="O14" s="76"/>
      <c r="P14" s="76"/>
      <c r="Q14" s="76"/>
      <c r="R14" s="76"/>
    </row>
    <row r="15" spans="1:19" ht="18.600000000000001" customHeight="1" x14ac:dyDescent="0.25">
      <c r="B15" s="169"/>
      <c r="E15" s="170"/>
      <c r="F15" s="170"/>
      <c r="G15" s="170"/>
      <c r="I15" s="493" t="s">
        <v>0</v>
      </c>
      <c r="J15" s="493"/>
      <c r="K15" s="493"/>
      <c r="L15" s="493"/>
      <c r="M15" s="493"/>
      <c r="N15" s="493" t="s">
        <v>1</v>
      </c>
      <c r="O15" s="493"/>
      <c r="P15" s="493"/>
      <c r="Q15" s="493"/>
      <c r="R15" s="493"/>
    </row>
    <row r="16" spans="1:19" ht="43.95" customHeight="1" x14ac:dyDescent="0.25">
      <c r="B16" s="169"/>
      <c r="E16" s="170"/>
      <c r="F16" s="170"/>
      <c r="G16" s="170"/>
      <c r="I16" s="494" t="str">
        <f>DADOS!B4</f>
        <v>PREFEITURA MUNICIPAL DE SÃO FELIPE/BA</v>
      </c>
      <c r="J16" s="494"/>
      <c r="K16" s="494"/>
      <c r="L16" s="494"/>
      <c r="M16" s="494"/>
      <c r="N16" s="506" t="str">
        <f>DADOS!B8</f>
        <v>PAVIMENTAÇÃO ASFÁLTICA DIVERSAS RUAS, NO MUNICÍPIO DE SÃO FELIPE/BA</v>
      </c>
      <c r="O16" s="506"/>
      <c r="P16" s="506"/>
      <c r="Q16" s="506"/>
      <c r="R16" s="506"/>
    </row>
    <row r="17" spans="1:29" ht="18.600000000000001" customHeight="1" x14ac:dyDescent="0.25">
      <c r="B17" s="169"/>
      <c r="E17" s="170"/>
      <c r="F17" s="170"/>
      <c r="G17" s="170"/>
      <c r="I17" s="493" t="s">
        <v>15</v>
      </c>
      <c r="J17" s="493"/>
      <c r="K17" s="493"/>
      <c r="L17" s="493"/>
      <c r="M17" s="493"/>
      <c r="N17" s="493" t="s">
        <v>16</v>
      </c>
      <c r="O17" s="493"/>
      <c r="P17" s="493"/>
      <c r="Q17" s="493"/>
      <c r="R17" s="493"/>
    </row>
    <row r="18" spans="1:29" ht="18.600000000000001" customHeight="1" x14ac:dyDescent="0.25">
      <c r="B18" s="169"/>
      <c r="E18" s="170"/>
      <c r="F18" s="170"/>
      <c r="G18" s="170"/>
      <c r="I18" s="494" t="str">
        <f>DADOS!B5</f>
        <v>SÃO FELIPE/BA</v>
      </c>
      <c r="J18" s="494"/>
      <c r="K18" s="494"/>
      <c r="L18" s="494"/>
      <c r="M18" s="494"/>
      <c r="N18" s="495">
        <f ca="1">DADOS!B18</f>
        <v>45812</v>
      </c>
      <c r="O18" s="495"/>
      <c r="P18" s="495"/>
      <c r="Q18" s="495"/>
      <c r="R18" s="495"/>
    </row>
    <row r="19" spans="1:29" ht="10.95" customHeight="1" x14ac:dyDescent="0.25">
      <c r="B19" s="169"/>
      <c r="E19" s="170"/>
      <c r="F19" s="170"/>
      <c r="G19" s="170"/>
      <c r="I19" s="91"/>
      <c r="J19" s="91"/>
      <c r="K19" s="91"/>
      <c r="L19" s="91"/>
      <c r="M19" s="91"/>
      <c r="N19" s="241"/>
      <c r="O19" s="241"/>
      <c r="P19" s="241"/>
      <c r="Q19" s="241"/>
      <c r="R19" s="241"/>
    </row>
    <row r="20" spans="1:29" ht="18.600000000000001" customHeight="1" x14ac:dyDescent="0.25">
      <c r="B20" s="169"/>
      <c r="E20" s="170"/>
      <c r="F20" s="170"/>
      <c r="G20" s="170"/>
      <c r="I20" s="497" t="s">
        <v>143</v>
      </c>
      <c r="J20" s="497"/>
      <c r="K20" s="497"/>
      <c r="L20" s="497"/>
      <c r="M20" s="497"/>
      <c r="N20" s="497"/>
      <c r="O20" s="497"/>
      <c r="P20" s="497"/>
      <c r="Q20" s="497"/>
      <c r="R20" s="497"/>
    </row>
    <row r="21" spans="1:29" ht="7.95" customHeight="1" x14ac:dyDescent="0.25">
      <c r="B21" s="169"/>
      <c r="E21" s="170"/>
      <c r="F21" s="170"/>
      <c r="G21" s="170"/>
      <c r="I21" s="171"/>
      <c r="J21" s="171"/>
      <c r="K21" s="171"/>
      <c r="L21" s="171"/>
      <c r="M21" s="171"/>
      <c r="N21" s="171"/>
      <c r="O21" s="171"/>
      <c r="P21" s="171"/>
      <c r="Q21" s="171"/>
      <c r="R21" s="171"/>
    </row>
    <row r="22" spans="1:29" ht="13.2" x14ac:dyDescent="0.25">
      <c r="A22" s="124" t="s">
        <v>103</v>
      </c>
      <c r="B22" s="169" t="s">
        <v>86</v>
      </c>
      <c r="C22" s="124" t="str">
        <f t="shared" si="0"/>
        <v>Construção de Praças Urbanas, Rodovias, Ferrovias e recapeamento e pavimentação de vias urbanas-R</v>
      </c>
      <c r="E22" s="170">
        <v>5.0000000000000001E-3</v>
      </c>
      <c r="F22" s="170">
        <v>5.6000000000000008E-3</v>
      </c>
      <c r="G22" s="170">
        <v>9.7000000000000003E-3</v>
      </c>
      <c r="I22" s="490" t="s">
        <v>145</v>
      </c>
      <c r="J22" s="491"/>
      <c r="K22" s="491"/>
      <c r="L22" s="491"/>
      <c r="M22" s="491"/>
      <c r="N22" s="491"/>
      <c r="O22" s="491"/>
      <c r="P22" s="491"/>
      <c r="Q22" s="490" t="s">
        <v>93</v>
      </c>
      <c r="R22" s="492"/>
    </row>
    <row r="23" spans="1:29" ht="13.2" x14ac:dyDescent="0.25">
      <c r="A23" s="124" t="s">
        <v>103</v>
      </c>
      <c r="B23" s="169" t="s">
        <v>87</v>
      </c>
      <c r="C23" s="124" t="str">
        <f t="shared" si="0"/>
        <v>Construção de Praças Urbanas, Rodovias, Ferrovias e recapeamento e pavimentação de vias urbanas-DF</v>
      </c>
      <c r="E23" s="170">
        <v>1.0200000000000001E-2</v>
      </c>
      <c r="F23" s="170">
        <v>1.11E-2</v>
      </c>
      <c r="G23" s="170">
        <v>1.21E-2</v>
      </c>
      <c r="I23" s="487" t="s">
        <v>103</v>
      </c>
      <c r="J23" s="488"/>
      <c r="K23" s="488"/>
      <c r="L23" s="488"/>
      <c r="M23" s="488"/>
      <c r="N23" s="488"/>
      <c r="O23" s="488"/>
      <c r="P23" s="489"/>
      <c r="Q23" s="482" t="s">
        <v>272</v>
      </c>
      <c r="R23" s="483"/>
    </row>
    <row r="24" spans="1:29" ht="13.2" x14ac:dyDescent="0.25">
      <c r="A24" s="124" t="s">
        <v>103</v>
      </c>
      <c r="B24" s="169" t="s">
        <v>88</v>
      </c>
      <c r="C24" s="124" t="str">
        <f t="shared" si="0"/>
        <v>Construção de Praças Urbanas, Rodovias, Ferrovias e recapeamento e pavimentação de vias urbanas-L</v>
      </c>
      <c r="E24" s="170">
        <v>6.6400000000000001E-2</v>
      </c>
      <c r="F24" s="170">
        <v>7.2999999999999995E-2</v>
      </c>
      <c r="G24" s="170">
        <v>8.6899999999999991E-2</v>
      </c>
    </row>
    <row r="25" spans="1:29" ht="15" customHeight="1" x14ac:dyDescent="0.25">
      <c r="A25" s="124" t="s">
        <v>103</v>
      </c>
      <c r="B25" s="153" t="s">
        <v>92</v>
      </c>
      <c r="C25" s="124" t="str">
        <f t="shared" si="0"/>
        <v>Construção de Praças Urbanas, Rodovias, Ferrovias e recapeamento e pavimentação de vias urbanas-BDI PAD</v>
      </c>
      <c r="E25" s="170">
        <v>0.19600000000000001</v>
      </c>
      <c r="F25" s="170">
        <v>0.2097</v>
      </c>
      <c r="G25" s="170">
        <v>0.24230000000000002</v>
      </c>
      <c r="I25" s="484" t="s">
        <v>94</v>
      </c>
      <c r="J25" s="484"/>
      <c r="K25" s="484"/>
      <c r="L25" s="484"/>
      <c r="M25" s="484"/>
      <c r="N25" s="484"/>
      <c r="O25" s="484"/>
      <c r="P25" s="484"/>
      <c r="Q25" s="485">
        <v>0.5</v>
      </c>
      <c r="R25" s="485"/>
    </row>
    <row r="26" spans="1:29" ht="15" customHeight="1" x14ac:dyDescent="0.25">
      <c r="A26" s="124" t="s">
        <v>146</v>
      </c>
      <c r="B26" s="169" t="s">
        <v>84</v>
      </c>
      <c r="C26" s="124" t="str">
        <f t="shared" si="0"/>
        <v>Construção de Redes de Abastecimento de Água, Coleta de Esgoto-AC</v>
      </c>
      <c r="E26" s="170">
        <v>3.4300000000000004E-2</v>
      </c>
      <c r="F26" s="170">
        <v>4.9299999999999997E-2</v>
      </c>
      <c r="G26" s="170">
        <v>6.7099999999999993E-2</v>
      </c>
      <c r="I26" s="486" t="s">
        <v>95</v>
      </c>
      <c r="J26" s="486"/>
      <c r="K26" s="486"/>
      <c r="L26" s="486"/>
      <c r="M26" s="486"/>
      <c r="N26" s="486"/>
      <c r="O26" s="486"/>
      <c r="P26" s="486"/>
      <c r="Q26" s="485">
        <v>0.05</v>
      </c>
      <c r="R26" s="485"/>
    </row>
    <row r="27" spans="1:29" ht="13.2" x14ac:dyDescent="0.25">
      <c r="A27" s="124" t="str">
        <f>A26</f>
        <v>Construção de Redes de Abastecimento de Água, Coleta de Esgoto</v>
      </c>
      <c r="B27" s="169" t="s">
        <v>85</v>
      </c>
      <c r="C27" s="124" t="str">
        <f t="shared" si="0"/>
        <v>Construção de Redes de Abastecimento de Água, Coleta de Esgoto-SG</v>
      </c>
      <c r="E27" s="170">
        <v>2.8000000000000004E-3</v>
      </c>
      <c r="F27" s="170">
        <v>4.8999999999999998E-3</v>
      </c>
      <c r="G27" s="170">
        <v>7.4999999999999997E-3</v>
      </c>
    </row>
    <row r="28" spans="1:29" ht="12.75" customHeight="1" x14ac:dyDescent="0.25">
      <c r="B28" s="169"/>
      <c r="E28" s="170"/>
      <c r="F28" s="170"/>
      <c r="G28" s="170"/>
      <c r="I28" s="479" t="s">
        <v>147</v>
      </c>
      <c r="J28" s="479"/>
      <c r="K28" s="479"/>
      <c r="L28" s="479"/>
      <c r="M28" s="479" t="s">
        <v>148</v>
      </c>
      <c r="N28" s="480" t="s">
        <v>149</v>
      </c>
      <c r="O28" s="480" t="s">
        <v>150</v>
      </c>
      <c r="P28" s="479" t="s">
        <v>99</v>
      </c>
      <c r="Q28" s="479" t="s">
        <v>100</v>
      </c>
      <c r="R28" s="481" t="s">
        <v>101</v>
      </c>
      <c r="T28" s="477" t="str">
        <f>IF(V39,"Para BDI fora do intervalo estatístico, deve ser apresentado Relatório Técnico Circunstanciado justificando a adoção do percentual de cada parcela do BDI.","")</f>
        <v/>
      </c>
      <c r="U28" s="477"/>
      <c r="V28" s="154"/>
      <c r="W28" s="154"/>
      <c r="X28" s="154"/>
      <c r="Y28" s="154"/>
      <c r="Z28" s="154"/>
      <c r="AA28" s="154"/>
      <c r="AB28" s="154"/>
      <c r="AC28" s="154"/>
    </row>
    <row r="29" spans="1:29" ht="15.75" customHeight="1" x14ac:dyDescent="0.25">
      <c r="A29" s="124" t="str">
        <f>A27</f>
        <v>Construção de Redes de Abastecimento de Água, Coleta de Esgoto</v>
      </c>
      <c r="B29" s="169" t="s">
        <v>86</v>
      </c>
      <c r="C29" s="124" t="str">
        <f t="shared" ref="C29:C41" si="1">CONCATENATE(A29,"-",B29)</f>
        <v>Construção de Redes de Abastecimento de Água, Coleta de Esgoto-R</v>
      </c>
      <c r="E29" s="170">
        <v>0.01</v>
      </c>
      <c r="F29" s="170">
        <v>1.3899999999999999E-2</v>
      </c>
      <c r="G29" s="170">
        <v>1.7399999999999999E-2</v>
      </c>
      <c r="I29" s="479"/>
      <c r="J29" s="479"/>
      <c r="K29" s="479"/>
      <c r="L29" s="479"/>
      <c r="M29" s="479"/>
      <c r="N29" s="480"/>
      <c r="O29" s="480"/>
      <c r="P29" s="479"/>
      <c r="Q29" s="479"/>
      <c r="R29" s="481"/>
      <c r="T29" s="477"/>
      <c r="U29" s="477"/>
      <c r="V29" s="154"/>
      <c r="W29" s="154"/>
      <c r="X29" s="154"/>
      <c r="Y29" s="154"/>
      <c r="Z29" s="154"/>
      <c r="AA29" s="154"/>
      <c r="AB29" s="154"/>
      <c r="AC29" s="154"/>
    </row>
    <row r="30" spans="1:29" ht="26.25" customHeight="1" x14ac:dyDescent="0.25">
      <c r="A30" s="124" t="str">
        <f>A29</f>
        <v>Construção de Redes de Abastecimento de Água, Coleta de Esgoto</v>
      </c>
      <c r="B30" s="169" t="s">
        <v>87</v>
      </c>
      <c r="C30" s="124" t="str">
        <f t="shared" si="1"/>
        <v>Construção de Redes de Abastecimento de Água, Coleta de Esgoto-DF</v>
      </c>
      <c r="E30" s="170">
        <v>9.3999999999999986E-3</v>
      </c>
      <c r="F30" s="170">
        <v>9.8999999999999991E-3</v>
      </c>
      <c r="G30" s="170">
        <v>1.1699999999999999E-2</v>
      </c>
      <c r="I30" s="458" t="str">
        <f>IF($I$23=$A$71,"Encargos Sociais incidentes sobre a mão de obra","Administração Central")</f>
        <v>Administração Central</v>
      </c>
      <c r="J30" s="458"/>
      <c r="K30" s="458"/>
      <c r="L30" s="458"/>
      <c r="M30" s="155" t="str">
        <f>IF($I$23=$A$71,"K1","AC")</f>
        <v>AC</v>
      </c>
      <c r="N30" s="148">
        <v>3.7999999999999999E-2</v>
      </c>
      <c r="O30" s="156" t="s">
        <v>151</v>
      </c>
      <c r="P30" s="149">
        <f>VLOOKUP(CONCATENATE(I$23,"-",M30),$C$2:$G$61,3,FALSE)</f>
        <v>3.7999999999999999E-2</v>
      </c>
      <c r="Q30" s="149">
        <f>VLOOKUP(CONCATENATE(I$23,"-",M30),$C$2:$G$61,4,FALSE)</f>
        <v>4.0099999999999997E-2</v>
      </c>
      <c r="R30" s="149">
        <f>VLOOKUP(CONCATENATE(I$23,"-",M30),$C$2:$G$61,5,FALSE)</f>
        <v>4.6699999999999998E-2</v>
      </c>
      <c r="T30" s="477"/>
      <c r="U30" s="477"/>
      <c r="V30" s="154"/>
      <c r="W30" s="154"/>
      <c r="X30" s="154"/>
      <c r="Y30" s="154"/>
      <c r="Z30" s="154"/>
      <c r="AA30" s="154"/>
      <c r="AB30" s="154"/>
      <c r="AC30" s="154"/>
    </row>
    <row r="31" spans="1:29" ht="26.25" customHeight="1" x14ac:dyDescent="0.25">
      <c r="A31" s="124" t="str">
        <f>A30</f>
        <v>Construção de Redes de Abastecimento de Água, Coleta de Esgoto</v>
      </c>
      <c r="B31" s="169" t="s">
        <v>88</v>
      </c>
      <c r="C31" s="124" t="str">
        <f t="shared" si="1"/>
        <v>Construção de Redes de Abastecimento de Água, Coleta de Esgoto-L</v>
      </c>
      <c r="E31" s="170">
        <v>6.7400000000000002E-2</v>
      </c>
      <c r="F31" s="170">
        <v>8.0399999999999985E-2</v>
      </c>
      <c r="G31" s="170">
        <v>9.4E-2</v>
      </c>
      <c r="I31" s="458" t="str">
        <f>IF($I$23=$A$71,"Administração Central da empresa ou consultoria - overhead","Seguro e Garantia")</f>
        <v>Seguro e Garantia</v>
      </c>
      <c r="J31" s="458"/>
      <c r="K31" s="458"/>
      <c r="L31" s="458"/>
      <c r="M31" s="155" t="str">
        <f>IF($I$23=$A$71,"K2","SG")</f>
        <v>SG</v>
      </c>
      <c r="N31" s="148">
        <v>3.2000000000000002E-3</v>
      </c>
      <c r="O31" s="156" t="s">
        <v>151</v>
      </c>
      <c r="P31" s="149">
        <f>VLOOKUP(CONCATENATE(I$23,"-",M31),$C$2:$G$61,3,FALSE)</f>
        <v>3.2000000000000002E-3</v>
      </c>
      <c r="Q31" s="149">
        <f>VLOOKUP(CONCATENATE(I$23,"-",M31),$C$2:$G$61,4,FALSE)</f>
        <v>4.0000000000000001E-3</v>
      </c>
      <c r="R31" s="149">
        <f>VLOOKUP(CONCATENATE(I$23,"-",M31),$C$2:$G$61,5,FALSE)</f>
        <v>7.4000000000000003E-3</v>
      </c>
      <c r="T31" s="477"/>
      <c r="U31" s="477"/>
      <c r="V31" s="154"/>
      <c r="W31" s="154"/>
      <c r="X31" s="154"/>
      <c r="Y31" s="154"/>
      <c r="Z31" s="154"/>
      <c r="AA31" s="154"/>
      <c r="AB31" s="154"/>
      <c r="AC31" s="154"/>
    </row>
    <row r="32" spans="1:29" ht="26.25" customHeight="1" x14ac:dyDescent="0.25">
      <c r="A32" s="124" t="str">
        <f>A31</f>
        <v>Construção de Redes de Abastecimento de Água, Coleta de Esgoto</v>
      </c>
      <c r="B32" s="153" t="s">
        <v>92</v>
      </c>
      <c r="C32" s="124" t="str">
        <f t="shared" si="1"/>
        <v>Construção de Redes de Abastecimento de Água, Coleta de Esgoto-BDI PAD</v>
      </c>
      <c r="E32" s="170">
        <v>0.20760000000000001</v>
      </c>
      <c r="F32" s="170">
        <v>0.24179999999999999</v>
      </c>
      <c r="G32" s="170">
        <v>0.26440000000000002</v>
      </c>
      <c r="I32" s="458" t="str">
        <f>IF($I$23=$A$71,"","Risco")</f>
        <v>Risco</v>
      </c>
      <c r="J32" s="458"/>
      <c r="K32" s="458"/>
      <c r="L32" s="458"/>
      <c r="M32" s="155" t="str">
        <f>IF($I$23=$A$71,"","R")</f>
        <v>R</v>
      </c>
      <c r="N32" s="148">
        <v>5.0000000000000001E-3</v>
      </c>
      <c r="O32" s="156" t="s">
        <v>151</v>
      </c>
      <c r="P32" s="149">
        <f>VLOOKUP(CONCATENATE(I$23,"-",M32),$C$2:$G$61,3,FALSE)</f>
        <v>5.0000000000000001E-3</v>
      </c>
      <c r="Q32" s="149">
        <f>VLOOKUP(CONCATENATE(I$23,"-",M32),$C$2:$G$61,4,FALSE)</f>
        <v>5.6000000000000008E-3</v>
      </c>
      <c r="R32" s="149">
        <f>VLOOKUP(CONCATENATE(I$23,"-",M32),$C$2:$G$61,5,FALSE)</f>
        <v>9.7000000000000003E-3</v>
      </c>
      <c r="T32" s="477"/>
      <c r="U32" s="477"/>
      <c r="V32" s="154"/>
      <c r="W32" s="154"/>
      <c r="X32" s="154"/>
      <c r="Y32" s="154"/>
      <c r="Z32" s="154"/>
      <c r="AA32" s="154"/>
      <c r="AB32" s="154"/>
      <c r="AC32" s="154"/>
    </row>
    <row r="33" spans="1:31" ht="26.25" customHeight="1" x14ac:dyDescent="0.25">
      <c r="A33" s="124" t="s">
        <v>152</v>
      </c>
      <c r="B33" s="169" t="s">
        <v>84</v>
      </c>
      <c r="C33" s="124" t="str">
        <f t="shared" si="1"/>
        <v>Construção e Manutenção de Estações e Redes de Distribuição de Energia Elétrica-AC</v>
      </c>
      <c r="E33" s="170">
        <v>5.2900000000000003E-2</v>
      </c>
      <c r="F33" s="170">
        <v>5.9200000000000003E-2</v>
      </c>
      <c r="G33" s="170">
        <v>7.9299999999999995E-2</v>
      </c>
      <c r="I33" s="458" t="str">
        <f>IF($I$23=$A$71,"","Despesas Financeiras")</f>
        <v>Despesas Financeiras</v>
      </c>
      <c r="J33" s="458"/>
      <c r="K33" s="458"/>
      <c r="L33" s="458"/>
      <c r="M33" s="155" t="str">
        <f>IF($I$23=$A$71,"","DF")</f>
        <v>DF</v>
      </c>
      <c r="N33" s="148">
        <v>1.0200000000000001E-2</v>
      </c>
      <c r="O33" s="156" t="s">
        <v>151</v>
      </c>
      <c r="P33" s="149">
        <f>VLOOKUP(CONCATENATE(I$23,"-",M33),$C$2:$G$61,3,FALSE)</f>
        <v>1.0200000000000001E-2</v>
      </c>
      <c r="Q33" s="149">
        <f>VLOOKUP(CONCATENATE(I$23,"-",M33),$C$2:$G$61,4,FALSE)</f>
        <v>1.11E-2</v>
      </c>
      <c r="R33" s="149">
        <f>VLOOKUP(CONCATENATE(I$23,"-",M33),$C$2:$G$61,5,FALSE)</f>
        <v>1.21E-2</v>
      </c>
      <c r="T33" s="477"/>
      <c r="U33" s="477"/>
    </row>
    <row r="34" spans="1:31" ht="26.25" customHeight="1" x14ac:dyDescent="0.25">
      <c r="A34" s="124" t="str">
        <f>A33</f>
        <v>Construção e Manutenção de Estações e Redes de Distribuição de Energia Elétrica</v>
      </c>
      <c r="B34" s="169" t="s">
        <v>85</v>
      </c>
      <c r="C34" s="124" t="str">
        <f t="shared" si="1"/>
        <v>Construção e Manutenção de Estações e Redes de Distribuição de Energia Elétrica-SG</v>
      </c>
      <c r="E34" s="170">
        <v>2.5000000000000001E-3</v>
      </c>
      <c r="F34" s="170">
        <v>5.1000000000000004E-3</v>
      </c>
      <c r="G34" s="170">
        <v>5.6000000000000008E-3</v>
      </c>
      <c r="I34" s="458" t="str">
        <f>IF($I$23=$A$71,"Margem bruta da empresa de consultoria","Lucro")</f>
        <v>Lucro</v>
      </c>
      <c r="J34" s="458"/>
      <c r="K34" s="458"/>
      <c r="L34" s="458"/>
      <c r="M34" s="155" t="str">
        <f>IF($I$23=$A$71,"K3","L")</f>
        <v>L</v>
      </c>
      <c r="N34" s="148">
        <v>6.6400000000000001E-2</v>
      </c>
      <c r="O34" s="156" t="s">
        <v>151</v>
      </c>
      <c r="P34" s="149">
        <f>VLOOKUP(CONCATENATE(I$23,"-",M34),$C$2:$G$61,3,FALSE)</f>
        <v>6.6400000000000001E-2</v>
      </c>
      <c r="Q34" s="149">
        <f>VLOOKUP(CONCATENATE(I$23,"-",M34),$C$2:$G$61,4,FALSE)</f>
        <v>7.2999999999999995E-2</v>
      </c>
      <c r="R34" s="149">
        <f>VLOOKUP(CONCATENATE(I$23,"-",M34),$C$2:$G$61,5,FALSE)</f>
        <v>8.6899999999999991E-2</v>
      </c>
      <c r="T34" s="477"/>
      <c r="U34" s="477"/>
    </row>
    <row r="35" spans="1:31" ht="26.25" customHeight="1" x14ac:dyDescent="0.25">
      <c r="A35" s="124" t="str">
        <f>A34</f>
        <v>Construção e Manutenção de Estações e Redes de Distribuição de Energia Elétrica</v>
      </c>
      <c r="B35" s="169" t="s">
        <v>86</v>
      </c>
      <c r="C35" s="124" t="str">
        <f t="shared" si="1"/>
        <v>Construção e Manutenção de Estações e Redes de Distribuição de Energia Elétrica-R</v>
      </c>
      <c r="E35" s="170">
        <v>0.01</v>
      </c>
      <c r="F35" s="170">
        <v>1.4800000000000001E-2</v>
      </c>
      <c r="G35" s="170">
        <v>1.9699999999999999E-2</v>
      </c>
      <c r="I35" s="478" t="s">
        <v>81</v>
      </c>
      <c r="J35" s="478"/>
      <c r="K35" s="478"/>
      <c r="L35" s="478"/>
      <c r="M35" s="155" t="s">
        <v>89</v>
      </c>
      <c r="N35" s="148">
        <v>3.6499999999999998E-2</v>
      </c>
      <c r="O35" s="156" t="s">
        <v>151</v>
      </c>
      <c r="P35" s="149">
        <v>3.6499999999999998E-2</v>
      </c>
      <c r="Q35" s="149">
        <v>3.6499999999999998E-2</v>
      </c>
      <c r="R35" s="149">
        <v>3.6499999999999998E-2</v>
      </c>
      <c r="T35" s="477"/>
      <c r="U35" s="477"/>
    </row>
    <row r="36" spans="1:31" ht="26.25" customHeight="1" x14ac:dyDescent="0.25">
      <c r="A36" s="124" t="str">
        <f>A35</f>
        <v>Construção e Manutenção de Estações e Redes de Distribuição de Energia Elétrica</v>
      </c>
      <c r="B36" s="169" t="s">
        <v>87</v>
      </c>
      <c r="C36" s="124" t="str">
        <f t="shared" si="1"/>
        <v>Construção e Manutenção de Estações e Redes de Distribuição de Energia Elétrica-DF</v>
      </c>
      <c r="E36" s="170">
        <v>1.01E-2</v>
      </c>
      <c r="F36" s="170">
        <v>1.0700000000000001E-2</v>
      </c>
      <c r="G36" s="170">
        <v>1.11E-2</v>
      </c>
      <c r="I36" s="458" t="s">
        <v>82</v>
      </c>
      <c r="J36" s="458"/>
      <c r="K36" s="458"/>
      <c r="L36" s="458"/>
      <c r="M36" s="155" t="s">
        <v>90</v>
      </c>
      <c r="N36" s="149">
        <f>IF($I$23&lt;&gt;$A$70,Q26*Q25,0)</f>
        <v>2.5000000000000001E-2</v>
      </c>
      <c r="O36" s="156" t="s">
        <v>151</v>
      </c>
      <c r="P36" s="149">
        <v>0</v>
      </c>
      <c r="Q36" s="149">
        <v>2.5000000000000001E-2</v>
      </c>
      <c r="R36" s="149">
        <v>0.05</v>
      </c>
      <c r="T36" s="477"/>
      <c r="U36" s="477"/>
    </row>
    <row r="37" spans="1:31" ht="26.25" customHeight="1" x14ac:dyDescent="0.25">
      <c r="A37" s="124" t="str">
        <f>A36</f>
        <v>Construção e Manutenção de Estações e Redes de Distribuição de Energia Elétrica</v>
      </c>
      <c r="B37" s="169" t="s">
        <v>88</v>
      </c>
      <c r="C37" s="124" t="str">
        <f t="shared" si="1"/>
        <v>Construção e Manutenção de Estações e Redes de Distribuição de Energia Elétrica-L</v>
      </c>
      <c r="E37" s="170">
        <v>0.08</v>
      </c>
      <c r="F37" s="170">
        <v>8.3100000000000007E-2</v>
      </c>
      <c r="G37" s="170">
        <v>9.5100000000000004E-2</v>
      </c>
      <c r="I37" s="458" t="s">
        <v>83</v>
      </c>
      <c r="J37" s="458"/>
      <c r="K37" s="458"/>
      <c r="L37" s="458"/>
      <c r="M37" s="155" t="s">
        <v>91</v>
      </c>
      <c r="N37" s="149">
        <f>IF(AND($I$23&lt;&gt;$A$70,Q23="Sim"),4.5%,0%)</f>
        <v>0</v>
      </c>
      <c r="O37" s="156" t="str">
        <f>IF(AND(N37&gt;=P37, N37&lt;=R37), "OK", "Não OK")</f>
        <v>OK</v>
      </c>
      <c r="P37" s="150">
        <v>0</v>
      </c>
      <c r="Q37" s="150">
        <v>4.4999999999999998E-2</v>
      </c>
      <c r="R37" s="150">
        <v>4.4999999999999998E-2</v>
      </c>
    </row>
    <row r="38" spans="1:31" ht="30.75" customHeight="1" x14ac:dyDescent="0.3">
      <c r="A38" s="124" t="str">
        <f>A37</f>
        <v>Construção e Manutenção de Estações e Redes de Distribuição de Energia Elétrica</v>
      </c>
      <c r="B38" s="153" t="s">
        <v>92</v>
      </c>
      <c r="C38" s="124" t="str">
        <f t="shared" si="1"/>
        <v>Construção e Manutenção de Estações e Redes de Distribuição de Energia Elétrica-BDI PAD</v>
      </c>
      <c r="E38" s="170">
        <v>0.24</v>
      </c>
      <c r="F38" s="170">
        <v>0.25840000000000002</v>
      </c>
      <c r="G38" s="170">
        <v>0.27860000000000001</v>
      </c>
      <c r="I38" s="458" t="s">
        <v>153</v>
      </c>
      <c r="J38" s="458"/>
      <c r="K38" s="458"/>
      <c r="L38" s="458"/>
      <c r="M38" s="157" t="s">
        <v>92</v>
      </c>
      <c r="N38" s="149">
        <f>IF($I$23=$A$70,0,ROUND((((1+N30+N31+N32)*(1+N33)*(1+N34)/(1-(N35+N36)))-1),4))</f>
        <v>0.2009</v>
      </c>
      <c r="O38" s="158" t="str">
        <f>IF(OR($I$23=$A$71,$I$23=$A$70,AND(N38&gt;=P38, N38&lt;=R38)), "OK", "FORA DO INTERVALO")</f>
        <v>OK</v>
      </c>
      <c r="P38" s="149">
        <f>IF($I$23=$A$70,0,VLOOKUP(CONCATENATE($I$23,"-",$M38),$C$2:$G$61,3,FALSE))</f>
        <v>0.19600000000000001</v>
      </c>
      <c r="Q38" s="149">
        <f>IF($I$23=$A$70,0,VLOOKUP(CONCATENATE($I$23,"-",$M38),$C$2:$G$61,4,FALSE))</f>
        <v>0.2097</v>
      </c>
      <c r="R38" s="149">
        <f>IF($I$23=$A$70,0,VLOOKUP(CONCATENATE($I$23,"-",$M38),$C$2:$G$61,5,FALSE))</f>
        <v>0.24230000000000002</v>
      </c>
      <c r="T38" s="159"/>
      <c r="V38" s="154"/>
      <c r="W38" s="154"/>
      <c r="X38" s="154"/>
      <c r="Y38" s="154"/>
      <c r="Z38" s="154"/>
      <c r="AA38" s="154"/>
      <c r="AB38" s="154"/>
      <c r="AC38" s="154"/>
      <c r="AD38" s="154"/>
      <c r="AE38" s="154"/>
    </row>
    <row r="39" spans="1:31" ht="30" customHeight="1" x14ac:dyDescent="0.3">
      <c r="A39" s="124" t="s">
        <v>154</v>
      </c>
      <c r="B39" s="169" t="s">
        <v>84</v>
      </c>
      <c r="C39" s="124" t="str">
        <f t="shared" si="1"/>
        <v>Obras Portuárias, Marítimas e Fluviais-AC</v>
      </c>
      <c r="E39" s="170">
        <v>0.04</v>
      </c>
      <c r="F39" s="170">
        <v>5.5199999999999999E-2</v>
      </c>
      <c r="G39" s="170">
        <v>7.85E-2</v>
      </c>
      <c r="I39" s="459" t="s">
        <v>155</v>
      </c>
      <c r="J39" s="459"/>
      <c r="K39" s="459"/>
      <c r="L39" s="459"/>
      <c r="M39" s="160" t="s">
        <v>156</v>
      </c>
      <c r="N39" s="161">
        <f>IF($I$23=$A$70,0,ROUND((((1+N30+N31+N32)*(1+N33)*(1+N34)/(1-(N35+N36+N37)))-1),4))</f>
        <v>0.2009</v>
      </c>
      <c r="O39" s="162" t="str">
        <f>IF(Q23&lt;&gt;"Sim","",O38)</f>
        <v/>
      </c>
      <c r="P39" s="460"/>
      <c r="Q39" s="460"/>
      <c r="R39" s="460"/>
      <c r="T39" s="159"/>
      <c r="V39" s="163" t="b">
        <f>AND(COUNTA(N30:N35)=6,O38&lt;&gt;"ok",NOT(V41))</f>
        <v>0</v>
      </c>
      <c r="W39" s="151" t="s">
        <v>157</v>
      </c>
    </row>
    <row r="40" spans="1:31" ht="7.5" customHeight="1" x14ac:dyDescent="0.25">
      <c r="A40" s="124" t="str">
        <f>A39</f>
        <v>Obras Portuárias, Marítimas e Fluviais</v>
      </c>
      <c r="B40" s="169" t="s">
        <v>85</v>
      </c>
      <c r="C40" s="124" t="str">
        <f t="shared" si="1"/>
        <v>Obras Portuárias, Marítimas e Fluviais-SG</v>
      </c>
      <c r="E40" s="170">
        <v>8.1000000000000013E-3</v>
      </c>
      <c r="F40" s="170">
        <v>1.2199999999999999E-2</v>
      </c>
      <c r="G40" s="170">
        <v>1.9900000000000001E-2</v>
      </c>
      <c r="V40" s="163"/>
    </row>
    <row r="41" spans="1:31" ht="21.75" customHeight="1" x14ac:dyDescent="0.25">
      <c r="A41" s="124" t="str">
        <f>A40</f>
        <v>Obras Portuárias, Marítimas e Fluviais</v>
      </c>
      <c r="B41" s="169" t="s">
        <v>86</v>
      </c>
      <c r="C41" s="124" t="str">
        <f t="shared" si="1"/>
        <v>Obras Portuárias, Marítimas e Fluviais-R</v>
      </c>
      <c r="E41" s="170">
        <v>1.46E-2</v>
      </c>
      <c r="F41" s="170">
        <v>2.3199999999999998E-2</v>
      </c>
      <c r="G41" s="170">
        <v>3.1600000000000003E-2</v>
      </c>
      <c r="I41" s="164" t="str">
        <f>IF(V41,"X","")</f>
        <v/>
      </c>
      <c r="J41" s="461" t="s">
        <v>158</v>
      </c>
      <c r="K41" s="461"/>
      <c r="L41" s="461"/>
      <c r="M41" s="461"/>
      <c r="N41" s="461"/>
      <c r="O41" s="461"/>
      <c r="P41" s="461"/>
      <c r="Q41" s="461"/>
      <c r="R41" s="461"/>
      <c r="V41" s="163" t="b">
        <v>0</v>
      </c>
      <c r="W41" s="151" t="s">
        <v>159</v>
      </c>
    </row>
    <row r="42" spans="1:31" ht="7.5" customHeight="1" x14ac:dyDescent="0.25">
      <c r="B42" s="169"/>
      <c r="E42" s="170"/>
      <c r="F42" s="170"/>
      <c r="G42" s="170"/>
      <c r="V42" s="163"/>
    </row>
    <row r="43" spans="1:31" ht="18.75" customHeight="1" x14ac:dyDescent="0.25">
      <c r="B43" s="169"/>
      <c r="E43" s="170"/>
      <c r="F43" s="170"/>
      <c r="G43" s="170"/>
      <c r="I43" s="462" t="s">
        <v>96</v>
      </c>
      <c r="J43" s="462"/>
      <c r="K43" s="462"/>
      <c r="L43" s="462"/>
      <c r="M43" s="462"/>
      <c r="N43" s="462"/>
      <c r="O43" s="462"/>
      <c r="P43" s="462"/>
      <c r="Q43" s="462"/>
      <c r="R43" s="462"/>
    </row>
    <row r="44" spans="1:31" ht="30" customHeight="1" x14ac:dyDescent="0.25">
      <c r="A44" s="124" t="str">
        <f>A41</f>
        <v>Obras Portuárias, Marítimas e Fluviais</v>
      </c>
      <c r="B44" s="169" t="s">
        <v>87</v>
      </c>
      <c r="C44" s="124" t="str">
        <f>CONCATENATE(A44,"-",B44)</f>
        <v>Obras Portuárias, Marítimas e Fluviais-DF</v>
      </c>
      <c r="E44" s="170">
        <v>9.3999999999999986E-3</v>
      </c>
      <c r="F44" s="170">
        <v>1.0200000000000001E-2</v>
      </c>
      <c r="G44" s="170">
        <v>1.3300000000000001E-2</v>
      </c>
      <c r="I44" s="172"/>
      <c r="J44" s="172"/>
      <c r="K44" s="172"/>
      <c r="L44" s="463" t="str">
        <f>IF(Q23="Sim","BDI.DES =","BDI.PAD =")</f>
        <v>BDI.PAD =</v>
      </c>
      <c r="M44" s="464" t="str">
        <f>IF($I$23=$A$71,"(1+K1+K2)*(1+K3)","(1+AC + S + R + G)*(1 + DF)*(1+L)")</f>
        <v>(1+AC + S + R + G)*(1 + DF)*(1+L)</v>
      </c>
      <c r="N44" s="464"/>
      <c r="O44" s="464"/>
      <c r="P44" s="465" t="s">
        <v>97</v>
      </c>
      <c r="Q44" s="172"/>
      <c r="R44" s="172"/>
    </row>
    <row r="45" spans="1:31" ht="27" customHeight="1" x14ac:dyDescent="0.25">
      <c r="A45" s="124" t="str">
        <f>A44</f>
        <v>Obras Portuárias, Marítimas e Fluviais</v>
      </c>
      <c r="B45" s="169" t="s">
        <v>88</v>
      </c>
      <c r="C45" s="124" t="str">
        <f>CONCATENATE(A45,"-",B45)</f>
        <v>Obras Portuárias, Marítimas e Fluviais-L</v>
      </c>
      <c r="E45" s="170">
        <v>7.1399999999999991E-2</v>
      </c>
      <c r="F45" s="170">
        <v>8.4000000000000005E-2</v>
      </c>
      <c r="G45" s="170">
        <v>0.1043</v>
      </c>
      <c r="I45" s="172"/>
      <c r="J45" s="172"/>
      <c r="K45" s="172"/>
      <c r="L45" s="463"/>
      <c r="M45" s="467" t="str">
        <f>IF(Q23="Sim","(1-CP-ISS-CRPB)","(1-CP-ISS)")</f>
        <v>(1-CP-ISS)</v>
      </c>
      <c r="N45" s="467"/>
      <c r="O45" s="467"/>
      <c r="P45" s="466"/>
      <c r="Q45" s="172"/>
      <c r="R45" s="172"/>
    </row>
    <row r="46" spans="1:31" ht="7.5" customHeight="1" x14ac:dyDescent="0.25">
      <c r="A46" s="124" t="str">
        <f>A45</f>
        <v>Obras Portuárias, Marítimas e Fluviais</v>
      </c>
      <c r="B46" s="153" t="s">
        <v>92</v>
      </c>
      <c r="C46" s="124" t="str">
        <f>CONCATENATE(A46,"-",B46)</f>
        <v>Obras Portuárias, Marítimas e Fluviais-BDI PAD</v>
      </c>
      <c r="E46" s="170">
        <v>0.22800000000000001</v>
      </c>
      <c r="F46" s="170">
        <v>0.27479999999999999</v>
      </c>
      <c r="G46" s="170">
        <v>0.3095</v>
      </c>
      <c r="I46" s="173"/>
      <c r="J46" s="173"/>
      <c r="K46" s="173"/>
      <c r="L46" s="173"/>
      <c r="M46" s="173"/>
      <c r="N46" s="173"/>
      <c r="O46" s="173"/>
      <c r="P46" s="173"/>
      <c r="Q46" s="173"/>
      <c r="R46" s="173"/>
    </row>
    <row r="47" spans="1:31" ht="45" customHeight="1" x14ac:dyDescent="0.25">
      <c r="B47" s="153"/>
      <c r="E47" s="170"/>
      <c r="F47" s="170"/>
      <c r="G47" s="170"/>
      <c r="I47" s="457" t="str">
        <f>CONCATENATE("Declaro para os devidos fins que, conforme legislação tributária municipal, a base de cálculo para ",I23,", é de ",Q25*100,"%, com a respectiva alíquota de ",Q26*100,"%.")</f>
        <v>Declaro para os devidos fins que, conforme legislação tributária municipal, a base de cálculo para Construção de Praças Urbanas, Rodovias, Ferrovias e recapeamento e pavimentação de vias urbanas, é de 50%, com a respectiva alíquota de 5%.</v>
      </c>
      <c r="J47" s="457"/>
      <c r="K47" s="457"/>
      <c r="L47" s="457"/>
      <c r="M47" s="457"/>
      <c r="N47" s="457"/>
      <c r="O47" s="457"/>
      <c r="P47" s="457"/>
      <c r="Q47" s="457"/>
      <c r="R47" s="457"/>
    </row>
    <row r="48" spans="1:31" ht="11.25" customHeight="1" x14ac:dyDescent="0.25">
      <c r="B48" s="153"/>
      <c r="E48" s="170"/>
      <c r="F48" s="170"/>
      <c r="G48" s="170"/>
    </row>
    <row r="49" spans="1:18" ht="52.5" customHeight="1" x14ac:dyDescent="0.25">
      <c r="B49" s="153"/>
      <c r="E49" s="170"/>
      <c r="F49" s="170"/>
      <c r="G49" s="170"/>
      <c r="I49" s="457" t="str">
        <f>CONCATENATE("Declaro para os devidos fins que o regime de Contribuição Previdenciária sobre a Receita Bruta adotado para elaboração do orçamento foi ",IF(Q23="Sim","COM","SEM"),"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J49" s="457"/>
      <c r="K49" s="457"/>
      <c r="L49" s="457"/>
      <c r="M49" s="457"/>
      <c r="N49" s="457"/>
      <c r="O49" s="457"/>
      <c r="P49" s="457"/>
      <c r="Q49" s="457"/>
      <c r="R49" s="457"/>
    </row>
    <row r="50" spans="1:18" ht="18" customHeight="1" x14ac:dyDescent="0.25">
      <c r="A50" s="124" t="s">
        <v>137</v>
      </c>
      <c r="B50" s="169" t="s">
        <v>84</v>
      </c>
      <c r="C50" s="124" t="str">
        <f t="shared" ref="C50:C61" si="2">CONCATENATE(A50,"-",B50)</f>
        <v>Fornecimento de Materiais e Equipamentos (aquisição indireta - em conjunto com licitação de obras)-AC</v>
      </c>
      <c r="E50" s="170">
        <v>1.4999999999999999E-2</v>
      </c>
      <c r="F50" s="170">
        <v>3.4500000000000003E-2</v>
      </c>
      <c r="G50" s="170">
        <v>4.4900000000000002E-2</v>
      </c>
    </row>
    <row r="51" spans="1:18" ht="13.2" x14ac:dyDescent="0.25">
      <c r="A51" s="124" t="str">
        <f>A50</f>
        <v>Fornecimento de Materiais e Equipamentos (aquisição indireta - em conjunto com licitação de obras)</v>
      </c>
      <c r="B51" s="169" t="s">
        <v>85</v>
      </c>
      <c r="C51" s="124" t="str">
        <f t="shared" si="2"/>
        <v>Fornecimento de Materiais e Equipamentos (aquisição indireta - em conjunto com licitação de obras)-SG</v>
      </c>
      <c r="E51" s="170">
        <v>3.0000000000000001E-3</v>
      </c>
      <c r="F51" s="170">
        <v>4.7999999999999996E-3</v>
      </c>
      <c r="G51" s="170">
        <v>8.199999999999999E-3</v>
      </c>
      <c r="I51" s="124" t="s">
        <v>98</v>
      </c>
    </row>
    <row r="52" spans="1:18" ht="42.75" customHeight="1" x14ac:dyDescent="0.25">
      <c r="A52" s="124" t="str">
        <f>A51</f>
        <v>Fornecimento de Materiais e Equipamentos (aquisição indireta - em conjunto com licitação de obras)</v>
      </c>
      <c r="B52" s="169" t="s">
        <v>86</v>
      </c>
      <c r="C52" s="124" t="str">
        <f t="shared" si="2"/>
        <v>Fornecimento de Materiais e Equipamentos (aquisição indireta - em conjunto com licitação de obras)-R</v>
      </c>
      <c r="E52" s="170">
        <v>5.6000000000000008E-3</v>
      </c>
      <c r="F52" s="170">
        <v>8.5000000000000006E-3</v>
      </c>
      <c r="G52" s="170">
        <v>8.8999999999999999E-3</v>
      </c>
      <c r="I52" s="469"/>
      <c r="J52" s="470"/>
      <c r="K52" s="470"/>
      <c r="L52" s="470"/>
      <c r="M52" s="470"/>
      <c r="N52" s="470"/>
      <c r="O52" s="470"/>
      <c r="P52" s="470"/>
      <c r="Q52" s="470"/>
      <c r="R52" s="471"/>
    </row>
    <row r="53" spans="1:18" ht="16.5" customHeight="1" x14ac:dyDescent="0.25">
      <c r="A53" s="124" t="str">
        <f>A52</f>
        <v>Fornecimento de Materiais e Equipamentos (aquisição indireta - em conjunto com licitação de obras)</v>
      </c>
      <c r="B53" s="169" t="s">
        <v>87</v>
      </c>
      <c r="C53" s="124" t="str">
        <f t="shared" si="2"/>
        <v>Fornecimento de Materiais e Equipamentos (aquisição indireta - em conjunto com licitação de obras)-DF</v>
      </c>
      <c r="E53" s="170">
        <v>8.5000000000000006E-3</v>
      </c>
      <c r="F53" s="170">
        <v>8.5000000000000006E-3</v>
      </c>
      <c r="G53" s="170">
        <v>1.11E-2</v>
      </c>
    </row>
    <row r="54" spans="1:18" ht="13.2" x14ac:dyDescent="0.25">
      <c r="A54" s="124" t="str">
        <f>A53</f>
        <v>Fornecimento de Materiais e Equipamentos (aquisição indireta - em conjunto com licitação de obras)</v>
      </c>
      <c r="B54" s="169" t="s">
        <v>88</v>
      </c>
      <c r="C54" s="124" t="str">
        <f t="shared" si="2"/>
        <v>Fornecimento de Materiais e Equipamentos (aquisição indireta - em conjunto com licitação de obras)-L</v>
      </c>
      <c r="E54" s="170">
        <v>3.5000000000000003E-2</v>
      </c>
      <c r="F54" s="170">
        <v>5.1100000000000007E-2</v>
      </c>
      <c r="G54" s="170">
        <v>6.2199999999999998E-2</v>
      </c>
      <c r="I54" s="472" t="str">
        <f>DADOS!B5</f>
        <v>SÃO FELIPE/BA</v>
      </c>
      <c r="J54" s="472"/>
      <c r="K54" s="472"/>
      <c r="L54" s="472"/>
      <c r="O54" s="473">
        <f ca="1">DADOS!B18</f>
        <v>45812</v>
      </c>
      <c r="P54" s="473"/>
      <c r="Q54" s="473"/>
      <c r="R54" s="473"/>
    </row>
    <row r="55" spans="1:18" ht="15" customHeight="1" x14ac:dyDescent="0.25">
      <c r="A55" s="124" t="str">
        <f>A54</f>
        <v>Fornecimento de Materiais e Equipamentos (aquisição indireta - em conjunto com licitação de obras)</v>
      </c>
      <c r="B55" s="153" t="s">
        <v>92</v>
      </c>
      <c r="C55" s="124" t="str">
        <f t="shared" si="2"/>
        <v>Fornecimento de Materiais e Equipamentos (aquisição indireta - em conjunto com licitação de obras)-BDI PAD</v>
      </c>
      <c r="E55" s="170">
        <v>0.111</v>
      </c>
      <c r="F55" s="170">
        <v>0.14019999999999999</v>
      </c>
      <c r="G55" s="170">
        <v>0.16800000000000001</v>
      </c>
      <c r="I55" s="474" t="s">
        <v>20</v>
      </c>
      <c r="J55" s="474"/>
      <c r="K55" s="474"/>
      <c r="L55" s="474"/>
      <c r="N55" s="174"/>
      <c r="O55" s="175" t="s">
        <v>21</v>
      </c>
      <c r="P55" s="176"/>
      <c r="Q55" s="176"/>
      <c r="R55" s="176"/>
    </row>
    <row r="56" spans="1:18" ht="13.2" x14ac:dyDescent="0.25">
      <c r="A56" s="124" t="s">
        <v>160</v>
      </c>
      <c r="B56" s="169" t="s">
        <v>161</v>
      </c>
      <c r="C56" s="124" t="str">
        <f t="shared" si="2"/>
        <v>Estudos e Projetos, Planos e Gerenciamento e outros correlatos-K1</v>
      </c>
      <c r="E56" s="170" t="s">
        <v>151</v>
      </c>
      <c r="F56" s="170" t="s">
        <v>151</v>
      </c>
      <c r="G56" s="170" t="s">
        <v>151</v>
      </c>
    </row>
    <row r="57" spans="1:18" ht="30" customHeight="1" x14ac:dyDescent="0.25">
      <c r="A57" s="124" t="str">
        <f>A56</f>
        <v>Estudos e Projetos, Planos e Gerenciamento e outros correlatos</v>
      </c>
      <c r="B57" s="169" t="s">
        <v>162</v>
      </c>
      <c r="C57" s="124" t="str">
        <f t="shared" si="2"/>
        <v>Estudos e Projetos, Planos e Gerenciamento e outros correlatos-K2</v>
      </c>
      <c r="E57" s="170" t="s">
        <v>151</v>
      </c>
      <c r="F57" s="170">
        <v>0.2</v>
      </c>
      <c r="G57" s="170" t="s">
        <v>151</v>
      </c>
      <c r="I57" s="475"/>
      <c r="J57" s="475"/>
      <c r="K57" s="475"/>
      <c r="L57" s="475"/>
      <c r="M57" s="177"/>
      <c r="N57" s="177"/>
      <c r="O57" s="165"/>
      <c r="P57" s="165"/>
      <c r="Q57" s="165"/>
      <c r="R57" s="165"/>
    </row>
    <row r="58" spans="1:18" ht="13.2" x14ac:dyDescent="0.25">
      <c r="A58" s="124" t="str">
        <f>A57</f>
        <v>Estudos e Projetos, Planos e Gerenciamento e outros correlatos</v>
      </c>
      <c r="B58" s="169" t="s">
        <v>163</v>
      </c>
      <c r="C58" s="124" t="str">
        <f t="shared" si="2"/>
        <v>Estudos e Projetos, Planos e Gerenciamento e outros correlatos-</v>
      </c>
      <c r="E58" s="170" t="s">
        <v>151</v>
      </c>
      <c r="F58" s="170" t="s">
        <v>151</v>
      </c>
      <c r="G58" s="170" t="s">
        <v>151</v>
      </c>
      <c r="I58" s="476" t="s">
        <v>23</v>
      </c>
      <c r="J58" s="476"/>
      <c r="K58" s="476"/>
      <c r="L58" s="476"/>
    </row>
    <row r="59" spans="1:18" ht="13.8" x14ac:dyDescent="0.25">
      <c r="A59" s="124" t="str">
        <f>A58</f>
        <v>Estudos e Projetos, Planos e Gerenciamento e outros correlatos</v>
      </c>
      <c r="B59" s="169" t="s">
        <v>163</v>
      </c>
      <c r="C59" s="124" t="str">
        <f t="shared" si="2"/>
        <v>Estudos e Projetos, Planos e Gerenciamento e outros correlatos-</v>
      </c>
      <c r="E59" s="170" t="s">
        <v>151</v>
      </c>
      <c r="F59" s="170" t="s">
        <v>151</v>
      </c>
      <c r="G59" s="170" t="s">
        <v>151</v>
      </c>
      <c r="I59" s="178" t="s">
        <v>22</v>
      </c>
      <c r="J59" s="468" t="str">
        <f>DADOS!B15</f>
        <v>Eliabe Vitória Souza</v>
      </c>
      <c r="K59" s="468"/>
      <c r="L59" s="468"/>
      <c r="M59" s="177"/>
      <c r="N59" s="177"/>
    </row>
    <row r="60" spans="1:18" ht="13.8" x14ac:dyDescent="0.25">
      <c r="A60" s="124" t="str">
        <f>A59</f>
        <v>Estudos e Projetos, Planos e Gerenciamento e outros correlatos</v>
      </c>
      <c r="B60" s="169" t="s">
        <v>164</v>
      </c>
      <c r="C60" s="124" t="str">
        <f t="shared" si="2"/>
        <v>Estudos e Projetos, Planos e Gerenciamento e outros correlatos-K3</v>
      </c>
      <c r="E60" s="170" t="s">
        <v>151</v>
      </c>
      <c r="F60" s="170">
        <v>0.12</v>
      </c>
      <c r="G60" s="170" t="s">
        <v>151</v>
      </c>
      <c r="I60" s="178" t="s">
        <v>24</v>
      </c>
      <c r="J60" s="468" t="str">
        <f>DADOS!B16</f>
        <v>Engenheiro Civil</v>
      </c>
      <c r="K60" s="468"/>
      <c r="L60" s="468"/>
      <c r="M60" s="177"/>
      <c r="N60" s="177"/>
    </row>
    <row r="61" spans="1:18" ht="13.8" x14ac:dyDescent="0.25">
      <c r="A61" s="124" t="str">
        <f>A60</f>
        <v>Estudos e Projetos, Planos e Gerenciamento e outros correlatos</v>
      </c>
      <c r="B61" s="153" t="s">
        <v>92</v>
      </c>
      <c r="C61" s="124" t="str">
        <f t="shared" si="2"/>
        <v>Estudos e Projetos, Planos e Gerenciamento e outros correlatos-BDI PAD</v>
      </c>
      <c r="E61" s="170" t="s">
        <v>151</v>
      </c>
      <c r="F61" s="170" t="s">
        <v>151</v>
      </c>
      <c r="G61" s="170" t="s">
        <v>151</v>
      </c>
      <c r="I61" s="178" t="s">
        <v>25</v>
      </c>
      <c r="J61" s="468" t="str">
        <f>DADOS!B17</f>
        <v>CREA/BA:051487735-9</v>
      </c>
      <c r="K61" s="468"/>
      <c r="L61" s="468"/>
      <c r="M61" s="177"/>
      <c r="N61" s="177"/>
    </row>
    <row r="62" spans="1:18" ht="13.2" x14ac:dyDescent="0.25">
      <c r="I62" s="178"/>
      <c r="J62" s="468">
        <v>0</v>
      </c>
      <c r="K62" s="468"/>
      <c r="L62" s="468"/>
    </row>
    <row r="63" spans="1:18" ht="13.2" x14ac:dyDescent="0.25"/>
    <row r="64" spans="1:18" ht="13.2" hidden="1" x14ac:dyDescent="0.25">
      <c r="A64" s="124" t="s">
        <v>102</v>
      </c>
    </row>
    <row r="65" spans="1:7" ht="13.2" hidden="1" x14ac:dyDescent="0.25">
      <c r="A65" s="124" t="s">
        <v>103</v>
      </c>
    </row>
    <row r="66" spans="1:7" ht="13.2" hidden="1" x14ac:dyDescent="0.25">
      <c r="A66" s="124" t="s">
        <v>146</v>
      </c>
    </row>
    <row r="67" spans="1:7" ht="13.2" hidden="1" x14ac:dyDescent="0.25">
      <c r="A67" s="124" t="s">
        <v>152</v>
      </c>
    </row>
    <row r="68" spans="1:7" ht="13.2" hidden="1" x14ac:dyDescent="0.25">
      <c r="A68" s="124" t="s">
        <v>154</v>
      </c>
    </row>
    <row r="69" spans="1:7" ht="13.2" hidden="1" x14ac:dyDescent="0.25">
      <c r="A69" s="124" t="s">
        <v>137</v>
      </c>
    </row>
    <row r="70" spans="1:7" ht="13.2" hidden="1" x14ac:dyDescent="0.25">
      <c r="A70" s="124" t="s">
        <v>165</v>
      </c>
    </row>
    <row r="71" spans="1:7" ht="13.2" hidden="1" x14ac:dyDescent="0.25">
      <c r="A71" s="124" t="s">
        <v>160</v>
      </c>
    </row>
    <row r="72" spans="1:7" ht="13.8" hidden="1" x14ac:dyDescent="0.25">
      <c r="A72" s="177"/>
      <c r="B72" s="177"/>
      <c r="C72" s="177"/>
      <c r="D72" s="177"/>
      <c r="E72" s="177"/>
      <c r="F72" s="177"/>
      <c r="G72" s="177"/>
    </row>
  </sheetData>
  <mergeCells count="64">
    <mergeCell ref="I13:Q13"/>
    <mergeCell ref="I20:R20"/>
    <mergeCell ref="I4:J4"/>
    <mergeCell ref="K4:R4"/>
    <mergeCell ref="I5:J5"/>
    <mergeCell ref="K5:R5"/>
    <mergeCell ref="I8:R8"/>
    <mergeCell ref="I6:R6"/>
    <mergeCell ref="I15:M15"/>
    <mergeCell ref="N15:R15"/>
    <mergeCell ref="I9:R9"/>
    <mergeCell ref="I16:M16"/>
    <mergeCell ref="N16:R16"/>
    <mergeCell ref="I11:R11"/>
    <mergeCell ref="I12:R12"/>
    <mergeCell ref="I22:P22"/>
    <mergeCell ref="Q22:R22"/>
    <mergeCell ref="N17:R17"/>
    <mergeCell ref="I18:M18"/>
    <mergeCell ref="N18:R18"/>
    <mergeCell ref="I17:M17"/>
    <mergeCell ref="Q23:R23"/>
    <mergeCell ref="I25:P25"/>
    <mergeCell ref="Q25:R25"/>
    <mergeCell ref="I26:P26"/>
    <mergeCell ref="Q26:R26"/>
    <mergeCell ref="I23:P23"/>
    <mergeCell ref="T28:U36"/>
    <mergeCell ref="I30:L30"/>
    <mergeCell ref="I31:L31"/>
    <mergeCell ref="I32:L32"/>
    <mergeCell ref="I33:L33"/>
    <mergeCell ref="I34:L34"/>
    <mergeCell ref="I35:L35"/>
    <mergeCell ref="I36:L36"/>
    <mergeCell ref="I28:L29"/>
    <mergeCell ref="M28:M29"/>
    <mergeCell ref="N28:N29"/>
    <mergeCell ref="O28:O29"/>
    <mergeCell ref="P28:P29"/>
    <mergeCell ref="Q28:Q29"/>
    <mergeCell ref="R28:R29"/>
    <mergeCell ref="J60:L60"/>
    <mergeCell ref="J61:L61"/>
    <mergeCell ref="J62:L62"/>
    <mergeCell ref="I52:R52"/>
    <mergeCell ref="I54:L54"/>
    <mergeCell ref="O54:R54"/>
    <mergeCell ref="I55:L55"/>
    <mergeCell ref="I57:L57"/>
    <mergeCell ref="I58:L58"/>
    <mergeCell ref="J59:L59"/>
    <mergeCell ref="I49:R49"/>
    <mergeCell ref="I37:L37"/>
    <mergeCell ref="I38:L38"/>
    <mergeCell ref="I39:L39"/>
    <mergeCell ref="P39:R39"/>
    <mergeCell ref="J41:R41"/>
    <mergeCell ref="I43:R43"/>
    <mergeCell ref="L44:L45"/>
    <mergeCell ref="M44:O44"/>
    <mergeCell ref="P44:P45"/>
    <mergeCell ref="M45:O45"/>
    <mergeCell ref="I47:R47"/>
  </mergeCells>
  <conditionalFormatting sqref="I38:N38">
    <cfRule type="expression" dxfId="23" priority="6" stopIfTrue="1">
      <formula>$Q$23="Não"</formula>
    </cfRule>
  </conditionalFormatting>
  <conditionalFormatting sqref="I39:N39">
    <cfRule type="expression" dxfId="22" priority="5" stopIfTrue="1">
      <formula>$Q$23="sim"</formula>
    </cfRule>
  </conditionalFormatting>
  <conditionalFormatting sqref="I41:R41">
    <cfRule type="expression" dxfId="21" priority="2" stopIfTrue="1">
      <formula>AND(NOT($V$39),NOT($V$41))</formula>
    </cfRule>
  </conditionalFormatting>
  <conditionalFormatting sqref="O30:O39">
    <cfRule type="expression" dxfId="20" priority="7" stopIfTrue="1">
      <formula>AND(O30&lt;&gt;"OK",O30&lt;&gt;"-",O30&lt;&gt;"")</formula>
    </cfRule>
    <cfRule type="cellIs" dxfId="19" priority="8" stopIfTrue="1" operator="equal">
      <formula>"OK"</formula>
    </cfRule>
  </conditionalFormatting>
  <conditionalFormatting sqref="O54">
    <cfRule type="expression" dxfId="18" priority="3" stopIfTrue="1">
      <formula>$O$54=""</formula>
    </cfRule>
  </conditionalFormatting>
  <conditionalFormatting sqref="P30:R38">
    <cfRule type="expression" dxfId="17" priority="1" stopIfTrue="1">
      <formula>$I$23=$A$70</formula>
    </cfRule>
  </conditionalFormatting>
  <conditionalFormatting sqref="P39:R39">
    <cfRule type="expression" dxfId="16" priority="4" stopIfTrue="1">
      <formula>$Q$23="sim"</formula>
    </cfRule>
  </conditionalFormatting>
  <dataValidations disablePrompts="1" count="6">
    <dataValidation type="list" allowBlank="1" showInputMessage="1" showErrorMessage="1" sqref="I23:P23" xr:uid="{00000000-0002-0000-0100-000000000000}">
      <formula1>$A$64:$A$71</formula1>
    </dataValidation>
    <dataValidation operator="greaterThanOrEqual" allowBlank="1" showInputMessage="1" showErrorMessage="1" errorTitle="Erro de valores" error="Digite um valor igual a 0% ou 2%." sqref="N37" xr:uid="{00000000-0002-0000-0100-000001000000}"/>
    <dataValidation type="decimal" allowBlank="1" showInputMessage="1" showErrorMessage="1" errorTitle="Erro de valores" error="Digite um valor maior do que 0." sqref="N36" xr:uid="{00000000-0002-0000-0100-000002000000}">
      <formula1>0</formula1>
      <formula2>1</formula2>
    </dataValidation>
    <dataValidation type="decimal" allowBlank="1" showInputMessage="1" showErrorMessage="1" errorTitle="Valor não permitido" error="Digite um percentual entre 0% e 100%." promptTitle="Valores admissíveis:" prompt="Insira valores entre 0 e 100%." sqref="Q25:R25" xr:uid="{00000000-0002-0000-0100-000003000000}">
      <formula1>0</formula1>
      <formula2>1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Q26:R26" xr:uid="{00000000-0002-0000-0100-000004000000}">
      <formula1>0</formula1>
    </dataValidation>
    <dataValidation type="decimal" allowBlank="1" showInputMessage="1" showErrorMessage="1" errorTitle="Erro de valores" error="Digite um valor entre 0% e 100%" sqref="N30:N35" xr:uid="{00000000-0002-0000-0100-000005000000}">
      <formula1>0</formula1>
      <formula2>1</formula2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3">
    <pageSetUpPr fitToPage="1"/>
  </sheetPr>
  <dimension ref="A1:AE68"/>
  <sheetViews>
    <sheetView topLeftCell="I21" zoomScale="85" zoomScaleNormal="85" workbookViewId="0">
      <selection activeCell="J37" sqref="J37:R37"/>
    </sheetView>
  </sheetViews>
  <sheetFormatPr defaultColWidth="0" defaultRowHeight="0" customHeight="1" zeroHeight="1" x14ac:dyDescent="0.25"/>
  <cols>
    <col min="1" max="1" width="29.44140625" style="124" hidden="1" customWidth="1"/>
    <col min="2" max="3" width="8.88671875" style="124" hidden="1" customWidth="1"/>
    <col min="4" max="4" width="22.88671875" style="124" hidden="1" customWidth="1"/>
    <col min="5" max="8" width="8.88671875" style="124" hidden="1" customWidth="1"/>
    <col min="9" max="12" width="10.44140625" style="124" customWidth="1"/>
    <col min="13" max="13" width="11.6640625" style="124" customWidth="1"/>
    <col min="14" max="14" width="10.44140625" style="124" customWidth="1"/>
    <col min="15" max="15" width="12.44140625" style="124" customWidth="1"/>
    <col min="16" max="18" width="10.44140625" style="124" customWidth="1"/>
    <col min="19" max="19" width="3.5546875" style="151" customWidth="1"/>
    <col min="20" max="20" width="28.6640625" style="151" customWidth="1"/>
    <col min="21" max="21" width="13.33203125" style="151" customWidth="1"/>
    <col min="22" max="16384" width="8.88671875" style="151" hidden="1"/>
  </cols>
  <sheetData>
    <row r="1" spans="1:19" ht="15" hidden="1" customHeight="1" x14ac:dyDescent="0.25">
      <c r="E1" s="166" t="s">
        <v>138</v>
      </c>
      <c r="F1" s="166" t="s">
        <v>139</v>
      </c>
      <c r="G1" s="166" t="s">
        <v>140</v>
      </c>
      <c r="N1" s="167" t="str">
        <f ca="1">"Quadro de Composição do BDI "&amp;MID(CELL("nome.arquivo",N1),5+FIND("BDI (",CELL("nome.arquivo",N1)),1)</f>
        <v>Quadro de Composição do BDI 2</v>
      </c>
      <c r="Q1" s="168"/>
      <c r="R1" s="168"/>
    </row>
    <row r="2" spans="1:19" ht="14.4" hidden="1" x14ac:dyDescent="0.25">
      <c r="A2" s="124" t="s">
        <v>102</v>
      </c>
      <c r="B2" s="169" t="s">
        <v>84</v>
      </c>
      <c r="C2" s="124" t="str">
        <f>CONCATENATE(A2,"-",B2)</f>
        <v>Construção e Reforma de Edifícios-AC</v>
      </c>
      <c r="E2" s="170">
        <v>0.03</v>
      </c>
      <c r="F2" s="170">
        <v>0.04</v>
      </c>
      <c r="G2" s="170">
        <v>5.5E-2</v>
      </c>
      <c r="Q2" s="168"/>
      <c r="R2" s="168"/>
    </row>
    <row r="3" spans="1:19" ht="13.2" hidden="1" x14ac:dyDescent="0.25">
      <c r="A3" s="124" t="str">
        <f>A2</f>
        <v>Construção e Reforma de Edifícios</v>
      </c>
      <c r="B3" s="169" t="s">
        <v>85</v>
      </c>
      <c r="C3" s="124" t="str">
        <f>CONCATENATE(A3,"-",B3)</f>
        <v>Construção e Reforma de Edifícios-SG</v>
      </c>
      <c r="E3" s="170">
        <v>8.0000000000000002E-3</v>
      </c>
      <c r="F3" s="170">
        <v>8.0000000000000002E-3</v>
      </c>
      <c r="G3" s="170">
        <v>0.01</v>
      </c>
    </row>
    <row r="4" spans="1:19" ht="13.2" hidden="1" x14ac:dyDescent="0.25">
      <c r="A4" s="124" t="str">
        <f>A3</f>
        <v>Construção e Reforma de Edifícios</v>
      </c>
      <c r="B4" s="169" t="s">
        <v>86</v>
      </c>
      <c r="C4" s="124" t="str">
        <f>CONCATENATE(A4,"-",B4)</f>
        <v>Construção e Reforma de Edifícios-R</v>
      </c>
      <c r="E4" s="170">
        <v>9.7000000000000003E-3</v>
      </c>
      <c r="F4" s="170">
        <v>1.2699999999999999E-2</v>
      </c>
      <c r="G4" s="170">
        <v>1.2699999999999999E-2</v>
      </c>
      <c r="I4" s="490" t="s">
        <v>141</v>
      </c>
      <c r="J4" s="492"/>
      <c r="K4" s="490" t="s">
        <v>142</v>
      </c>
      <c r="L4" s="491"/>
      <c r="M4" s="491"/>
      <c r="N4" s="491"/>
      <c r="O4" s="491"/>
      <c r="P4" s="491"/>
      <c r="Q4" s="491"/>
      <c r="R4" s="492"/>
    </row>
    <row r="5" spans="1:19" ht="12.75" hidden="1" customHeight="1" x14ac:dyDescent="0.35">
      <c r="A5" s="124" t="str">
        <f>A4</f>
        <v>Construção e Reforma de Edifícios</v>
      </c>
      <c r="B5" s="169" t="s">
        <v>87</v>
      </c>
      <c r="C5" s="124" t="str">
        <f>CONCATENATE(A5,"-",B5)</f>
        <v>Construção e Reforma de Edifícios-DF</v>
      </c>
      <c r="E5" s="170">
        <v>5.8999999999999999E-3</v>
      </c>
      <c r="F5" s="170">
        <v>1.23E-2</v>
      </c>
      <c r="G5" s="170">
        <v>1.3899999999999999E-2</v>
      </c>
      <c r="I5" s="498" t="s">
        <v>270</v>
      </c>
      <c r="J5" s="499"/>
      <c r="K5" s="500" t="s">
        <v>271</v>
      </c>
      <c r="L5" s="501"/>
      <c r="M5" s="501"/>
      <c r="N5" s="501"/>
      <c r="O5" s="501"/>
      <c r="P5" s="501"/>
      <c r="Q5" s="501"/>
      <c r="R5" s="499"/>
      <c r="S5" s="152"/>
    </row>
    <row r="6" spans="1:19" ht="6" customHeight="1" x14ac:dyDescent="0.25">
      <c r="A6" s="124" t="s">
        <v>103</v>
      </c>
      <c r="B6" s="169" t="s">
        <v>85</v>
      </c>
      <c r="C6" s="124" t="str">
        <f t="shared" ref="C6:C23" si="0">CONCATENATE(A6,"-",B6)</f>
        <v>Construção de Praças Urbanas, Rodovias, Ferrovias e recapeamento e pavimentação de vias urbanas-SG</v>
      </c>
      <c r="E6" s="170">
        <v>3.2000000000000002E-3</v>
      </c>
      <c r="F6" s="170">
        <v>4.0000000000000001E-3</v>
      </c>
      <c r="G6" s="170">
        <v>7.4000000000000003E-3</v>
      </c>
      <c r="I6" s="171"/>
      <c r="J6" s="171"/>
      <c r="K6" s="171"/>
      <c r="L6" s="171"/>
      <c r="M6" s="171"/>
      <c r="N6" s="171"/>
      <c r="O6" s="171"/>
      <c r="P6" s="171"/>
      <c r="Q6" s="171"/>
      <c r="R6" s="171"/>
    </row>
    <row r="7" spans="1:19" ht="18.600000000000001" customHeight="1" x14ac:dyDescent="0.25">
      <c r="B7" s="169"/>
      <c r="E7" s="170"/>
      <c r="F7" s="170"/>
      <c r="G7" s="170"/>
      <c r="I7" s="507" t="s">
        <v>167</v>
      </c>
      <c r="J7" s="507"/>
      <c r="K7" s="507"/>
      <c r="L7" s="507"/>
      <c r="M7" s="507"/>
      <c r="N7" s="507"/>
      <c r="O7" s="507"/>
      <c r="P7" s="507"/>
      <c r="Q7" s="507"/>
      <c r="R7" s="191"/>
    </row>
    <row r="8" spans="1:19" ht="18.600000000000001" customHeight="1" x14ac:dyDescent="0.25">
      <c r="B8" s="169"/>
      <c r="E8" s="170"/>
      <c r="F8" s="170"/>
      <c r="G8" s="170"/>
      <c r="I8" s="497" t="s">
        <v>168</v>
      </c>
      <c r="J8" s="497"/>
      <c r="K8" s="497"/>
      <c r="L8" s="497"/>
      <c r="M8" s="497"/>
      <c r="N8" s="497"/>
      <c r="O8" s="497"/>
      <c r="P8" s="497"/>
      <c r="Q8" s="497"/>
      <c r="R8" s="196"/>
    </row>
    <row r="9" spans="1:19" ht="33" customHeight="1" x14ac:dyDescent="0.25">
      <c r="B9" s="169"/>
      <c r="E9" s="170"/>
      <c r="F9" s="170"/>
      <c r="G9" s="170"/>
      <c r="I9" s="496" t="s">
        <v>170</v>
      </c>
      <c r="J9" s="496"/>
      <c r="K9" s="496"/>
      <c r="L9" s="496"/>
      <c r="M9" s="496"/>
      <c r="N9" s="496"/>
      <c r="O9" s="496"/>
      <c r="P9" s="496"/>
      <c r="Q9" s="496"/>
      <c r="R9" s="126"/>
    </row>
    <row r="10" spans="1:19" ht="18.600000000000001" customHeight="1" x14ac:dyDescent="0.25">
      <c r="B10" s="169"/>
      <c r="E10" s="170"/>
      <c r="F10" s="170"/>
      <c r="G10" s="170"/>
      <c r="I10" s="76"/>
      <c r="J10" s="76"/>
      <c r="K10" s="76"/>
      <c r="L10" s="76"/>
      <c r="M10" s="76"/>
      <c r="N10" s="76"/>
      <c r="O10" s="76"/>
      <c r="P10" s="76"/>
      <c r="Q10" s="76"/>
      <c r="R10" s="76"/>
    </row>
    <row r="11" spans="1:19" ht="18.600000000000001" customHeight="1" x14ac:dyDescent="0.25">
      <c r="B11" s="169"/>
      <c r="E11" s="170"/>
      <c r="F11" s="170"/>
      <c r="G11" s="170"/>
      <c r="I11" s="493" t="s">
        <v>0</v>
      </c>
      <c r="J11" s="493"/>
      <c r="K11" s="493"/>
      <c r="L11" s="493"/>
      <c r="M11" s="493"/>
      <c r="N11" s="493" t="s">
        <v>1</v>
      </c>
      <c r="O11" s="493"/>
      <c r="P11" s="493"/>
      <c r="Q11" s="493"/>
      <c r="R11" s="493"/>
    </row>
    <row r="12" spans="1:19" ht="32.4" customHeight="1" x14ac:dyDescent="0.25">
      <c r="B12" s="169"/>
      <c r="E12" s="170"/>
      <c r="F12" s="170"/>
      <c r="G12" s="170"/>
      <c r="I12" s="508" t="str">
        <f>DADOS!B4</f>
        <v>PREFEITURA MUNICIPAL DE SÃO FELIPE/BA</v>
      </c>
      <c r="J12" s="508"/>
      <c r="K12" s="508"/>
      <c r="L12" s="508"/>
      <c r="M12" s="508"/>
      <c r="N12" s="510" t="str">
        <f>DADOS!B8</f>
        <v>PAVIMENTAÇÃO ASFÁLTICA DIVERSAS RUAS, NO MUNICÍPIO DE SÃO FELIPE/BA</v>
      </c>
      <c r="O12" s="510"/>
      <c r="P12" s="510"/>
      <c r="Q12" s="510"/>
      <c r="R12" s="510"/>
    </row>
    <row r="13" spans="1:19" ht="18.600000000000001" customHeight="1" x14ac:dyDescent="0.25">
      <c r="B13" s="169"/>
      <c r="E13" s="170"/>
      <c r="F13" s="170"/>
      <c r="G13" s="170"/>
      <c r="I13" s="493" t="s">
        <v>15</v>
      </c>
      <c r="J13" s="493"/>
      <c r="K13" s="493"/>
      <c r="L13" s="493"/>
      <c r="M13" s="493"/>
      <c r="N13" s="493" t="s">
        <v>16</v>
      </c>
      <c r="O13" s="493"/>
      <c r="P13" s="493"/>
      <c r="Q13" s="493"/>
      <c r="R13" s="493"/>
    </row>
    <row r="14" spans="1:19" ht="18.600000000000001" customHeight="1" x14ac:dyDescent="0.25">
      <c r="B14" s="169"/>
      <c r="E14" s="170"/>
      <c r="F14" s="170"/>
      <c r="G14" s="170"/>
      <c r="I14" s="508" t="str">
        <f>DADOS!B5</f>
        <v>SÃO FELIPE/BA</v>
      </c>
      <c r="J14" s="508"/>
      <c r="K14" s="508"/>
      <c r="L14" s="508"/>
      <c r="M14" s="508"/>
      <c r="N14" s="509">
        <f ca="1">DADOS!B18</f>
        <v>45812</v>
      </c>
      <c r="O14" s="509"/>
      <c r="P14" s="509"/>
      <c r="Q14" s="509"/>
      <c r="R14" s="509"/>
    </row>
    <row r="15" spans="1:19" ht="10.95" customHeight="1" x14ac:dyDescent="0.25">
      <c r="B15" s="169"/>
      <c r="E15" s="170"/>
      <c r="F15" s="170"/>
      <c r="G15" s="170"/>
      <c r="I15" s="91"/>
      <c r="J15" s="91"/>
      <c r="K15" s="91"/>
      <c r="L15" s="91"/>
      <c r="M15" s="91"/>
      <c r="N15" s="241"/>
      <c r="O15" s="241"/>
      <c r="P15" s="241"/>
      <c r="Q15" s="241"/>
      <c r="R15" s="241"/>
    </row>
    <row r="16" spans="1:19" ht="18.600000000000001" customHeight="1" x14ac:dyDescent="0.25">
      <c r="B16" s="169"/>
      <c r="E16" s="170"/>
      <c r="F16" s="170"/>
      <c r="G16" s="170"/>
      <c r="I16" s="497" t="s">
        <v>143</v>
      </c>
      <c r="J16" s="497"/>
      <c r="K16" s="497"/>
      <c r="L16" s="497"/>
      <c r="M16" s="497"/>
      <c r="N16" s="497"/>
      <c r="O16" s="497"/>
      <c r="P16" s="497"/>
      <c r="Q16" s="497"/>
      <c r="R16" s="497"/>
    </row>
    <row r="17" spans="1:29" ht="11.4" customHeight="1" x14ac:dyDescent="0.25">
      <c r="B17" s="169"/>
      <c r="E17" s="170"/>
      <c r="F17" s="170"/>
      <c r="G17" s="170"/>
      <c r="I17" s="171"/>
      <c r="J17" s="171"/>
      <c r="K17" s="171"/>
      <c r="L17" s="171"/>
      <c r="M17" s="171"/>
      <c r="N17" s="171"/>
      <c r="O17" s="171"/>
      <c r="P17" s="171"/>
      <c r="Q17" s="171"/>
      <c r="R17" s="171"/>
    </row>
    <row r="18" spans="1:29" ht="13.2" x14ac:dyDescent="0.25">
      <c r="A18" s="124" t="s">
        <v>103</v>
      </c>
      <c r="B18" s="169" t="s">
        <v>86</v>
      </c>
      <c r="C18" s="124" t="str">
        <f t="shared" si="0"/>
        <v>Construção de Praças Urbanas, Rodovias, Ferrovias e recapeamento e pavimentação de vias urbanas-R</v>
      </c>
      <c r="E18" s="170">
        <v>5.0000000000000001E-3</v>
      </c>
      <c r="F18" s="170">
        <v>5.6000000000000008E-3</v>
      </c>
      <c r="G18" s="170">
        <v>9.7000000000000003E-3</v>
      </c>
      <c r="I18" s="490" t="s">
        <v>145</v>
      </c>
      <c r="J18" s="491"/>
      <c r="K18" s="491"/>
      <c r="L18" s="491"/>
      <c r="M18" s="491"/>
      <c r="N18" s="491"/>
      <c r="O18" s="491"/>
      <c r="P18" s="491"/>
      <c r="Q18" s="490" t="s">
        <v>93</v>
      </c>
      <c r="R18" s="492"/>
    </row>
    <row r="19" spans="1:29" ht="13.2" x14ac:dyDescent="0.25">
      <c r="A19" s="124" t="s">
        <v>103</v>
      </c>
      <c r="B19" s="169" t="s">
        <v>87</v>
      </c>
      <c r="C19" s="124" t="str">
        <f t="shared" si="0"/>
        <v>Construção de Praças Urbanas, Rodovias, Ferrovias e recapeamento e pavimentação de vias urbanas-DF</v>
      </c>
      <c r="E19" s="170">
        <v>1.0200000000000001E-2</v>
      </c>
      <c r="F19" s="170">
        <v>1.11E-2</v>
      </c>
      <c r="G19" s="170">
        <v>1.21E-2</v>
      </c>
      <c r="I19" s="487" t="s">
        <v>137</v>
      </c>
      <c r="J19" s="488"/>
      <c r="K19" s="488"/>
      <c r="L19" s="488"/>
      <c r="M19" s="488"/>
      <c r="N19" s="488"/>
      <c r="O19" s="488"/>
      <c r="P19" s="489"/>
      <c r="Q19" s="482" t="s">
        <v>272</v>
      </c>
      <c r="R19" s="483"/>
    </row>
    <row r="20" spans="1:29" ht="13.2" x14ac:dyDescent="0.25">
      <c r="A20" s="124" t="s">
        <v>103</v>
      </c>
      <c r="B20" s="169" t="s">
        <v>88</v>
      </c>
      <c r="C20" s="124" t="str">
        <f t="shared" si="0"/>
        <v>Construção de Praças Urbanas, Rodovias, Ferrovias e recapeamento e pavimentação de vias urbanas-L</v>
      </c>
      <c r="E20" s="170">
        <v>6.6400000000000001E-2</v>
      </c>
      <c r="F20" s="170">
        <v>7.2999999999999995E-2</v>
      </c>
      <c r="G20" s="170">
        <v>8.6899999999999991E-2</v>
      </c>
    </row>
    <row r="21" spans="1:29" ht="15" customHeight="1" x14ac:dyDescent="0.25">
      <c r="A21" s="124" t="s">
        <v>103</v>
      </c>
      <c r="B21" s="153" t="s">
        <v>92</v>
      </c>
      <c r="C21" s="124" t="str">
        <f t="shared" si="0"/>
        <v>Construção de Praças Urbanas, Rodovias, Ferrovias e recapeamento e pavimentação de vias urbanas-BDI PAD</v>
      </c>
      <c r="E21" s="170">
        <v>0.19600000000000001</v>
      </c>
      <c r="F21" s="170">
        <v>0.2097</v>
      </c>
      <c r="G21" s="170">
        <v>0.24230000000000002</v>
      </c>
      <c r="I21" s="484" t="s">
        <v>94</v>
      </c>
      <c r="J21" s="484"/>
      <c r="K21" s="484"/>
      <c r="L21" s="484"/>
      <c r="M21" s="484"/>
      <c r="N21" s="484"/>
      <c r="O21" s="484"/>
      <c r="P21" s="484"/>
      <c r="Q21" s="485">
        <v>0.5</v>
      </c>
      <c r="R21" s="485"/>
    </row>
    <row r="22" spans="1:29" ht="15" customHeight="1" x14ac:dyDescent="0.25">
      <c r="A22" s="124" t="s">
        <v>146</v>
      </c>
      <c r="B22" s="169" t="s">
        <v>84</v>
      </c>
      <c r="C22" s="124" t="str">
        <f t="shared" si="0"/>
        <v>Construção de Redes de Abastecimento de Água, Coleta de Esgoto-AC</v>
      </c>
      <c r="E22" s="170">
        <v>3.4300000000000004E-2</v>
      </c>
      <c r="F22" s="170">
        <v>4.9299999999999997E-2</v>
      </c>
      <c r="G22" s="170">
        <v>6.7099999999999993E-2</v>
      </c>
      <c r="I22" s="486" t="s">
        <v>95</v>
      </c>
      <c r="J22" s="486"/>
      <c r="K22" s="486"/>
      <c r="L22" s="486"/>
      <c r="M22" s="486"/>
      <c r="N22" s="486"/>
      <c r="O22" s="486"/>
      <c r="P22" s="486"/>
      <c r="Q22" s="485">
        <v>0.05</v>
      </c>
      <c r="R22" s="485"/>
    </row>
    <row r="23" spans="1:29" ht="13.2" x14ac:dyDescent="0.25">
      <c r="A23" s="124" t="str">
        <f>A22</f>
        <v>Construção de Redes de Abastecimento de Água, Coleta de Esgoto</v>
      </c>
      <c r="B23" s="169" t="s">
        <v>85</v>
      </c>
      <c r="C23" s="124" t="str">
        <f t="shared" si="0"/>
        <v>Construção de Redes de Abastecimento de Água, Coleta de Esgoto-SG</v>
      </c>
      <c r="E23" s="170">
        <v>2.8000000000000004E-3</v>
      </c>
      <c r="F23" s="170">
        <v>4.8999999999999998E-3</v>
      </c>
      <c r="G23" s="170">
        <v>7.4999999999999997E-3</v>
      </c>
    </row>
    <row r="24" spans="1:29" ht="12.75" customHeight="1" x14ac:dyDescent="0.25">
      <c r="B24" s="169"/>
      <c r="E24" s="170"/>
      <c r="F24" s="170"/>
      <c r="G24" s="170"/>
      <c r="I24" s="479" t="s">
        <v>147</v>
      </c>
      <c r="J24" s="479"/>
      <c r="K24" s="479"/>
      <c r="L24" s="479"/>
      <c r="M24" s="479" t="s">
        <v>148</v>
      </c>
      <c r="N24" s="480" t="s">
        <v>149</v>
      </c>
      <c r="O24" s="480" t="s">
        <v>150</v>
      </c>
      <c r="P24" s="479" t="s">
        <v>99</v>
      </c>
      <c r="Q24" s="479" t="s">
        <v>100</v>
      </c>
      <c r="R24" s="481" t="s">
        <v>101</v>
      </c>
      <c r="T24" s="477" t="str">
        <f>IF(V35,"Para BDI fora do intervalo estatístico, deve ser apresentado Relatório Técnico Circunstanciado justificando a adoção do percentual de cada parcela do BDI.","")</f>
        <v/>
      </c>
      <c r="U24" s="477"/>
      <c r="V24" s="154"/>
      <c r="W24" s="154"/>
      <c r="X24" s="154"/>
      <c r="Y24" s="154"/>
      <c r="Z24" s="154"/>
      <c r="AA24" s="154"/>
      <c r="AB24" s="154"/>
      <c r="AC24" s="154"/>
    </row>
    <row r="25" spans="1:29" ht="15.75" customHeight="1" x14ac:dyDescent="0.25">
      <c r="A25" s="124" t="str">
        <f>A23</f>
        <v>Construção de Redes de Abastecimento de Água, Coleta de Esgoto</v>
      </c>
      <c r="B25" s="169" t="s">
        <v>86</v>
      </c>
      <c r="C25" s="124" t="str">
        <f t="shared" ref="C25:C37" si="1">CONCATENATE(A25,"-",B25)</f>
        <v>Construção de Redes de Abastecimento de Água, Coleta de Esgoto-R</v>
      </c>
      <c r="E25" s="170">
        <v>0.01</v>
      </c>
      <c r="F25" s="170">
        <v>1.3899999999999999E-2</v>
      </c>
      <c r="G25" s="170">
        <v>1.7399999999999999E-2</v>
      </c>
      <c r="I25" s="479"/>
      <c r="J25" s="479"/>
      <c r="K25" s="479"/>
      <c r="L25" s="479"/>
      <c r="M25" s="479"/>
      <c r="N25" s="480"/>
      <c r="O25" s="480"/>
      <c r="P25" s="479"/>
      <c r="Q25" s="479"/>
      <c r="R25" s="481"/>
      <c r="T25" s="477"/>
      <c r="U25" s="477"/>
      <c r="V25" s="154"/>
      <c r="W25" s="154"/>
      <c r="X25" s="154"/>
      <c r="Y25" s="154"/>
      <c r="Z25" s="154"/>
      <c r="AA25" s="154"/>
      <c r="AB25" s="154"/>
      <c r="AC25" s="154"/>
    </row>
    <row r="26" spans="1:29" ht="26.25" customHeight="1" x14ac:dyDescent="0.25">
      <c r="A26" s="124" t="str">
        <f>A25</f>
        <v>Construção de Redes de Abastecimento de Água, Coleta de Esgoto</v>
      </c>
      <c r="B26" s="169" t="s">
        <v>87</v>
      </c>
      <c r="C26" s="124" t="str">
        <f t="shared" si="1"/>
        <v>Construção de Redes de Abastecimento de Água, Coleta de Esgoto-DF</v>
      </c>
      <c r="E26" s="170">
        <v>9.3999999999999986E-3</v>
      </c>
      <c r="F26" s="170">
        <v>9.8999999999999991E-3</v>
      </c>
      <c r="G26" s="170">
        <v>1.1699999999999999E-2</v>
      </c>
      <c r="I26" s="458" t="str">
        <f>IF($I$19=$A$67,"Encargos Sociais incidentes sobre a mão de obra","Administração Central")</f>
        <v>Administração Central</v>
      </c>
      <c r="J26" s="458"/>
      <c r="K26" s="458"/>
      <c r="L26" s="458"/>
      <c r="M26" s="155" t="str">
        <f>IF($I$19=$A$67,"K1","AC")</f>
        <v>AC</v>
      </c>
      <c r="N26" s="148">
        <v>3.4500000000000003E-2</v>
      </c>
      <c r="O26" s="156" t="s">
        <v>151</v>
      </c>
      <c r="P26" s="149">
        <f>VLOOKUP(CONCATENATE(I$19,"-",M26),$C$2:$G$57,3,FALSE)</f>
        <v>1.4999999999999999E-2</v>
      </c>
      <c r="Q26" s="149">
        <f>VLOOKUP(CONCATENATE(I$19,"-",M26),$C$2:$G$57,4,FALSE)</f>
        <v>3.4500000000000003E-2</v>
      </c>
      <c r="R26" s="149">
        <f>VLOOKUP(CONCATENATE(I$19,"-",M26),$C$2:$G$57,5,FALSE)</f>
        <v>4.4900000000000002E-2</v>
      </c>
      <c r="T26" s="477"/>
      <c r="U26" s="477"/>
      <c r="V26" s="154"/>
      <c r="W26" s="154"/>
      <c r="X26" s="154"/>
      <c r="Y26" s="154"/>
      <c r="Z26" s="154"/>
      <c r="AA26" s="154"/>
      <c r="AB26" s="154"/>
      <c r="AC26" s="154"/>
    </row>
    <row r="27" spans="1:29" ht="26.25" customHeight="1" x14ac:dyDescent="0.25">
      <c r="A27" s="124" t="str">
        <f>A26</f>
        <v>Construção de Redes de Abastecimento de Água, Coleta de Esgoto</v>
      </c>
      <c r="B27" s="169" t="s">
        <v>88</v>
      </c>
      <c r="C27" s="124" t="str">
        <f t="shared" si="1"/>
        <v>Construção de Redes de Abastecimento de Água, Coleta de Esgoto-L</v>
      </c>
      <c r="E27" s="170">
        <v>6.7400000000000002E-2</v>
      </c>
      <c r="F27" s="170">
        <v>8.0399999999999985E-2</v>
      </c>
      <c r="G27" s="170">
        <v>9.4E-2</v>
      </c>
      <c r="I27" s="458" t="str">
        <f>IF($I$19=$A$67,"Administração Central da empresa ou consultoria - overhead","Seguro e Garantia")</f>
        <v>Seguro e Garantia</v>
      </c>
      <c r="J27" s="458"/>
      <c r="K27" s="458"/>
      <c r="L27" s="458"/>
      <c r="M27" s="155" t="str">
        <f>IF($I$19=$A$67,"K2","SG")</f>
        <v>SG</v>
      </c>
      <c r="N27" s="148">
        <v>4.7999999999999996E-3</v>
      </c>
      <c r="O27" s="156" t="s">
        <v>151</v>
      </c>
      <c r="P27" s="149">
        <f>VLOOKUP(CONCATENATE(I$19,"-",M27),$C$2:$G$57,3,FALSE)</f>
        <v>3.0000000000000001E-3</v>
      </c>
      <c r="Q27" s="149">
        <f>VLOOKUP(CONCATENATE(I$19,"-",M27),$C$2:$G$57,4,FALSE)</f>
        <v>4.7999999999999996E-3</v>
      </c>
      <c r="R27" s="149">
        <f>VLOOKUP(CONCATENATE(I$19,"-",M27),$C$2:$G$57,5,FALSE)</f>
        <v>8.199999999999999E-3</v>
      </c>
      <c r="T27" s="477"/>
      <c r="U27" s="477"/>
      <c r="V27" s="154"/>
      <c r="W27" s="154"/>
      <c r="X27" s="154"/>
      <c r="Y27" s="154"/>
      <c r="Z27" s="154"/>
      <c r="AA27" s="154"/>
      <c r="AB27" s="154"/>
      <c r="AC27" s="154"/>
    </row>
    <row r="28" spans="1:29" ht="26.25" customHeight="1" x14ac:dyDescent="0.25">
      <c r="A28" s="124" t="str">
        <f>A27</f>
        <v>Construção de Redes de Abastecimento de Água, Coleta de Esgoto</v>
      </c>
      <c r="B28" s="153" t="s">
        <v>92</v>
      </c>
      <c r="C28" s="124" t="str">
        <f t="shared" si="1"/>
        <v>Construção de Redes de Abastecimento de Água, Coleta de Esgoto-BDI PAD</v>
      </c>
      <c r="E28" s="170">
        <v>0.20760000000000001</v>
      </c>
      <c r="F28" s="170">
        <v>0.24179999999999999</v>
      </c>
      <c r="G28" s="170">
        <v>0.26440000000000002</v>
      </c>
      <c r="I28" s="458" t="str">
        <f>IF($I$19=$A$67,"","Risco")</f>
        <v>Risco</v>
      </c>
      <c r="J28" s="458"/>
      <c r="K28" s="458"/>
      <c r="L28" s="458"/>
      <c r="M28" s="155" t="str">
        <f>IF($I$19=$A$67,"","R")</f>
        <v>R</v>
      </c>
      <c r="N28" s="148">
        <v>8.5000000000000006E-3</v>
      </c>
      <c r="O28" s="156" t="s">
        <v>151</v>
      </c>
      <c r="P28" s="149">
        <f>VLOOKUP(CONCATENATE(I$19,"-",M28),$C$2:$G$57,3,FALSE)</f>
        <v>5.6000000000000008E-3</v>
      </c>
      <c r="Q28" s="149">
        <f>VLOOKUP(CONCATENATE(I$19,"-",M28),$C$2:$G$57,4,FALSE)</f>
        <v>8.5000000000000006E-3</v>
      </c>
      <c r="R28" s="149">
        <f>VLOOKUP(CONCATENATE(I$19,"-",M28),$C$2:$G$57,5,FALSE)</f>
        <v>8.8999999999999999E-3</v>
      </c>
      <c r="T28" s="477"/>
      <c r="U28" s="477"/>
      <c r="V28" s="154"/>
      <c r="W28" s="154"/>
      <c r="X28" s="154"/>
      <c r="Y28" s="154"/>
      <c r="Z28" s="154"/>
      <c r="AA28" s="154"/>
      <c r="AB28" s="154"/>
      <c r="AC28" s="154"/>
    </row>
    <row r="29" spans="1:29" ht="26.25" customHeight="1" x14ac:dyDescent="0.25">
      <c r="A29" s="124" t="s">
        <v>152</v>
      </c>
      <c r="B29" s="169" t="s">
        <v>84</v>
      </c>
      <c r="C29" s="124" t="str">
        <f t="shared" si="1"/>
        <v>Construção e Manutenção de Estações e Redes de Distribuição de Energia Elétrica-AC</v>
      </c>
      <c r="E29" s="170">
        <v>5.2900000000000003E-2</v>
      </c>
      <c r="F29" s="170">
        <v>5.9200000000000003E-2</v>
      </c>
      <c r="G29" s="170">
        <v>7.9299999999999995E-2</v>
      </c>
      <c r="I29" s="458" t="str">
        <f>IF($I$19=$A$67,"","Despesas Financeiras")</f>
        <v>Despesas Financeiras</v>
      </c>
      <c r="J29" s="458"/>
      <c r="K29" s="458"/>
      <c r="L29" s="458"/>
      <c r="M29" s="155" t="str">
        <f>IF($I$19=$A$67,"","DF")</f>
        <v>DF</v>
      </c>
      <c r="N29" s="148">
        <v>8.5000000000000006E-3</v>
      </c>
      <c r="O29" s="156" t="s">
        <v>151</v>
      </c>
      <c r="P29" s="149">
        <f>VLOOKUP(CONCATENATE(I$19,"-",M29),$C$2:$G$57,3,FALSE)</f>
        <v>8.5000000000000006E-3</v>
      </c>
      <c r="Q29" s="149">
        <f>VLOOKUP(CONCATENATE(I$19,"-",M29),$C$2:$G$57,4,FALSE)</f>
        <v>8.5000000000000006E-3</v>
      </c>
      <c r="R29" s="149">
        <f>VLOOKUP(CONCATENATE(I$19,"-",M29),$C$2:$G$57,5,FALSE)</f>
        <v>1.11E-2</v>
      </c>
      <c r="T29" s="477"/>
      <c r="U29" s="477"/>
    </row>
    <row r="30" spans="1:29" ht="26.25" customHeight="1" x14ac:dyDescent="0.25">
      <c r="A30" s="124" t="str">
        <f>A29</f>
        <v>Construção e Manutenção de Estações e Redes de Distribuição de Energia Elétrica</v>
      </c>
      <c r="B30" s="169" t="s">
        <v>85</v>
      </c>
      <c r="C30" s="124" t="str">
        <f t="shared" si="1"/>
        <v>Construção e Manutenção de Estações e Redes de Distribuição de Energia Elétrica-SG</v>
      </c>
      <c r="E30" s="170">
        <v>2.5000000000000001E-3</v>
      </c>
      <c r="F30" s="170">
        <v>5.1000000000000004E-3</v>
      </c>
      <c r="G30" s="170">
        <v>5.6000000000000008E-3</v>
      </c>
      <c r="I30" s="458" t="str">
        <f>IF($I$19=$A$67,"Margem bruta da empresa de consultoria","Lucro")</f>
        <v>Lucro</v>
      </c>
      <c r="J30" s="458"/>
      <c r="K30" s="458"/>
      <c r="L30" s="458"/>
      <c r="M30" s="155" t="str">
        <f>IF($I$19=$A$67,"K3","L")</f>
        <v>L</v>
      </c>
      <c r="N30" s="148">
        <v>3.5000000000000003E-2</v>
      </c>
      <c r="O30" s="156" t="s">
        <v>151</v>
      </c>
      <c r="P30" s="149">
        <f>VLOOKUP(CONCATENATE(I$19,"-",M30),$C$2:$G$57,3,FALSE)</f>
        <v>3.5000000000000003E-2</v>
      </c>
      <c r="Q30" s="149">
        <f>VLOOKUP(CONCATENATE(I$19,"-",M30),$C$2:$G$57,4,FALSE)</f>
        <v>5.1100000000000007E-2</v>
      </c>
      <c r="R30" s="149">
        <f>VLOOKUP(CONCATENATE(I$19,"-",M30),$C$2:$G$57,5,FALSE)</f>
        <v>6.2199999999999998E-2</v>
      </c>
      <c r="T30" s="477"/>
      <c r="U30" s="477"/>
    </row>
    <row r="31" spans="1:29" ht="26.25" customHeight="1" x14ac:dyDescent="0.25">
      <c r="A31" s="124" t="str">
        <f>A30</f>
        <v>Construção e Manutenção de Estações e Redes de Distribuição de Energia Elétrica</v>
      </c>
      <c r="B31" s="169" t="s">
        <v>86</v>
      </c>
      <c r="C31" s="124" t="str">
        <f t="shared" si="1"/>
        <v>Construção e Manutenção de Estações e Redes de Distribuição de Energia Elétrica-R</v>
      </c>
      <c r="E31" s="170">
        <v>0.01</v>
      </c>
      <c r="F31" s="170">
        <v>1.4800000000000001E-2</v>
      </c>
      <c r="G31" s="170">
        <v>1.9699999999999999E-2</v>
      </c>
      <c r="I31" s="478" t="s">
        <v>81</v>
      </c>
      <c r="J31" s="478"/>
      <c r="K31" s="478"/>
      <c r="L31" s="478"/>
      <c r="M31" s="155" t="s">
        <v>89</v>
      </c>
      <c r="N31" s="148">
        <v>3.6499999999999998E-2</v>
      </c>
      <c r="O31" s="156" t="s">
        <v>151</v>
      </c>
      <c r="P31" s="149">
        <v>3.6499999999999998E-2</v>
      </c>
      <c r="Q31" s="149">
        <v>3.6499999999999998E-2</v>
      </c>
      <c r="R31" s="149">
        <v>3.6499999999999998E-2</v>
      </c>
      <c r="T31" s="477"/>
      <c r="U31" s="477"/>
    </row>
    <row r="32" spans="1:29" ht="26.25" customHeight="1" x14ac:dyDescent="0.25">
      <c r="A32" s="124" t="str">
        <f>A31</f>
        <v>Construção e Manutenção de Estações e Redes de Distribuição de Energia Elétrica</v>
      </c>
      <c r="B32" s="169" t="s">
        <v>87</v>
      </c>
      <c r="C32" s="124" t="str">
        <f t="shared" si="1"/>
        <v>Construção e Manutenção de Estações e Redes de Distribuição de Energia Elétrica-DF</v>
      </c>
      <c r="E32" s="170">
        <v>1.01E-2</v>
      </c>
      <c r="F32" s="170">
        <v>1.0700000000000001E-2</v>
      </c>
      <c r="G32" s="170">
        <v>1.11E-2</v>
      </c>
      <c r="I32" s="458" t="s">
        <v>82</v>
      </c>
      <c r="J32" s="458"/>
      <c r="K32" s="458"/>
      <c r="L32" s="458"/>
      <c r="M32" s="155" t="s">
        <v>90</v>
      </c>
      <c r="N32" s="149">
        <f>IF($I$19&lt;&gt;$A$66,Q22*Q21,0)</f>
        <v>2.5000000000000001E-2</v>
      </c>
      <c r="O32" s="156" t="s">
        <v>151</v>
      </c>
      <c r="P32" s="149">
        <v>0</v>
      </c>
      <c r="Q32" s="149">
        <v>2.5000000000000001E-2</v>
      </c>
      <c r="R32" s="149">
        <v>0.05</v>
      </c>
      <c r="T32" s="477"/>
      <c r="U32" s="477"/>
    </row>
    <row r="33" spans="1:31" ht="26.25" customHeight="1" x14ac:dyDescent="0.25">
      <c r="A33" s="124" t="str">
        <f>A32</f>
        <v>Construção e Manutenção de Estações e Redes de Distribuição de Energia Elétrica</v>
      </c>
      <c r="B33" s="169" t="s">
        <v>88</v>
      </c>
      <c r="C33" s="124" t="str">
        <f t="shared" si="1"/>
        <v>Construção e Manutenção de Estações e Redes de Distribuição de Energia Elétrica-L</v>
      </c>
      <c r="E33" s="170">
        <v>0.08</v>
      </c>
      <c r="F33" s="170">
        <v>8.3100000000000007E-2</v>
      </c>
      <c r="G33" s="170">
        <v>9.5100000000000004E-2</v>
      </c>
      <c r="I33" s="458" t="s">
        <v>83</v>
      </c>
      <c r="J33" s="458"/>
      <c r="K33" s="458"/>
      <c r="L33" s="458"/>
      <c r="M33" s="155" t="s">
        <v>91</v>
      </c>
      <c r="N33" s="149">
        <f>IF(AND($I$19&lt;&gt;$A$66,Q19="Sim"),4.5%,0%)</f>
        <v>0</v>
      </c>
      <c r="O33" s="156" t="str">
        <f>IF(AND(N33&gt;=P33, N33&lt;=R33), "OK", "Não OK")</f>
        <v>OK</v>
      </c>
      <c r="P33" s="150">
        <v>0</v>
      </c>
      <c r="Q33" s="150">
        <v>4.4999999999999998E-2</v>
      </c>
      <c r="R33" s="150">
        <v>4.4999999999999998E-2</v>
      </c>
    </row>
    <row r="34" spans="1:31" ht="30.75" customHeight="1" x14ac:dyDescent="0.3">
      <c r="A34" s="124" t="str">
        <f>A33</f>
        <v>Construção e Manutenção de Estações e Redes de Distribuição de Energia Elétrica</v>
      </c>
      <c r="B34" s="153" t="s">
        <v>92</v>
      </c>
      <c r="C34" s="124" t="str">
        <f t="shared" si="1"/>
        <v>Construção e Manutenção de Estações e Redes de Distribuição de Energia Elétrica-BDI PAD</v>
      </c>
      <c r="E34" s="170">
        <v>0.24</v>
      </c>
      <c r="F34" s="170">
        <v>0.25840000000000002</v>
      </c>
      <c r="G34" s="170">
        <v>0.27860000000000001</v>
      </c>
      <c r="I34" s="458" t="s">
        <v>153</v>
      </c>
      <c r="J34" s="458"/>
      <c r="K34" s="458"/>
      <c r="L34" s="458"/>
      <c r="M34" s="157" t="s">
        <v>92</v>
      </c>
      <c r="N34" s="149">
        <f>IF($I$19=$A$66,0,ROUND((((1+N26+N27+N28)*(1+N29)*(1+N30)/(1-(N31+N32)))-1),4))</f>
        <v>0.16539999999999999</v>
      </c>
      <c r="O34" s="158" t="str">
        <f>IF(OR($I$19=$A$67,$I$19=$A$66,AND(N34&gt;=P34, N34&lt;=R34)), "OK", "FORA DO INTERVALO")</f>
        <v>OK</v>
      </c>
      <c r="P34" s="149">
        <f>IF($I$19=$A$66,0,VLOOKUP(CONCATENATE($I$19,"-",$M34),$C$2:$G$57,3,FALSE))</f>
        <v>0.111</v>
      </c>
      <c r="Q34" s="149">
        <f>IF($I$19=$A$66,0,VLOOKUP(CONCATENATE($I$19,"-",$M34),$C$2:$G$57,4,FALSE))</f>
        <v>0.14019999999999999</v>
      </c>
      <c r="R34" s="149">
        <f>IF($I$19=$A$66,0,VLOOKUP(CONCATENATE($I$19,"-",$M34),$C$2:$G$57,5,FALSE))</f>
        <v>0.16800000000000001</v>
      </c>
      <c r="T34" s="159"/>
      <c r="V34" s="154"/>
      <c r="W34" s="154"/>
      <c r="X34" s="154"/>
      <c r="Y34" s="154"/>
      <c r="Z34" s="154"/>
      <c r="AA34" s="154"/>
      <c r="AB34" s="154"/>
      <c r="AC34" s="154"/>
      <c r="AD34" s="154"/>
      <c r="AE34" s="154"/>
    </row>
    <row r="35" spans="1:31" ht="30" customHeight="1" x14ac:dyDescent="0.3">
      <c r="A35" s="124" t="s">
        <v>154</v>
      </c>
      <c r="B35" s="169" t="s">
        <v>84</v>
      </c>
      <c r="C35" s="124" t="str">
        <f t="shared" si="1"/>
        <v>Obras Portuárias, Marítimas e Fluviais-AC</v>
      </c>
      <c r="E35" s="170">
        <v>0.04</v>
      </c>
      <c r="F35" s="170">
        <v>5.5199999999999999E-2</v>
      </c>
      <c r="G35" s="170">
        <v>7.85E-2</v>
      </c>
      <c r="I35" s="459" t="s">
        <v>155</v>
      </c>
      <c r="J35" s="459"/>
      <c r="K35" s="459"/>
      <c r="L35" s="459"/>
      <c r="M35" s="160" t="s">
        <v>156</v>
      </c>
      <c r="N35" s="161">
        <f>IF($I$19=$A$66,0,ROUND((((1+N26+N27+N28)*(1+N29)*(1+N30)/(1-(N31+N32+N33)))-1),4))</f>
        <v>0.16539999999999999</v>
      </c>
      <c r="O35" s="162" t="str">
        <f>IF(Q19&lt;&gt;"Sim","",O34)</f>
        <v/>
      </c>
      <c r="P35" s="460"/>
      <c r="Q35" s="460"/>
      <c r="R35" s="460"/>
      <c r="T35" s="159"/>
      <c r="V35" s="163" t="b">
        <f>AND(COUNTA(N26:N31)=6,O34&lt;&gt;"ok",NOT(V37))</f>
        <v>0</v>
      </c>
      <c r="W35" s="151" t="s">
        <v>157</v>
      </c>
    </row>
    <row r="36" spans="1:31" ht="7.5" customHeight="1" x14ac:dyDescent="0.25">
      <c r="A36" s="124" t="str">
        <f>A35</f>
        <v>Obras Portuárias, Marítimas e Fluviais</v>
      </c>
      <c r="B36" s="169" t="s">
        <v>85</v>
      </c>
      <c r="C36" s="124" t="str">
        <f t="shared" si="1"/>
        <v>Obras Portuárias, Marítimas e Fluviais-SG</v>
      </c>
      <c r="E36" s="170">
        <v>8.1000000000000013E-3</v>
      </c>
      <c r="F36" s="170">
        <v>1.2199999999999999E-2</v>
      </c>
      <c r="G36" s="170">
        <v>1.9900000000000001E-2</v>
      </c>
      <c r="V36" s="163"/>
    </row>
    <row r="37" spans="1:31" ht="21.75" customHeight="1" x14ac:dyDescent="0.25">
      <c r="A37" s="124" t="str">
        <f>A36</f>
        <v>Obras Portuárias, Marítimas e Fluviais</v>
      </c>
      <c r="B37" s="169" t="s">
        <v>86</v>
      </c>
      <c r="C37" s="124" t="str">
        <f t="shared" si="1"/>
        <v>Obras Portuárias, Marítimas e Fluviais-R</v>
      </c>
      <c r="E37" s="170">
        <v>1.46E-2</v>
      </c>
      <c r="F37" s="170">
        <v>2.3199999999999998E-2</v>
      </c>
      <c r="G37" s="170">
        <v>3.1600000000000003E-2</v>
      </c>
      <c r="I37" s="164" t="str">
        <f>IF(V37,"X","")</f>
        <v/>
      </c>
      <c r="J37" s="461" t="s">
        <v>158</v>
      </c>
      <c r="K37" s="461"/>
      <c r="L37" s="461"/>
      <c r="M37" s="461"/>
      <c r="N37" s="461"/>
      <c r="O37" s="461"/>
      <c r="P37" s="461"/>
      <c r="Q37" s="461"/>
      <c r="R37" s="461"/>
      <c r="V37" s="163" t="b">
        <v>0</v>
      </c>
      <c r="W37" s="151" t="s">
        <v>159</v>
      </c>
    </row>
    <row r="38" spans="1:31" ht="7.5" customHeight="1" x14ac:dyDescent="0.25">
      <c r="B38" s="169"/>
      <c r="E38" s="170"/>
      <c r="F38" s="170"/>
      <c r="G38" s="170"/>
      <c r="V38" s="163"/>
    </row>
    <row r="39" spans="1:31" ht="18.75" customHeight="1" x14ac:dyDescent="0.25">
      <c r="B39" s="169"/>
      <c r="E39" s="170"/>
      <c r="F39" s="170"/>
      <c r="G39" s="170"/>
      <c r="I39" s="462" t="s">
        <v>96</v>
      </c>
      <c r="J39" s="462"/>
      <c r="K39" s="462"/>
      <c r="L39" s="462"/>
      <c r="M39" s="462"/>
      <c r="N39" s="462"/>
      <c r="O39" s="462"/>
      <c r="P39" s="462"/>
      <c r="Q39" s="462"/>
      <c r="R39" s="462"/>
    </row>
    <row r="40" spans="1:31" ht="30" customHeight="1" x14ac:dyDescent="0.25">
      <c r="A40" s="124" t="str">
        <f>A37</f>
        <v>Obras Portuárias, Marítimas e Fluviais</v>
      </c>
      <c r="B40" s="169" t="s">
        <v>87</v>
      </c>
      <c r="C40" s="124" t="str">
        <f>CONCATENATE(A40,"-",B40)</f>
        <v>Obras Portuárias, Marítimas e Fluviais-DF</v>
      </c>
      <c r="E40" s="170">
        <v>9.3999999999999986E-3</v>
      </c>
      <c r="F40" s="170">
        <v>1.0200000000000001E-2</v>
      </c>
      <c r="G40" s="170">
        <v>1.3300000000000001E-2</v>
      </c>
      <c r="I40" s="172"/>
      <c r="J40" s="172"/>
      <c r="K40" s="172"/>
      <c r="L40" s="463" t="str">
        <f>IF(Q19="Sim","BDI.DES =","BDI.PAD =")</f>
        <v>BDI.PAD =</v>
      </c>
      <c r="M40" s="464" t="str">
        <f>IF($I$19=$A$67,"(1+K1+K2)*(1+K3)","(1+AC + S + R + G)*(1 + DF)*(1+L)")</f>
        <v>(1+AC + S + R + G)*(1 + DF)*(1+L)</v>
      </c>
      <c r="N40" s="464"/>
      <c r="O40" s="464"/>
      <c r="P40" s="465" t="s">
        <v>97</v>
      </c>
      <c r="Q40" s="172"/>
      <c r="R40" s="172"/>
    </row>
    <row r="41" spans="1:31" ht="27" customHeight="1" x14ac:dyDescent="0.25">
      <c r="A41" s="124" t="str">
        <f>A40</f>
        <v>Obras Portuárias, Marítimas e Fluviais</v>
      </c>
      <c r="B41" s="169" t="s">
        <v>88</v>
      </c>
      <c r="C41" s="124" t="str">
        <f>CONCATENATE(A41,"-",B41)</f>
        <v>Obras Portuárias, Marítimas e Fluviais-L</v>
      </c>
      <c r="E41" s="170">
        <v>7.1399999999999991E-2</v>
      </c>
      <c r="F41" s="170">
        <v>8.4000000000000005E-2</v>
      </c>
      <c r="G41" s="170">
        <v>0.1043</v>
      </c>
      <c r="I41" s="172"/>
      <c r="J41" s="172"/>
      <c r="K41" s="172"/>
      <c r="L41" s="463"/>
      <c r="M41" s="467" t="str">
        <f>IF(Q19="Sim","(1-CP-ISS-CRPB)","(1-CP-ISS)")</f>
        <v>(1-CP-ISS)</v>
      </c>
      <c r="N41" s="467"/>
      <c r="O41" s="467"/>
      <c r="P41" s="466"/>
      <c r="Q41" s="172"/>
      <c r="R41" s="172"/>
    </row>
    <row r="42" spans="1:31" ht="7.5" customHeight="1" x14ac:dyDescent="0.25">
      <c r="A42" s="124" t="str">
        <f>A41</f>
        <v>Obras Portuárias, Marítimas e Fluviais</v>
      </c>
      <c r="B42" s="153" t="s">
        <v>92</v>
      </c>
      <c r="C42" s="124" t="str">
        <f>CONCATENATE(A42,"-",B42)</f>
        <v>Obras Portuárias, Marítimas e Fluviais-BDI PAD</v>
      </c>
      <c r="E42" s="170">
        <v>0.22800000000000001</v>
      </c>
      <c r="F42" s="170">
        <v>0.27479999999999999</v>
      </c>
      <c r="G42" s="170">
        <v>0.3095</v>
      </c>
      <c r="I42" s="173"/>
      <c r="J42" s="173"/>
      <c r="K42" s="173"/>
      <c r="L42" s="173"/>
      <c r="M42" s="173"/>
      <c r="N42" s="173"/>
      <c r="O42" s="173"/>
      <c r="P42" s="173"/>
      <c r="Q42" s="173"/>
      <c r="R42" s="173"/>
    </row>
    <row r="43" spans="1:31" ht="45" customHeight="1" x14ac:dyDescent="0.25">
      <c r="B43" s="153"/>
      <c r="E43" s="170"/>
      <c r="F43" s="170"/>
      <c r="G43" s="170"/>
      <c r="I43" s="457" t="str">
        <f>CONCATENATE("Declaro para os devidos fins que, conforme legislação tributária municipal, a base de cálculo para ",I19,", é de ",Q21*100,"%, com a respectiva alíquota de ",Q22*100,"%.")</f>
        <v>Declaro para os devidos fins que, conforme legislação tributária municipal, a base de cálculo para Fornecimento de Materiais e Equipamentos (aquisição indireta - em conjunto com licitação de obras), é de 50%, com a respectiva alíquota de 5%.</v>
      </c>
      <c r="J43" s="457"/>
      <c r="K43" s="457"/>
      <c r="L43" s="457"/>
      <c r="M43" s="457"/>
      <c r="N43" s="457"/>
      <c r="O43" s="457"/>
      <c r="P43" s="457"/>
      <c r="Q43" s="457"/>
      <c r="R43" s="457"/>
    </row>
    <row r="44" spans="1:31" ht="11.25" customHeight="1" x14ac:dyDescent="0.25">
      <c r="B44" s="153"/>
      <c r="E44" s="170"/>
      <c r="F44" s="170"/>
      <c r="G44" s="170"/>
    </row>
    <row r="45" spans="1:31" ht="52.5" customHeight="1" x14ac:dyDescent="0.25">
      <c r="B45" s="153"/>
      <c r="E45" s="170"/>
      <c r="F45" s="170"/>
      <c r="G45" s="170"/>
      <c r="I45" s="457" t="str">
        <f>CONCATENATE("Declaro para os devidos fins que o regime de Contribuição Previdenciária sobre a Receita Bruta adotado para elaboração do orçamento foi ",IF(Q19="Sim","COM","SEM"),"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J45" s="457"/>
      <c r="K45" s="457"/>
      <c r="L45" s="457"/>
      <c r="M45" s="457"/>
      <c r="N45" s="457"/>
      <c r="O45" s="457"/>
      <c r="P45" s="457"/>
      <c r="Q45" s="457"/>
      <c r="R45" s="457"/>
    </row>
    <row r="46" spans="1:31" ht="18" customHeight="1" x14ac:dyDescent="0.25">
      <c r="A46" s="124" t="s">
        <v>137</v>
      </c>
      <c r="B46" s="169" t="s">
        <v>84</v>
      </c>
      <c r="C46" s="124" t="str">
        <f t="shared" ref="C46:C57" si="2">CONCATENATE(A46,"-",B46)</f>
        <v>Fornecimento de Materiais e Equipamentos (aquisição indireta - em conjunto com licitação de obras)-AC</v>
      </c>
      <c r="E46" s="170">
        <v>1.4999999999999999E-2</v>
      </c>
      <c r="F46" s="170">
        <v>3.4500000000000003E-2</v>
      </c>
      <c r="G46" s="170">
        <v>4.4900000000000002E-2</v>
      </c>
    </row>
    <row r="47" spans="1:31" ht="13.2" x14ac:dyDescent="0.25">
      <c r="A47" s="124" t="str">
        <f>A46</f>
        <v>Fornecimento de Materiais e Equipamentos (aquisição indireta - em conjunto com licitação de obras)</v>
      </c>
      <c r="B47" s="169" t="s">
        <v>85</v>
      </c>
      <c r="C47" s="124" t="str">
        <f t="shared" si="2"/>
        <v>Fornecimento de Materiais e Equipamentos (aquisição indireta - em conjunto com licitação de obras)-SG</v>
      </c>
      <c r="E47" s="170">
        <v>3.0000000000000001E-3</v>
      </c>
      <c r="F47" s="170">
        <v>4.7999999999999996E-3</v>
      </c>
      <c r="G47" s="170">
        <v>8.199999999999999E-3</v>
      </c>
      <c r="I47" s="124" t="s">
        <v>98</v>
      </c>
    </row>
    <row r="48" spans="1:31" ht="42.75" customHeight="1" x14ac:dyDescent="0.25">
      <c r="A48" s="124" t="str">
        <f>A47</f>
        <v>Fornecimento de Materiais e Equipamentos (aquisição indireta - em conjunto com licitação de obras)</v>
      </c>
      <c r="B48" s="169" t="s">
        <v>86</v>
      </c>
      <c r="C48" s="124" t="str">
        <f t="shared" si="2"/>
        <v>Fornecimento de Materiais e Equipamentos (aquisição indireta - em conjunto com licitação de obras)-R</v>
      </c>
      <c r="E48" s="170">
        <v>5.6000000000000008E-3</v>
      </c>
      <c r="F48" s="170">
        <v>8.5000000000000006E-3</v>
      </c>
      <c r="G48" s="170">
        <v>8.8999999999999999E-3</v>
      </c>
      <c r="I48" s="469"/>
      <c r="J48" s="470"/>
      <c r="K48" s="470"/>
      <c r="L48" s="470"/>
      <c r="M48" s="470"/>
      <c r="N48" s="470"/>
      <c r="O48" s="470"/>
      <c r="P48" s="470"/>
      <c r="Q48" s="470"/>
      <c r="R48" s="471"/>
    </row>
    <row r="49" spans="1:18" ht="16.5" customHeight="1" x14ac:dyDescent="0.25">
      <c r="A49" s="124" t="str">
        <f>A48</f>
        <v>Fornecimento de Materiais e Equipamentos (aquisição indireta - em conjunto com licitação de obras)</v>
      </c>
      <c r="B49" s="169" t="s">
        <v>87</v>
      </c>
      <c r="C49" s="124" t="str">
        <f t="shared" si="2"/>
        <v>Fornecimento de Materiais e Equipamentos (aquisição indireta - em conjunto com licitação de obras)-DF</v>
      </c>
      <c r="E49" s="170">
        <v>8.5000000000000006E-3</v>
      </c>
      <c r="F49" s="170">
        <v>8.5000000000000006E-3</v>
      </c>
      <c r="G49" s="170">
        <v>1.11E-2</v>
      </c>
    </row>
    <row r="50" spans="1:18" ht="13.2" x14ac:dyDescent="0.25">
      <c r="A50" s="124" t="str">
        <f>A49</f>
        <v>Fornecimento de Materiais e Equipamentos (aquisição indireta - em conjunto com licitação de obras)</v>
      </c>
      <c r="B50" s="169" t="s">
        <v>88</v>
      </c>
      <c r="C50" s="124" t="str">
        <f t="shared" si="2"/>
        <v>Fornecimento de Materiais e Equipamentos (aquisição indireta - em conjunto com licitação de obras)-L</v>
      </c>
      <c r="E50" s="170">
        <v>3.5000000000000003E-2</v>
      </c>
      <c r="F50" s="170">
        <v>5.1100000000000007E-2</v>
      </c>
      <c r="G50" s="170">
        <v>6.2199999999999998E-2</v>
      </c>
      <c r="I50" s="472" t="str">
        <f>DADOS!B5</f>
        <v>SÃO FELIPE/BA</v>
      </c>
      <c r="J50" s="472"/>
      <c r="K50" s="472"/>
      <c r="L50" s="472"/>
      <c r="O50" s="473">
        <f ca="1">DADOS!B18</f>
        <v>45812</v>
      </c>
      <c r="P50" s="473"/>
      <c r="Q50" s="473"/>
      <c r="R50" s="473"/>
    </row>
    <row r="51" spans="1:18" ht="15" customHeight="1" x14ac:dyDescent="0.25">
      <c r="A51" s="124" t="str">
        <f>A50</f>
        <v>Fornecimento de Materiais e Equipamentos (aquisição indireta - em conjunto com licitação de obras)</v>
      </c>
      <c r="B51" s="153" t="s">
        <v>92</v>
      </c>
      <c r="C51" s="124" t="str">
        <f t="shared" si="2"/>
        <v>Fornecimento de Materiais e Equipamentos (aquisição indireta - em conjunto com licitação de obras)-BDI PAD</v>
      </c>
      <c r="E51" s="170">
        <v>0.111</v>
      </c>
      <c r="F51" s="170">
        <v>0.14019999999999999</v>
      </c>
      <c r="G51" s="170">
        <v>0.16800000000000001</v>
      </c>
      <c r="I51" s="474" t="s">
        <v>20</v>
      </c>
      <c r="J51" s="474"/>
      <c r="K51" s="474"/>
      <c r="L51" s="474"/>
      <c r="N51" s="174"/>
      <c r="O51" s="175" t="s">
        <v>21</v>
      </c>
      <c r="P51" s="176"/>
      <c r="Q51" s="176"/>
      <c r="R51" s="176"/>
    </row>
    <row r="52" spans="1:18" ht="13.2" x14ac:dyDescent="0.25">
      <c r="A52" s="124" t="s">
        <v>160</v>
      </c>
      <c r="B52" s="169" t="s">
        <v>161</v>
      </c>
      <c r="C52" s="124" t="str">
        <f t="shared" si="2"/>
        <v>Estudos e Projetos, Planos e Gerenciamento e outros correlatos-K1</v>
      </c>
      <c r="E52" s="170" t="s">
        <v>151</v>
      </c>
      <c r="F52" s="170" t="s">
        <v>151</v>
      </c>
      <c r="G52" s="170" t="s">
        <v>151</v>
      </c>
    </row>
    <row r="53" spans="1:18" ht="30" customHeight="1" x14ac:dyDescent="0.25">
      <c r="A53" s="124" t="str">
        <f>A52</f>
        <v>Estudos e Projetos, Planos e Gerenciamento e outros correlatos</v>
      </c>
      <c r="B53" s="169" t="s">
        <v>162</v>
      </c>
      <c r="C53" s="124" t="str">
        <f t="shared" si="2"/>
        <v>Estudos e Projetos, Planos e Gerenciamento e outros correlatos-K2</v>
      </c>
      <c r="E53" s="170" t="s">
        <v>151</v>
      </c>
      <c r="F53" s="170">
        <v>0.2</v>
      </c>
      <c r="G53" s="170" t="s">
        <v>151</v>
      </c>
      <c r="I53" s="475"/>
      <c r="J53" s="475"/>
      <c r="K53" s="475"/>
      <c r="L53" s="475"/>
      <c r="M53" s="177"/>
      <c r="N53" s="177"/>
      <c r="O53" s="165"/>
      <c r="P53" s="165"/>
      <c r="Q53" s="165"/>
      <c r="R53" s="165"/>
    </row>
    <row r="54" spans="1:18" ht="13.2" x14ac:dyDescent="0.25">
      <c r="A54" s="124" t="str">
        <f>A53</f>
        <v>Estudos e Projetos, Planos e Gerenciamento e outros correlatos</v>
      </c>
      <c r="B54" s="169" t="s">
        <v>163</v>
      </c>
      <c r="C54" s="124" t="str">
        <f t="shared" si="2"/>
        <v>Estudos e Projetos, Planos e Gerenciamento e outros correlatos-</v>
      </c>
      <c r="E54" s="170" t="s">
        <v>151</v>
      </c>
      <c r="F54" s="170" t="s">
        <v>151</v>
      </c>
      <c r="G54" s="170" t="s">
        <v>151</v>
      </c>
      <c r="I54" s="476" t="s">
        <v>23</v>
      </c>
      <c r="J54" s="476"/>
      <c r="K54" s="476"/>
      <c r="L54" s="476"/>
    </row>
    <row r="55" spans="1:18" ht="13.8" x14ac:dyDescent="0.25">
      <c r="A55" s="124" t="str">
        <f>A54</f>
        <v>Estudos e Projetos, Planos e Gerenciamento e outros correlatos</v>
      </c>
      <c r="B55" s="169" t="s">
        <v>163</v>
      </c>
      <c r="C55" s="124" t="str">
        <f t="shared" si="2"/>
        <v>Estudos e Projetos, Planos e Gerenciamento e outros correlatos-</v>
      </c>
      <c r="E55" s="170" t="s">
        <v>151</v>
      </c>
      <c r="F55" s="170" t="s">
        <v>151</v>
      </c>
      <c r="G55" s="170" t="s">
        <v>151</v>
      </c>
      <c r="I55" s="178" t="s">
        <v>22</v>
      </c>
      <c r="J55" s="468" t="str">
        <f>DADOS!B15</f>
        <v>Eliabe Vitória Souza</v>
      </c>
      <c r="K55" s="468"/>
      <c r="L55" s="468"/>
      <c r="M55" s="177"/>
      <c r="N55" s="177"/>
    </row>
    <row r="56" spans="1:18" ht="13.8" x14ac:dyDescent="0.25">
      <c r="A56" s="124" t="str">
        <f>A55</f>
        <v>Estudos e Projetos, Planos e Gerenciamento e outros correlatos</v>
      </c>
      <c r="B56" s="169" t="s">
        <v>164</v>
      </c>
      <c r="C56" s="124" t="str">
        <f t="shared" si="2"/>
        <v>Estudos e Projetos, Planos e Gerenciamento e outros correlatos-K3</v>
      </c>
      <c r="E56" s="170" t="s">
        <v>151</v>
      </c>
      <c r="F56" s="170">
        <v>0.12</v>
      </c>
      <c r="G56" s="170" t="s">
        <v>151</v>
      </c>
      <c r="I56" s="178" t="s">
        <v>24</v>
      </c>
      <c r="J56" s="468" t="str">
        <f>DADOS!B16</f>
        <v>Engenheiro Civil</v>
      </c>
      <c r="K56" s="468"/>
      <c r="L56" s="468"/>
      <c r="M56" s="177"/>
      <c r="N56" s="177"/>
    </row>
    <row r="57" spans="1:18" ht="13.8" x14ac:dyDescent="0.25">
      <c r="A57" s="124" t="str">
        <f>A56</f>
        <v>Estudos e Projetos, Planos e Gerenciamento e outros correlatos</v>
      </c>
      <c r="B57" s="153" t="s">
        <v>92</v>
      </c>
      <c r="C57" s="124" t="str">
        <f t="shared" si="2"/>
        <v>Estudos e Projetos, Planos e Gerenciamento e outros correlatos-BDI PAD</v>
      </c>
      <c r="E57" s="170" t="s">
        <v>151</v>
      </c>
      <c r="F57" s="170" t="s">
        <v>151</v>
      </c>
      <c r="G57" s="170" t="s">
        <v>151</v>
      </c>
      <c r="I57" s="178" t="s">
        <v>25</v>
      </c>
      <c r="J57" s="468" t="str">
        <f>DADOS!B17</f>
        <v>CREA/BA:051487735-9</v>
      </c>
      <c r="K57" s="468"/>
      <c r="L57" s="468"/>
      <c r="M57" s="177"/>
      <c r="N57" s="177"/>
    </row>
    <row r="58" spans="1:18" ht="13.2" x14ac:dyDescent="0.25">
      <c r="I58" s="178"/>
      <c r="J58" s="468">
        <v>0</v>
      </c>
      <c r="K58" s="468"/>
      <c r="L58" s="468"/>
    </row>
    <row r="59" spans="1:18" ht="13.2" x14ac:dyDescent="0.25"/>
    <row r="60" spans="1:18" ht="13.2" hidden="1" x14ac:dyDescent="0.25">
      <c r="A60" s="124" t="s">
        <v>102</v>
      </c>
    </row>
    <row r="61" spans="1:18" ht="13.2" hidden="1" x14ac:dyDescent="0.25">
      <c r="A61" s="124" t="s">
        <v>103</v>
      </c>
    </row>
    <row r="62" spans="1:18" ht="13.2" hidden="1" x14ac:dyDescent="0.25">
      <c r="A62" s="124" t="s">
        <v>146</v>
      </c>
    </row>
    <row r="63" spans="1:18" ht="13.2" hidden="1" x14ac:dyDescent="0.25">
      <c r="A63" s="124" t="s">
        <v>152</v>
      </c>
    </row>
    <row r="64" spans="1:18" ht="13.2" hidden="1" x14ac:dyDescent="0.25">
      <c r="A64" s="124" t="s">
        <v>154</v>
      </c>
    </row>
    <row r="65" spans="1:7" ht="13.2" hidden="1" x14ac:dyDescent="0.25">
      <c r="A65" s="124" t="s">
        <v>137</v>
      </c>
    </row>
    <row r="66" spans="1:7" ht="13.2" hidden="1" x14ac:dyDescent="0.25">
      <c r="A66" s="124" t="s">
        <v>165</v>
      </c>
    </row>
    <row r="67" spans="1:7" ht="13.2" hidden="1" x14ac:dyDescent="0.25">
      <c r="A67" s="124" t="s">
        <v>160</v>
      </c>
    </row>
    <row r="68" spans="1:7" ht="13.8" hidden="1" x14ac:dyDescent="0.25">
      <c r="A68" s="177"/>
      <c r="B68" s="177"/>
      <c r="C68" s="177"/>
      <c r="D68" s="177"/>
      <c r="E68" s="177"/>
      <c r="F68" s="177"/>
      <c r="G68" s="177"/>
    </row>
  </sheetData>
  <mergeCells count="61">
    <mergeCell ref="I4:J4"/>
    <mergeCell ref="K4:R4"/>
    <mergeCell ref="I5:J5"/>
    <mergeCell ref="K5:R5"/>
    <mergeCell ref="I7:Q7"/>
    <mergeCell ref="I8:Q8"/>
    <mergeCell ref="I9:Q9"/>
    <mergeCell ref="I18:P18"/>
    <mergeCell ref="Q18:R18"/>
    <mergeCell ref="I19:P19"/>
    <mergeCell ref="Q19:R19"/>
    <mergeCell ref="I14:M14"/>
    <mergeCell ref="N14:R14"/>
    <mergeCell ref="I16:R16"/>
    <mergeCell ref="I11:M11"/>
    <mergeCell ref="N11:R11"/>
    <mergeCell ref="I12:M12"/>
    <mergeCell ref="N12:R12"/>
    <mergeCell ref="I13:M13"/>
    <mergeCell ref="N13:R13"/>
    <mergeCell ref="I21:P21"/>
    <mergeCell ref="Q21:R21"/>
    <mergeCell ref="I22:P22"/>
    <mergeCell ref="Q22:R22"/>
    <mergeCell ref="I24:L25"/>
    <mergeCell ref="M24:M25"/>
    <mergeCell ref="N24:N25"/>
    <mergeCell ref="O24:O25"/>
    <mergeCell ref="P24:P25"/>
    <mergeCell ref="Q24:Q25"/>
    <mergeCell ref="R24:R25"/>
    <mergeCell ref="T24:U32"/>
    <mergeCell ref="I26:L26"/>
    <mergeCell ref="I27:L27"/>
    <mergeCell ref="I28:L28"/>
    <mergeCell ref="I29:L29"/>
    <mergeCell ref="I30:L30"/>
    <mergeCell ref="I31:L31"/>
    <mergeCell ref="I32:L32"/>
    <mergeCell ref="I45:R45"/>
    <mergeCell ref="I33:L33"/>
    <mergeCell ref="I34:L34"/>
    <mergeCell ref="I35:L35"/>
    <mergeCell ref="P35:R35"/>
    <mergeCell ref="J37:R37"/>
    <mergeCell ref="I39:R39"/>
    <mergeCell ref="L40:L41"/>
    <mergeCell ref="M40:O40"/>
    <mergeCell ref="P40:P41"/>
    <mergeCell ref="M41:O41"/>
    <mergeCell ref="I43:R43"/>
    <mergeCell ref="J55:L55"/>
    <mergeCell ref="J56:L56"/>
    <mergeCell ref="J57:L57"/>
    <mergeCell ref="J58:L58"/>
    <mergeCell ref="I48:R48"/>
    <mergeCell ref="I50:L50"/>
    <mergeCell ref="O50:R50"/>
    <mergeCell ref="I51:L51"/>
    <mergeCell ref="I53:L53"/>
    <mergeCell ref="I54:L54"/>
  </mergeCells>
  <conditionalFormatting sqref="I34:N34">
    <cfRule type="expression" dxfId="15" priority="6" stopIfTrue="1">
      <formula>$Q$19="Não"</formula>
    </cfRule>
  </conditionalFormatting>
  <conditionalFormatting sqref="I35:N35">
    <cfRule type="expression" dxfId="14" priority="5" stopIfTrue="1">
      <formula>$Q$19="sim"</formula>
    </cfRule>
  </conditionalFormatting>
  <conditionalFormatting sqref="I37:R37">
    <cfRule type="expression" dxfId="13" priority="2" stopIfTrue="1">
      <formula>AND(NOT($V$35),NOT($V$37))</formula>
    </cfRule>
  </conditionalFormatting>
  <conditionalFormatting sqref="O26:O35">
    <cfRule type="expression" dxfId="12" priority="7" stopIfTrue="1">
      <formula>AND(O26&lt;&gt;"OK",O26&lt;&gt;"-",O26&lt;&gt;"")</formula>
    </cfRule>
    <cfRule type="cellIs" dxfId="11" priority="8" stopIfTrue="1" operator="equal">
      <formula>"OK"</formula>
    </cfRule>
  </conditionalFormatting>
  <conditionalFormatting sqref="O50">
    <cfRule type="expression" dxfId="10" priority="3" stopIfTrue="1">
      <formula>$O$50=""</formula>
    </cfRule>
  </conditionalFormatting>
  <conditionalFormatting sqref="P26:R34">
    <cfRule type="expression" dxfId="9" priority="1" stopIfTrue="1">
      <formula>$I$19=$A$66</formula>
    </cfRule>
  </conditionalFormatting>
  <conditionalFormatting sqref="P35:R35">
    <cfRule type="expression" dxfId="8" priority="4" stopIfTrue="1">
      <formula>$Q$19="sim"</formula>
    </cfRule>
  </conditionalFormatting>
  <dataValidations disablePrompts="1" count="6">
    <dataValidation type="decimal" allowBlank="1" showInputMessage="1" showErrorMessage="1" errorTitle="Erro de valores" error="Digite um valor entre 0% e 100%" sqref="N26:N31" xr:uid="{00000000-0002-0000-0200-000000000000}">
      <formula1>0</formula1>
      <formula2>1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Q22:R22" xr:uid="{00000000-0002-0000-0200-000001000000}">
      <formula1>0</formula1>
    </dataValidation>
    <dataValidation type="decimal" allowBlank="1" showInputMessage="1" showErrorMessage="1" errorTitle="Valor não permitido" error="Digite um percentual entre 0% e 100%." promptTitle="Valores admissíveis:" prompt="Insira valores entre 0 e 100%." sqref="Q21:R21" xr:uid="{00000000-0002-0000-0200-000002000000}">
      <formula1>0</formula1>
      <formula2>1</formula2>
    </dataValidation>
    <dataValidation type="decimal" allowBlank="1" showInputMessage="1" showErrorMessage="1" errorTitle="Erro de valores" error="Digite um valor maior do que 0." sqref="N32" xr:uid="{00000000-0002-0000-0200-000003000000}">
      <formula1>0</formula1>
      <formula2>1</formula2>
    </dataValidation>
    <dataValidation operator="greaterThanOrEqual" allowBlank="1" showInputMessage="1" showErrorMessage="1" errorTitle="Erro de valores" error="Digite um valor igual a 0% ou 2%." sqref="N33" xr:uid="{00000000-0002-0000-0200-000004000000}"/>
    <dataValidation type="list" allowBlank="1" showInputMessage="1" showErrorMessage="1" sqref="I19:P19" xr:uid="{00000000-0002-0000-0200-000005000000}">
      <formula1>$A$60:$A$67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7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ilha4">
    <pageSetUpPr fitToPage="1"/>
  </sheetPr>
  <dimension ref="A1:O49"/>
  <sheetViews>
    <sheetView showGridLines="0" topLeftCell="A10" zoomScale="85" zoomScaleNormal="85" workbookViewId="0">
      <selection activeCell="F20" sqref="F20"/>
    </sheetView>
  </sheetViews>
  <sheetFormatPr defaultRowHeight="14.4" x14ac:dyDescent="0.3"/>
  <cols>
    <col min="1" max="1" width="7.6640625" customWidth="1"/>
    <col min="2" max="2" width="10.6640625" customWidth="1"/>
    <col min="3" max="3" width="10" customWidth="1"/>
    <col min="4" max="4" width="60.6640625" customWidth="1"/>
    <col min="5" max="5" width="5.6640625" customWidth="1"/>
    <col min="6" max="6" width="13.88671875" style="133" customWidth="1"/>
    <col min="7" max="7" width="13.44140625" customWidth="1"/>
    <col min="8" max="9" width="14.6640625" customWidth="1"/>
    <col min="10" max="10" width="17.33203125" customWidth="1"/>
    <col min="11" max="11" width="18.88671875" customWidth="1"/>
    <col min="12" max="12" width="12.6640625" customWidth="1"/>
    <col min="13" max="13" width="13" bestFit="1" customWidth="1"/>
    <col min="15" max="15" width="10" bestFit="1" customWidth="1"/>
  </cols>
  <sheetData>
    <row r="1" spans="1:15" ht="30" customHeight="1" x14ac:dyDescent="0.3">
      <c r="A1" s="507" t="s">
        <v>167</v>
      </c>
      <c r="B1" s="507"/>
      <c r="C1" s="507"/>
      <c r="D1" s="507"/>
      <c r="E1" s="507"/>
      <c r="F1" s="507"/>
      <c r="G1" s="191"/>
    </row>
    <row r="2" spans="1:15" ht="13.5" customHeight="1" x14ac:dyDescent="0.3">
      <c r="A2" s="497" t="s">
        <v>168</v>
      </c>
      <c r="B2" s="497"/>
      <c r="C2" s="497"/>
      <c r="D2" s="497"/>
      <c r="E2" s="497"/>
      <c r="F2" s="497"/>
      <c r="G2" s="191"/>
    </row>
    <row r="3" spans="1:15" ht="27.75" customHeight="1" x14ac:dyDescent="0.3">
      <c r="A3" s="496" t="s">
        <v>170</v>
      </c>
      <c r="B3" s="496"/>
      <c r="C3" s="496"/>
      <c r="D3" s="496"/>
      <c r="E3" s="496"/>
      <c r="F3" s="496"/>
      <c r="G3" s="192"/>
    </row>
    <row r="4" spans="1:15" ht="14.25" customHeight="1" x14ac:dyDescent="0.3">
      <c r="A4" s="1"/>
      <c r="B4" s="1"/>
      <c r="C4" s="1"/>
      <c r="D4" s="2"/>
      <c r="E4" s="1"/>
      <c r="F4" s="1"/>
      <c r="G4" s="1"/>
      <c r="H4" s="1"/>
      <c r="I4" s="1"/>
    </row>
    <row r="5" spans="1:15" s="36" customFormat="1" ht="12.6" thickBot="1" x14ac:dyDescent="0.3">
      <c r="A5" s="521" t="s">
        <v>0</v>
      </c>
      <c r="B5" s="521"/>
      <c r="C5" s="521"/>
      <c r="D5" s="521"/>
      <c r="E5" s="521" t="s">
        <v>1</v>
      </c>
      <c r="F5" s="521"/>
      <c r="G5" s="521"/>
      <c r="H5" s="521"/>
      <c r="I5" s="521"/>
    </row>
    <row r="6" spans="1:15" ht="30" customHeight="1" thickBot="1" x14ac:dyDescent="0.35">
      <c r="A6" s="522" t="str">
        <f>DADOS!B4</f>
        <v>PREFEITURA MUNICIPAL DE SÃO FELIPE/BA</v>
      </c>
      <c r="B6" s="522"/>
      <c r="C6" s="522"/>
      <c r="D6" s="522"/>
      <c r="E6" s="524" t="str">
        <f>DADOS!B8</f>
        <v>PAVIMENTAÇÃO ASFÁLTICA DIVERSAS RUAS, NO MUNICÍPIO DE SÃO FELIPE/BA</v>
      </c>
      <c r="F6" s="524"/>
      <c r="G6" s="524"/>
      <c r="H6" s="524"/>
      <c r="I6" s="524"/>
      <c r="K6" s="75" t="s">
        <v>19</v>
      </c>
      <c r="L6" s="74">
        <v>1.2009000000000001</v>
      </c>
    </row>
    <row r="7" spans="1:15" s="36" customFormat="1" ht="12.6" thickBot="1" x14ac:dyDescent="0.3">
      <c r="A7" s="521" t="s">
        <v>15</v>
      </c>
      <c r="B7" s="521"/>
      <c r="C7" s="521"/>
      <c r="D7" s="521"/>
      <c r="E7" s="521" t="s">
        <v>16</v>
      </c>
      <c r="F7" s="521"/>
      <c r="G7" s="521" t="s">
        <v>169</v>
      </c>
      <c r="H7" s="521"/>
      <c r="I7" s="193" t="s">
        <v>18</v>
      </c>
    </row>
    <row r="8" spans="1:15" ht="29.4" thickBot="1" x14ac:dyDescent="0.35">
      <c r="A8" s="522" t="str">
        <f>DADOS!B5</f>
        <v>SÃO FELIPE/BA</v>
      </c>
      <c r="B8" s="522"/>
      <c r="C8" s="522"/>
      <c r="D8" s="522"/>
      <c r="E8" s="523">
        <f ca="1">DADOS!B18</f>
        <v>45812</v>
      </c>
      <c r="F8" s="523"/>
      <c r="G8" s="524" t="str">
        <f>DADOS!B10</f>
        <v>SINAPI - 01/2025 - Bahia
SICRO3 - 10/2024 - Bahia
ORSE - 12/2024 - Sergipe</v>
      </c>
      <c r="H8" s="524"/>
      <c r="I8" s="194">
        <f>DADOS!B11</f>
        <v>0.2009</v>
      </c>
      <c r="K8" s="55" t="s">
        <v>43</v>
      </c>
      <c r="L8" s="73">
        <v>1</v>
      </c>
      <c r="N8" s="55" t="s">
        <v>112</v>
      </c>
      <c r="O8" s="73">
        <v>1</v>
      </c>
    </row>
    <row r="9" spans="1:15" ht="6" customHeight="1" x14ac:dyDescent="0.3">
      <c r="A9" s="1"/>
      <c r="B9" s="1"/>
      <c r="C9" s="1"/>
      <c r="D9" s="2"/>
      <c r="E9" s="1"/>
      <c r="F9" s="143"/>
      <c r="G9" s="1"/>
      <c r="H9" s="1"/>
      <c r="I9" s="1"/>
      <c r="J9" s="1"/>
    </row>
    <row r="10" spans="1:15" ht="19.5" customHeight="1" x14ac:dyDescent="0.3">
      <c r="A10" s="497" t="s">
        <v>248</v>
      </c>
      <c r="B10" s="497"/>
      <c r="C10" s="497"/>
      <c r="D10" s="497"/>
      <c r="E10" s="497"/>
      <c r="F10" s="497"/>
      <c r="G10" s="497"/>
      <c r="H10" s="497"/>
      <c r="I10" s="497"/>
      <c r="J10" s="497"/>
      <c r="K10" s="242"/>
      <c r="L10" s="243"/>
    </row>
    <row r="11" spans="1:15" ht="9.6" customHeight="1" thickBot="1" x14ac:dyDescent="0.35">
      <c r="A11" s="180"/>
      <c r="B11" s="180"/>
      <c r="C11" s="180"/>
      <c r="D11" s="180"/>
      <c r="E11" s="180"/>
      <c r="F11" s="180"/>
      <c r="G11" s="180"/>
      <c r="H11" s="180"/>
      <c r="I11" s="180"/>
      <c r="K11" s="242"/>
      <c r="L11" s="243"/>
    </row>
    <row r="12" spans="1:15" s="37" customFormat="1" ht="30.6" customHeight="1" x14ac:dyDescent="0.25">
      <c r="A12" s="134" t="s">
        <v>2</v>
      </c>
      <c r="B12" s="135" t="s">
        <v>3</v>
      </c>
      <c r="C12" s="135" t="s">
        <v>4</v>
      </c>
      <c r="D12" s="135" t="s">
        <v>5</v>
      </c>
      <c r="E12" s="135" t="s">
        <v>6</v>
      </c>
      <c r="F12" s="135" t="s">
        <v>7</v>
      </c>
      <c r="G12" s="135" t="s">
        <v>44</v>
      </c>
      <c r="H12" s="135" t="s">
        <v>8</v>
      </c>
      <c r="I12" s="135" t="s">
        <v>9</v>
      </c>
      <c r="J12" s="136" t="s">
        <v>10</v>
      </c>
    </row>
    <row r="13" spans="1:15" x14ac:dyDescent="0.3">
      <c r="A13" s="187" t="s">
        <v>124</v>
      </c>
      <c r="B13" s="137"/>
      <c r="C13" s="137"/>
      <c r="D13" s="137" t="s">
        <v>227</v>
      </c>
      <c r="E13" s="137"/>
      <c r="F13" s="144"/>
      <c r="G13" s="137"/>
      <c r="H13" s="137"/>
      <c r="I13" s="137"/>
      <c r="J13" s="188" t="e">
        <f>SUM(J14:J15)</f>
        <v>#REF!</v>
      </c>
      <c r="L13" s="114"/>
      <c r="M13" s="114"/>
      <c r="N13" s="131"/>
    </row>
    <row r="14" spans="1:15" ht="26.4" x14ac:dyDescent="0.3">
      <c r="A14" s="189" t="s">
        <v>228</v>
      </c>
      <c r="B14" s="139" t="s">
        <v>229</v>
      </c>
      <c r="C14" s="138" t="s">
        <v>107</v>
      </c>
      <c r="D14" s="138" t="s">
        <v>108</v>
      </c>
      <c r="E14" s="140" t="s">
        <v>230</v>
      </c>
      <c r="F14" s="145" t="e">
        <f>ROUND(0.5*#REF!,2)</f>
        <v>#REF!</v>
      </c>
      <c r="G14" s="141">
        <v>16317.85</v>
      </c>
      <c r="H14" s="142">
        <f>ROUND(G14*$O$8,2)</f>
        <v>16317.85</v>
      </c>
      <c r="I14" s="142">
        <f>ROUND(H14*$L$6,2)</f>
        <v>19596.11</v>
      </c>
      <c r="J14" s="190" t="e">
        <f t="shared" ref="J14:J24" si="0">ROUND(I14*F14,2)</f>
        <v>#REF!</v>
      </c>
    </row>
    <row r="15" spans="1:15" ht="26.4" x14ac:dyDescent="0.3">
      <c r="A15" s="189" t="s">
        <v>231</v>
      </c>
      <c r="B15" s="139" t="s">
        <v>109</v>
      </c>
      <c r="C15" s="138" t="s">
        <v>107</v>
      </c>
      <c r="D15" s="138" t="s">
        <v>110</v>
      </c>
      <c r="E15" s="140" t="s">
        <v>230</v>
      </c>
      <c r="F15" s="145" t="e">
        <f>ROUND(0.5*#REF!,2)</f>
        <v>#REF!</v>
      </c>
      <c r="G15" s="141">
        <v>5290.1</v>
      </c>
      <c r="H15" s="142">
        <f>ROUND(G15*$O$8,2)</f>
        <v>5290.1</v>
      </c>
      <c r="I15" s="142">
        <f>ROUND(H15*$L$6,2)</f>
        <v>6352.88</v>
      </c>
      <c r="J15" s="190" t="e">
        <f t="shared" si="0"/>
        <v>#REF!</v>
      </c>
    </row>
    <row r="16" spans="1:15" x14ac:dyDescent="0.3">
      <c r="A16" s="187" t="s">
        <v>111</v>
      </c>
      <c r="B16" s="137"/>
      <c r="C16" s="137"/>
      <c r="D16" s="137" t="s">
        <v>11</v>
      </c>
      <c r="E16" s="137"/>
      <c r="F16" s="146"/>
      <c r="G16" s="137"/>
      <c r="H16" s="137"/>
      <c r="I16" s="137"/>
      <c r="J16" s="188" t="e">
        <f>SUM(J17:J18)</f>
        <v>#REF!</v>
      </c>
    </row>
    <row r="17" spans="1:13" ht="26.4" x14ac:dyDescent="0.3">
      <c r="A17" s="189" t="s">
        <v>232</v>
      </c>
      <c r="B17" s="139" t="s">
        <v>209</v>
      </c>
      <c r="C17" s="138" t="s">
        <v>210</v>
      </c>
      <c r="D17" s="138" t="s">
        <v>211</v>
      </c>
      <c r="E17" s="140" t="s">
        <v>205</v>
      </c>
      <c r="F17" s="145" t="e">
        <f>ROUND(0.5*#REF!,2)</f>
        <v>#REF!</v>
      </c>
      <c r="G17" s="141">
        <v>394.37</v>
      </c>
      <c r="H17" s="142">
        <f t="shared" ref="H17:H28" si="1">ROUND(G17*$L$8,2)</f>
        <v>394.37</v>
      </c>
      <c r="I17" s="142">
        <f t="shared" ref="I17:I28" si="2">ROUND(H17*$L$6,2)</f>
        <v>473.6</v>
      </c>
      <c r="J17" s="190" t="e">
        <f t="shared" si="0"/>
        <v>#REF!</v>
      </c>
    </row>
    <row r="18" spans="1:13" ht="26.4" customHeight="1" x14ac:dyDescent="0.3">
      <c r="A18" s="189" t="s">
        <v>233</v>
      </c>
      <c r="B18" s="139" t="s">
        <v>212</v>
      </c>
      <c r="C18" s="138" t="s">
        <v>107</v>
      </c>
      <c r="D18" s="138" t="s">
        <v>213</v>
      </c>
      <c r="E18" s="140" t="s">
        <v>205</v>
      </c>
      <c r="F18" s="145" t="e">
        <f>ROUND(0.5*#REF!,2)</f>
        <v>#REF!</v>
      </c>
      <c r="G18" s="141">
        <v>913.74</v>
      </c>
      <c r="H18" s="142">
        <f t="shared" si="1"/>
        <v>913.74</v>
      </c>
      <c r="I18" s="142">
        <f t="shared" si="2"/>
        <v>1097.31</v>
      </c>
      <c r="J18" s="190" t="e">
        <f t="shared" si="0"/>
        <v>#REF!</v>
      </c>
    </row>
    <row r="19" spans="1:13" x14ac:dyDescent="0.3">
      <c r="A19" s="187" t="s">
        <v>234</v>
      </c>
      <c r="B19" s="137"/>
      <c r="C19" s="137"/>
      <c r="D19" s="137" t="s">
        <v>204</v>
      </c>
      <c r="E19" s="137"/>
      <c r="F19" s="146"/>
      <c r="G19" s="137"/>
      <c r="H19" s="137"/>
      <c r="I19" s="137"/>
      <c r="J19" s="188" t="e">
        <f>SUM(J20:J24)</f>
        <v>#REF!</v>
      </c>
    </row>
    <row r="20" spans="1:13" ht="52.8" x14ac:dyDescent="0.3">
      <c r="A20" s="189" t="s">
        <v>239</v>
      </c>
      <c r="B20" s="139" t="s">
        <v>241</v>
      </c>
      <c r="C20" s="138" t="s">
        <v>107</v>
      </c>
      <c r="D20" s="138" t="s">
        <v>223</v>
      </c>
      <c r="E20" s="140" t="s">
        <v>205</v>
      </c>
      <c r="F20" s="145" t="e">
        <f>ROUND(#REF!,2)</f>
        <v>#REF!</v>
      </c>
      <c r="G20" s="141">
        <v>67.53</v>
      </c>
      <c r="H20" s="142">
        <f>ROUND(G20*$L$8,2)</f>
        <v>67.53</v>
      </c>
      <c r="I20" s="142">
        <f>ROUND(H20*$L$6,2)</f>
        <v>81.099999999999994</v>
      </c>
      <c r="J20" s="190" t="e">
        <f>ROUND(I20*F20,2)</f>
        <v>#REF!</v>
      </c>
    </row>
    <row r="21" spans="1:13" s="112" customFormat="1" x14ac:dyDescent="0.3">
      <c r="A21" s="189" t="s">
        <v>235</v>
      </c>
      <c r="B21" s="139" t="s">
        <v>236</v>
      </c>
      <c r="C21" s="138" t="s">
        <v>210</v>
      </c>
      <c r="D21" s="138" t="s">
        <v>237</v>
      </c>
      <c r="E21" s="140" t="s">
        <v>205</v>
      </c>
      <c r="F21" s="145" t="e">
        <f>ROUND(#REF!,2)</f>
        <v>#REF!</v>
      </c>
      <c r="G21" s="141">
        <v>0.48</v>
      </c>
      <c r="H21" s="142">
        <f>ROUND(G21*$L$8,2)</f>
        <v>0.48</v>
      </c>
      <c r="I21" s="142">
        <f>ROUND(H21*$L$6,2)</f>
        <v>0.57999999999999996</v>
      </c>
      <c r="J21" s="190" t="e">
        <f>ROUND(I21*F21,2)</f>
        <v>#REF!</v>
      </c>
    </row>
    <row r="22" spans="1:13" ht="26.4" x14ac:dyDescent="0.3">
      <c r="A22" s="189" t="s">
        <v>238</v>
      </c>
      <c r="B22" s="139" t="s">
        <v>214</v>
      </c>
      <c r="C22" s="138" t="s">
        <v>107</v>
      </c>
      <c r="D22" s="138" t="s">
        <v>215</v>
      </c>
      <c r="E22" s="140" t="s">
        <v>205</v>
      </c>
      <c r="F22" s="145" t="e">
        <f>ROUND(#REF!,2)</f>
        <v>#REF!</v>
      </c>
      <c r="G22" s="141">
        <v>2.13</v>
      </c>
      <c r="H22" s="142">
        <f t="shared" ref="H22" si="3">ROUND(G22*$L$8,2)</f>
        <v>2.13</v>
      </c>
      <c r="I22" s="142">
        <f t="shared" ref="I22" si="4">ROUND(H22*$L$6,2)</f>
        <v>2.56</v>
      </c>
      <c r="J22" s="190" t="e">
        <f t="shared" ref="J22" si="5">ROUND(I22*F22,2)</f>
        <v>#REF!</v>
      </c>
    </row>
    <row r="23" spans="1:13" ht="39.6" x14ac:dyDescent="0.3">
      <c r="A23" s="189" t="s">
        <v>239</v>
      </c>
      <c r="B23" s="139" t="s">
        <v>240</v>
      </c>
      <c r="C23" s="138" t="s">
        <v>107</v>
      </c>
      <c r="D23" s="138" t="s">
        <v>224</v>
      </c>
      <c r="E23" s="140" t="s">
        <v>207</v>
      </c>
      <c r="F23" s="145" t="e">
        <f>ROUND(#REF!,2)</f>
        <v>#REF!</v>
      </c>
      <c r="G23" s="141">
        <v>1175.96</v>
      </c>
      <c r="H23" s="142">
        <f>ROUND(G23*$L$8,2)</f>
        <v>1175.96</v>
      </c>
      <c r="I23" s="142">
        <f>ROUND(H23*$L$6,2)</f>
        <v>1412.21</v>
      </c>
      <c r="J23" s="190" t="e">
        <f>ROUND(I23*F23,2)</f>
        <v>#REF!</v>
      </c>
    </row>
    <row r="24" spans="1:13" ht="39.6" x14ac:dyDescent="0.3">
      <c r="A24" s="189" t="s">
        <v>242</v>
      </c>
      <c r="B24" s="139" t="s">
        <v>216</v>
      </c>
      <c r="C24" s="138" t="s">
        <v>210</v>
      </c>
      <c r="D24" s="138" t="s">
        <v>217</v>
      </c>
      <c r="E24" s="140" t="s">
        <v>206</v>
      </c>
      <c r="F24" s="145" t="e">
        <f>ROUND(#REF!,2)</f>
        <v>#REF!</v>
      </c>
      <c r="G24" s="141">
        <v>1.1000000000000001</v>
      </c>
      <c r="H24" s="142">
        <f t="shared" si="1"/>
        <v>1.1000000000000001</v>
      </c>
      <c r="I24" s="142">
        <f t="shared" si="2"/>
        <v>1.32</v>
      </c>
      <c r="J24" s="190" t="e">
        <f t="shared" si="0"/>
        <v>#REF!</v>
      </c>
    </row>
    <row r="25" spans="1:13" x14ac:dyDescent="0.3">
      <c r="A25" s="187" t="s">
        <v>243</v>
      </c>
      <c r="B25" s="137"/>
      <c r="C25" s="137"/>
      <c r="D25" s="137" t="s">
        <v>208</v>
      </c>
      <c r="E25" s="137"/>
      <c r="F25" s="146"/>
      <c r="G25" s="137"/>
      <c r="H25" s="137"/>
      <c r="I25" s="137"/>
      <c r="J25" s="188" t="e">
        <f>SUM(J26:J28)</f>
        <v>#REF!</v>
      </c>
    </row>
    <row r="26" spans="1:13" ht="52.8" x14ac:dyDescent="0.3">
      <c r="A26" s="189" t="s">
        <v>244</v>
      </c>
      <c r="B26" s="139" t="s">
        <v>245</v>
      </c>
      <c r="C26" s="138" t="s">
        <v>107</v>
      </c>
      <c r="D26" s="138" t="s">
        <v>225</v>
      </c>
      <c r="E26" s="140" t="s">
        <v>226</v>
      </c>
      <c r="F26" s="145" t="e">
        <f>ROUND(#REF!,2)</f>
        <v>#REF!</v>
      </c>
      <c r="G26" s="141">
        <v>4.12</v>
      </c>
      <c r="H26" s="142">
        <f t="shared" si="1"/>
        <v>4.12</v>
      </c>
      <c r="I26" s="142">
        <f t="shared" si="2"/>
        <v>4.95</v>
      </c>
      <c r="J26" s="190" t="e">
        <f t="shared" ref="J26:J28" si="6">ROUND(I26*F26,2)</f>
        <v>#REF!</v>
      </c>
    </row>
    <row r="27" spans="1:13" ht="39.6" x14ac:dyDescent="0.3">
      <c r="A27" s="189" t="s">
        <v>246</v>
      </c>
      <c r="B27" s="139" t="s">
        <v>218</v>
      </c>
      <c r="C27" s="138" t="s">
        <v>210</v>
      </c>
      <c r="D27" s="138" t="s">
        <v>219</v>
      </c>
      <c r="E27" s="140" t="s">
        <v>220</v>
      </c>
      <c r="F27" s="145" t="e">
        <f>ROUND(#REF!,2)</f>
        <v>#REF!</v>
      </c>
      <c r="G27" s="141">
        <v>876.99</v>
      </c>
      <c r="H27" s="142">
        <f t="shared" si="1"/>
        <v>876.99</v>
      </c>
      <c r="I27" s="142">
        <f t="shared" si="2"/>
        <v>1053.18</v>
      </c>
      <c r="J27" s="190" t="e">
        <f t="shared" si="6"/>
        <v>#REF!</v>
      </c>
    </row>
    <row r="28" spans="1:13" ht="27" thickBot="1" x14ac:dyDescent="0.35">
      <c r="A28" s="189" t="s">
        <v>247</v>
      </c>
      <c r="B28" s="139" t="s">
        <v>221</v>
      </c>
      <c r="C28" s="138" t="s">
        <v>210</v>
      </c>
      <c r="D28" s="138" t="s">
        <v>222</v>
      </c>
      <c r="E28" s="140" t="s">
        <v>220</v>
      </c>
      <c r="F28" s="145" t="e">
        <f>ROUND(#REF!,2)</f>
        <v>#REF!</v>
      </c>
      <c r="G28" s="141">
        <v>102.61</v>
      </c>
      <c r="H28" s="142">
        <f t="shared" si="1"/>
        <v>102.61</v>
      </c>
      <c r="I28" s="142">
        <f t="shared" si="2"/>
        <v>123.22</v>
      </c>
      <c r="J28" s="190" t="e">
        <f t="shared" si="6"/>
        <v>#REF!</v>
      </c>
    </row>
    <row r="29" spans="1:13" s="127" customFormat="1" ht="25.2" customHeight="1" thickBot="1" x14ac:dyDescent="0.35">
      <c r="A29" s="29"/>
      <c r="B29" s="29"/>
      <c r="C29" s="29"/>
      <c r="D29" s="126"/>
      <c r="E29" s="29"/>
      <c r="F29" s="29"/>
      <c r="G29" s="29"/>
      <c r="H29" s="515" t="s">
        <v>14</v>
      </c>
      <c r="I29" s="516"/>
      <c r="J29" s="299" t="e">
        <f>J13+J16+J19+J25</f>
        <v>#REF!</v>
      </c>
      <c r="M29" s="300"/>
    </row>
    <row r="30" spans="1:13" x14ac:dyDescent="0.3">
      <c r="A30" s="1"/>
      <c r="B30" s="1"/>
      <c r="C30" s="1"/>
      <c r="D30" s="2"/>
      <c r="E30" s="1"/>
      <c r="F30" s="143"/>
      <c r="G30" s="1"/>
      <c r="H30" s="1"/>
      <c r="I30" s="1"/>
      <c r="J30" s="113"/>
      <c r="K30" s="127"/>
      <c r="L30" s="115"/>
      <c r="M30" s="114"/>
    </row>
    <row r="31" spans="1:13" x14ac:dyDescent="0.3">
      <c r="A31" s="1"/>
      <c r="B31" s="1"/>
      <c r="C31" s="1"/>
      <c r="D31" s="2"/>
      <c r="E31" s="1"/>
      <c r="F31" s="143"/>
      <c r="G31" s="1"/>
      <c r="H31" s="1"/>
      <c r="I31" s="1"/>
      <c r="J31" s="113"/>
      <c r="K31" s="127"/>
      <c r="L31" s="115"/>
      <c r="M31" s="114"/>
    </row>
    <row r="32" spans="1:13" x14ac:dyDescent="0.3">
      <c r="A32" s="1"/>
      <c r="B32" s="1"/>
      <c r="C32" s="1"/>
      <c r="D32" s="2"/>
      <c r="E32" s="1"/>
      <c r="F32" s="143"/>
      <c r="G32" s="1"/>
      <c r="H32" s="1"/>
      <c r="I32" s="1"/>
      <c r="J32" s="113"/>
      <c r="K32" s="127"/>
      <c r="L32" s="115"/>
      <c r="M32" s="114"/>
    </row>
    <row r="33" spans="1:15" x14ac:dyDescent="0.3">
      <c r="A33" s="1"/>
      <c r="B33" s="1"/>
      <c r="C33" s="1"/>
      <c r="D33" s="2"/>
      <c r="E33" s="1"/>
      <c r="F33" s="143"/>
      <c r="G33" s="1"/>
      <c r="H33" s="1"/>
      <c r="I33" s="1"/>
      <c r="J33" s="113"/>
      <c r="K33" s="127"/>
      <c r="L33" s="115"/>
      <c r="M33" s="114"/>
    </row>
    <row r="34" spans="1:15" x14ac:dyDescent="0.3">
      <c r="A34" s="1"/>
      <c r="B34" s="1"/>
      <c r="C34" s="1"/>
      <c r="D34" s="2"/>
      <c r="E34" s="1"/>
      <c r="F34" s="143"/>
      <c r="G34" s="1"/>
      <c r="H34" s="1"/>
      <c r="I34" s="1"/>
      <c r="J34" s="113"/>
      <c r="K34" s="127"/>
      <c r="L34" s="115"/>
      <c r="M34" s="114"/>
    </row>
    <row r="35" spans="1:15" x14ac:dyDescent="0.3">
      <c r="A35" s="1"/>
      <c r="B35" s="1"/>
      <c r="C35" s="1"/>
      <c r="D35" s="2"/>
      <c r="E35" s="1"/>
      <c r="F35" s="143"/>
      <c r="G35" s="1"/>
      <c r="H35" s="1"/>
      <c r="I35" s="1"/>
      <c r="J35" s="113"/>
      <c r="K35" s="127"/>
      <c r="L35" s="115"/>
      <c r="M35" s="114"/>
    </row>
    <row r="36" spans="1:15" x14ac:dyDescent="0.3">
      <c r="A36" s="517" t="str">
        <f>DADOS!B5</f>
        <v>SÃO FELIPE/BA</v>
      </c>
      <c r="B36" s="517"/>
      <c r="C36" s="517"/>
      <c r="D36" s="517"/>
      <c r="E36" s="1"/>
      <c r="F36" s="143"/>
      <c r="G36" s="1"/>
      <c r="H36" s="518">
        <f ca="1">DADOS!B18</f>
        <v>45812</v>
      </c>
      <c r="I36" s="518"/>
      <c r="J36" s="518"/>
      <c r="K36" s="127"/>
      <c r="M36" s="114"/>
      <c r="O36" s="114"/>
    </row>
    <row r="37" spans="1:15" x14ac:dyDescent="0.3">
      <c r="A37" s="519" t="s">
        <v>20</v>
      </c>
      <c r="B37" s="519"/>
      <c r="C37" s="519"/>
      <c r="D37" s="519"/>
      <c r="E37" s="1"/>
      <c r="F37" s="143"/>
      <c r="G37" s="1"/>
      <c r="H37" s="520" t="s">
        <v>21</v>
      </c>
      <c r="I37" s="520"/>
      <c r="J37" s="520"/>
      <c r="K37" s="127"/>
      <c r="M37" s="114"/>
    </row>
    <row r="38" spans="1:15" x14ac:dyDescent="0.3">
      <c r="A38" s="1"/>
      <c r="B38" s="1"/>
      <c r="C38" s="1"/>
      <c r="D38" s="2"/>
      <c r="E38" s="1"/>
      <c r="F38" s="143"/>
      <c r="G38" s="1"/>
      <c r="H38" s="1"/>
      <c r="I38" s="1"/>
      <c r="J38" s="1"/>
      <c r="K38" s="127"/>
    </row>
    <row r="39" spans="1:15" x14ac:dyDescent="0.3">
      <c r="A39" s="1"/>
      <c r="B39" s="1"/>
      <c r="C39" s="1"/>
      <c r="D39" s="2"/>
      <c r="E39" s="1"/>
      <c r="F39" s="143"/>
      <c r="G39" s="1"/>
      <c r="H39" s="1"/>
      <c r="I39" s="1"/>
      <c r="J39" s="1"/>
      <c r="K39" s="127"/>
    </row>
    <row r="40" spans="1:15" x14ac:dyDescent="0.3">
      <c r="A40" s="1"/>
      <c r="B40" s="1"/>
      <c r="C40" s="1"/>
      <c r="D40" s="2"/>
      <c r="E40" s="1"/>
      <c r="F40" s="143"/>
      <c r="G40" s="1"/>
      <c r="H40" s="1"/>
      <c r="I40" s="1"/>
      <c r="J40" s="1"/>
      <c r="K40" s="127"/>
    </row>
    <row r="41" spans="1:15" x14ac:dyDescent="0.3">
      <c r="A41" s="513"/>
      <c r="B41" s="513"/>
      <c r="C41" s="513"/>
      <c r="D41" s="513"/>
      <c r="E41" s="1"/>
      <c r="F41" s="143"/>
      <c r="G41" s="1"/>
      <c r="H41" s="1"/>
      <c r="I41" s="1"/>
      <c r="J41" s="1"/>
      <c r="K41" s="127"/>
    </row>
    <row r="42" spans="1:15" x14ac:dyDescent="0.3">
      <c r="A42" s="514" t="s">
        <v>23</v>
      </c>
      <c r="B42" s="514"/>
      <c r="C42" s="514"/>
      <c r="D42" s="514"/>
      <c r="E42" s="1"/>
      <c r="F42" s="143"/>
      <c r="G42" s="1"/>
      <c r="H42" s="1"/>
      <c r="I42" s="1"/>
      <c r="J42" s="1"/>
      <c r="K42" s="127"/>
    </row>
    <row r="43" spans="1:15" x14ac:dyDescent="0.3">
      <c r="A43" s="511" t="s">
        <v>22</v>
      </c>
      <c r="B43" s="511"/>
      <c r="C43" s="512" t="str">
        <f>DADOS!B15</f>
        <v>Eliabe Vitória Souza</v>
      </c>
      <c r="D43" s="512"/>
      <c r="E43" s="1"/>
      <c r="F43" s="143"/>
      <c r="G43" s="1"/>
      <c r="H43" s="1"/>
      <c r="I43" s="1"/>
      <c r="J43" s="1"/>
      <c r="K43" s="127"/>
    </row>
    <row r="44" spans="1:15" x14ac:dyDescent="0.3">
      <c r="A44" s="511" t="s">
        <v>24</v>
      </c>
      <c r="B44" s="511"/>
      <c r="C44" s="512" t="str">
        <f>DADOS!B16</f>
        <v>Engenheiro Civil</v>
      </c>
      <c r="D44" s="512"/>
      <c r="E44" s="1"/>
      <c r="F44" s="143"/>
      <c r="G44" s="1"/>
      <c r="H44" s="1"/>
      <c r="I44" s="1"/>
      <c r="J44" s="1"/>
      <c r="K44" s="127"/>
    </row>
    <row r="45" spans="1:15" x14ac:dyDescent="0.3">
      <c r="A45" s="511" t="s">
        <v>25</v>
      </c>
      <c r="B45" s="511"/>
      <c r="C45" s="512" t="str">
        <f>DADOS!B17</f>
        <v>CREA/BA:051487735-9</v>
      </c>
      <c r="D45" s="512"/>
      <c r="E45" s="1"/>
      <c r="F45" s="143"/>
      <c r="G45" s="1"/>
      <c r="H45" s="1"/>
      <c r="I45" s="1"/>
      <c r="J45" s="1"/>
      <c r="K45" s="127"/>
    </row>
    <row r="46" spans="1:15" x14ac:dyDescent="0.3">
      <c r="A46" s="1"/>
      <c r="B46" s="1"/>
      <c r="C46" s="1"/>
      <c r="D46" s="2"/>
      <c r="E46" s="1"/>
      <c r="F46" s="143"/>
      <c r="G46" s="1"/>
      <c r="H46" s="1"/>
      <c r="I46" s="1"/>
      <c r="J46" s="113"/>
      <c r="L46" s="115"/>
      <c r="M46" s="114"/>
    </row>
    <row r="47" spans="1:15" x14ac:dyDescent="0.3">
      <c r="A47" s="1"/>
      <c r="B47" s="1"/>
      <c r="C47" s="1"/>
      <c r="D47" s="2"/>
      <c r="E47" s="1"/>
      <c r="F47" s="143"/>
      <c r="G47" s="1"/>
      <c r="H47" s="1"/>
      <c r="I47" s="1"/>
      <c r="J47" s="113"/>
      <c r="L47" s="115"/>
      <c r="M47" s="114"/>
    </row>
    <row r="48" spans="1:15" x14ac:dyDescent="0.3">
      <c r="A48" s="1"/>
      <c r="B48" s="1"/>
      <c r="C48" s="1"/>
      <c r="D48" s="2"/>
      <c r="E48" s="1"/>
      <c r="F48" s="143"/>
      <c r="G48" s="1"/>
      <c r="H48" s="1"/>
      <c r="I48" s="1"/>
      <c r="J48" s="113"/>
      <c r="L48" s="115"/>
      <c r="M48" s="114"/>
    </row>
    <row r="49" spans="1:13" x14ac:dyDescent="0.3">
      <c r="A49" s="1"/>
      <c r="B49" s="1"/>
      <c r="C49" s="1"/>
      <c r="D49" s="2"/>
      <c r="E49" s="1"/>
      <c r="F49" s="143"/>
      <c r="G49" s="1"/>
      <c r="H49" s="1"/>
      <c r="I49" s="1"/>
      <c r="J49" s="113"/>
      <c r="L49" s="115"/>
      <c r="M49" s="114"/>
    </row>
  </sheetData>
  <mergeCells count="27">
    <mergeCell ref="A6:D6"/>
    <mergeCell ref="E6:I6"/>
    <mergeCell ref="A1:F1"/>
    <mergeCell ref="A2:F2"/>
    <mergeCell ref="A3:F3"/>
    <mergeCell ref="A5:D5"/>
    <mergeCell ref="E5:I5"/>
    <mergeCell ref="A7:D7"/>
    <mergeCell ref="E7:F7"/>
    <mergeCell ref="G7:H7"/>
    <mergeCell ref="A8:D8"/>
    <mergeCell ref="E8:F8"/>
    <mergeCell ref="G8:H8"/>
    <mergeCell ref="A10:J10"/>
    <mergeCell ref="H29:I29"/>
    <mergeCell ref="A36:D36"/>
    <mergeCell ref="H36:J36"/>
    <mergeCell ref="A37:D37"/>
    <mergeCell ref="H37:J37"/>
    <mergeCell ref="A45:B45"/>
    <mergeCell ref="C45:D45"/>
    <mergeCell ref="A41:D41"/>
    <mergeCell ref="A42:D42"/>
    <mergeCell ref="A43:B43"/>
    <mergeCell ref="C43:D43"/>
    <mergeCell ref="A44:B44"/>
    <mergeCell ref="C44:D44"/>
  </mergeCells>
  <printOptions horizontalCentered="1"/>
  <pageMargins left="0.59055118110236227" right="0.59055118110236227" top="0.59055118110236227" bottom="0.44" header="0.31496062992125984" footer="0.15"/>
  <pageSetup paperSize="9" scale="53" fitToHeight="0" orientation="portrait" r:id="rId1"/>
  <headerFooter>
    <oddFooter>&amp;RPágina 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ilha5">
    <pageSetUpPr fitToPage="1"/>
  </sheetPr>
  <dimension ref="A1:O49"/>
  <sheetViews>
    <sheetView showGridLines="0" topLeftCell="A7" zoomScale="85" zoomScaleNormal="85" workbookViewId="0">
      <selection activeCell="F20" sqref="F20"/>
    </sheetView>
  </sheetViews>
  <sheetFormatPr defaultRowHeight="14.4" x14ac:dyDescent="0.3"/>
  <cols>
    <col min="1" max="1" width="7.6640625" customWidth="1"/>
    <col min="2" max="2" width="10.6640625" customWidth="1"/>
    <col min="3" max="3" width="10" customWidth="1"/>
    <col min="4" max="4" width="60.6640625" customWidth="1"/>
    <col min="5" max="5" width="5.6640625" customWidth="1"/>
    <col min="6" max="6" width="13.88671875" style="133" customWidth="1"/>
    <col min="7" max="7" width="13.44140625" customWidth="1"/>
    <col min="8" max="9" width="14.6640625" customWidth="1"/>
    <col min="10" max="10" width="17.33203125" customWidth="1"/>
    <col min="11" max="11" width="18.88671875" customWidth="1"/>
    <col min="12" max="12" width="12.6640625" customWidth="1"/>
    <col min="13" max="13" width="13" bestFit="1" customWidth="1"/>
    <col min="15" max="15" width="10" bestFit="1" customWidth="1"/>
  </cols>
  <sheetData>
    <row r="1" spans="1:15" ht="30" customHeight="1" x14ac:dyDescent="0.3">
      <c r="A1" s="507" t="s">
        <v>167</v>
      </c>
      <c r="B1" s="507"/>
      <c r="C1" s="507"/>
      <c r="D1" s="507"/>
      <c r="E1" s="507"/>
      <c r="F1" s="507"/>
      <c r="G1" s="191"/>
    </row>
    <row r="2" spans="1:15" ht="13.5" customHeight="1" x14ac:dyDescent="0.3">
      <c r="A2" s="497" t="s">
        <v>168</v>
      </c>
      <c r="B2" s="497"/>
      <c r="C2" s="497"/>
      <c r="D2" s="497"/>
      <c r="E2" s="497"/>
      <c r="F2" s="497"/>
      <c r="G2" s="191"/>
    </row>
    <row r="3" spans="1:15" ht="27.75" customHeight="1" x14ac:dyDescent="0.3">
      <c r="A3" s="496" t="s">
        <v>170</v>
      </c>
      <c r="B3" s="496"/>
      <c r="C3" s="496"/>
      <c r="D3" s="496"/>
      <c r="E3" s="496"/>
      <c r="F3" s="496"/>
      <c r="G3" s="192"/>
    </row>
    <row r="4" spans="1:15" ht="14.25" customHeight="1" x14ac:dyDescent="0.3">
      <c r="A4" s="1"/>
      <c r="B4" s="1"/>
      <c r="C4" s="1"/>
      <c r="D4" s="2"/>
      <c r="E4" s="1"/>
      <c r="F4" s="1"/>
      <c r="G4" s="1"/>
      <c r="H4" s="1"/>
      <c r="I4" s="1"/>
    </row>
    <row r="5" spans="1:15" s="36" customFormat="1" ht="12.6" thickBot="1" x14ac:dyDescent="0.3">
      <c r="A5" s="521" t="s">
        <v>0</v>
      </c>
      <c r="B5" s="521"/>
      <c r="C5" s="521"/>
      <c r="D5" s="521"/>
      <c r="E5" s="521" t="s">
        <v>1</v>
      </c>
      <c r="F5" s="521"/>
      <c r="G5" s="521"/>
      <c r="H5" s="521"/>
      <c r="I5" s="521"/>
    </row>
    <row r="6" spans="1:15" ht="30" customHeight="1" thickBot="1" x14ac:dyDescent="0.35">
      <c r="A6" s="522" t="str">
        <f>DADOS!B4</f>
        <v>PREFEITURA MUNICIPAL DE SÃO FELIPE/BA</v>
      </c>
      <c r="B6" s="522"/>
      <c r="C6" s="522"/>
      <c r="D6" s="522"/>
      <c r="E6" s="524" t="str">
        <f>DADOS!B8</f>
        <v>PAVIMENTAÇÃO ASFÁLTICA DIVERSAS RUAS, NO MUNICÍPIO DE SÃO FELIPE/BA</v>
      </c>
      <c r="F6" s="524"/>
      <c r="G6" s="524"/>
      <c r="H6" s="524"/>
      <c r="I6" s="524"/>
      <c r="K6" s="75" t="s">
        <v>19</v>
      </c>
      <c r="L6" s="74">
        <v>1.2009000000000001</v>
      </c>
    </row>
    <row r="7" spans="1:15" s="36" customFormat="1" ht="12.6" thickBot="1" x14ac:dyDescent="0.3">
      <c r="A7" s="521" t="s">
        <v>15</v>
      </c>
      <c r="B7" s="521"/>
      <c r="C7" s="521"/>
      <c r="D7" s="521"/>
      <c r="E7" s="521" t="s">
        <v>16</v>
      </c>
      <c r="F7" s="521"/>
      <c r="G7" s="521" t="s">
        <v>169</v>
      </c>
      <c r="H7" s="521"/>
      <c r="I7" s="193" t="s">
        <v>18</v>
      </c>
    </row>
    <row r="8" spans="1:15" ht="29.4" thickBot="1" x14ac:dyDescent="0.35">
      <c r="A8" s="522" t="str">
        <f>DADOS!B5</f>
        <v>SÃO FELIPE/BA</v>
      </c>
      <c r="B8" s="522"/>
      <c r="C8" s="522"/>
      <c r="D8" s="522"/>
      <c r="E8" s="523">
        <f ca="1">DADOS!B18</f>
        <v>45812</v>
      </c>
      <c r="F8" s="523"/>
      <c r="G8" s="524" t="str">
        <f>DADOS!B10</f>
        <v>SINAPI - 01/2025 - Bahia
SICRO3 - 10/2024 - Bahia
ORSE - 12/2024 - Sergipe</v>
      </c>
      <c r="H8" s="524"/>
      <c r="I8" s="194">
        <f>DADOS!B11</f>
        <v>0.2009</v>
      </c>
      <c r="K8" s="55" t="s">
        <v>43</v>
      </c>
      <c r="L8" s="73">
        <v>1</v>
      </c>
      <c r="N8" s="55" t="s">
        <v>112</v>
      </c>
      <c r="O8" s="73">
        <v>1</v>
      </c>
    </row>
    <row r="9" spans="1:15" ht="6" customHeight="1" x14ac:dyDescent="0.3">
      <c r="A9" s="1"/>
      <c r="B9" s="1"/>
      <c r="C9" s="1"/>
      <c r="D9" s="2"/>
      <c r="E9" s="1"/>
      <c r="F9" s="143"/>
      <c r="G9" s="1"/>
      <c r="H9" s="1"/>
      <c r="I9" s="1"/>
      <c r="J9" s="1"/>
    </row>
    <row r="10" spans="1:15" ht="19.5" customHeight="1" x14ac:dyDescent="0.3">
      <c r="A10" s="497" t="s">
        <v>249</v>
      </c>
      <c r="B10" s="497"/>
      <c r="C10" s="497"/>
      <c r="D10" s="497"/>
      <c r="E10" s="497"/>
      <c r="F10" s="497"/>
      <c r="G10" s="497"/>
      <c r="H10" s="497"/>
      <c r="I10" s="497"/>
      <c r="J10" s="497"/>
      <c r="K10" s="242"/>
      <c r="L10" s="243"/>
    </row>
    <row r="11" spans="1:15" ht="9.6" customHeight="1" thickBot="1" x14ac:dyDescent="0.35">
      <c r="A11" s="180"/>
      <c r="B11" s="180"/>
      <c r="C11" s="180"/>
      <c r="D11" s="180"/>
      <c r="E11" s="180"/>
      <c r="F11" s="180"/>
      <c r="G11" s="180"/>
      <c r="H11" s="180"/>
      <c r="I11" s="180"/>
      <c r="K11" s="242"/>
      <c r="L11" s="243"/>
    </row>
    <row r="12" spans="1:15" s="37" customFormat="1" ht="30.6" customHeight="1" x14ac:dyDescent="0.25">
      <c r="A12" s="134" t="s">
        <v>2</v>
      </c>
      <c r="B12" s="135" t="s">
        <v>3</v>
      </c>
      <c r="C12" s="135" t="s">
        <v>4</v>
      </c>
      <c r="D12" s="135" t="s">
        <v>5</v>
      </c>
      <c r="E12" s="135" t="s">
        <v>6</v>
      </c>
      <c r="F12" s="135" t="s">
        <v>7</v>
      </c>
      <c r="G12" s="135" t="s">
        <v>44</v>
      </c>
      <c r="H12" s="135" t="s">
        <v>8</v>
      </c>
      <c r="I12" s="135" t="s">
        <v>9</v>
      </c>
      <c r="J12" s="136" t="s">
        <v>10</v>
      </c>
    </row>
    <row r="13" spans="1:15" x14ac:dyDescent="0.3">
      <c r="A13" s="187" t="s">
        <v>124</v>
      </c>
      <c r="B13" s="137"/>
      <c r="C13" s="137"/>
      <c r="D13" s="137" t="s">
        <v>227</v>
      </c>
      <c r="E13" s="137"/>
      <c r="F13" s="144"/>
      <c r="G13" s="137"/>
      <c r="H13" s="137"/>
      <c r="I13" s="137"/>
      <c r="J13" s="188" t="e">
        <f>SUM(J14:J15)</f>
        <v>#REF!</v>
      </c>
      <c r="L13" s="114"/>
      <c r="M13" s="114"/>
      <c r="N13" s="131"/>
    </row>
    <row r="14" spans="1:15" ht="26.4" x14ac:dyDescent="0.3">
      <c r="A14" s="189" t="s">
        <v>228</v>
      </c>
      <c r="B14" s="139" t="s">
        <v>229</v>
      </c>
      <c r="C14" s="138" t="s">
        <v>107</v>
      </c>
      <c r="D14" s="138" t="s">
        <v>108</v>
      </c>
      <c r="E14" s="140" t="s">
        <v>230</v>
      </c>
      <c r="F14" s="145" t="e">
        <f>ROUND(0.35*#REF!,2)</f>
        <v>#REF!</v>
      </c>
      <c r="G14" s="141">
        <v>16317.85</v>
      </c>
      <c r="H14" s="142">
        <f>ROUND(G14*$O$8,2)</f>
        <v>16317.85</v>
      </c>
      <c r="I14" s="142">
        <f>ROUND(H14*$L$6,2)</f>
        <v>19596.11</v>
      </c>
      <c r="J14" s="190" t="e">
        <f t="shared" ref="J14:J24" si="0">ROUND(I14*F14,2)</f>
        <v>#REF!</v>
      </c>
    </row>
    <row r="15" spans="1:15" ht="26.4" x14ac:dyDescent="0.3">
      <c r="A15" s="189" t="s">
        <v>231</v>
      </c>
      <c r="B15" s="139" t="s">
        <v>109</v>
      </c>
      <c r="C15" s="138" t="s">
        <v>107</v>
      </c>
      <c r="D15" s="138" t="s">
        <v>110</v>
      </c>
      <c r="E15" s="140" t="s">
        <v>230</v>
      </c>
      <c r="F15" s="145" t="e">
        <f>ROUND(0.35*#REF!,2)</f>
        <v>#REF!</v>
      </c>
      <c r="G15" s="141">
        <v>5290.1</v>
      </c>
      <c r="H15" s="142">
        <f>ROUND(G15*$O$8,2)</f>
        <v>5290.1</v>
      </c>
      <c r="I15" s="142">
        <f>ROUND(H15*$L$6,2)</f>
        <v>6352.88</v>
      </c>
      <c r="J15" s="190" t="e">
        <f t="shared" si="0"/>
        <v>#REF!</v>
      </c>
    </row>
    <row r="16" spans="1:15" x14ac:dyDescent="0.3">
      <c r="A16" s="187" t="s">
        <v>111</v>
      </c>
      <c r="B16" s="137"/>
      <c r="C16" s="137"/>
      <c r="D16" s="137" t="s">
        <v>11</v>
      </c>
      <c r="E16" s="137"/>
      <c r="F16" s="146"/>
      <c r="G16" s="137"/>
      <c r="H16" s="137"/>
      <c r="I16" s="137"/>
      <c r="J16" s="188" t="e">
        <f>SUM(J17:J18)</f>
        <v>#REF!</v>
      </c>
    </row>
    <row r="17" spans="1:13" ht="26.4" x14ac:dyDescent="0.3">
      <c r="A17" s="189" t="s">
        <v>232</v>
      </c>
      <c r="B17" s="139" t="s">
        <v>209</v>
      </c>
      <c r="C17" s="138" t="s">
        <v>210</v>
      </c>
      <c r="D17" s="138" t="s">
        <v>211</v>
      </c>
      <c r="E17" s="140" t="s">
        <v>205</v>
      </c>
      <c r="F17" s="145" t="e">
        <f>ROUND(0.35*#REF!,2)</f>
        <v>#REF!</v>
      </c>
      <c r="G17" s="141">
        <v>394.37</v>
      </c>
      <c r="H17" s="142">
        <f t="shared" ref="H17:H28" si="1">ROUND(G17*$L$8,2)</f>
        <v>394.37</v>
      </c>
      <c r="I17" s="142">
        <f t="shared" ref="I17:I28" si="2">ROUND(H17*$L$6,2)</f>
        <v>473.6</v>
      </c>
      <c r="J17" s="190" t="e">
        <f t="shared" si="0"/>
        <v>#REF!</v>
      </c>
    </row>
    <row r="18" spans="1:13" ht="26.4" customHeight="1" x14ac:dyDescent="0.3">
      <c r="A18" s="189" t="s">
        <v>233</v>
      </c>
      <c r="B18" s="139" t="s">
        <v>212</v>
      </c>
      <c r="C18" s="138" t="s">
        <v>107</v>
      </c>
      <c r="D18" s="138" t="s">
        <v>213</v>
      </c>
      <c r="E18" s="140" t="s">
        <v>205</v>
      </c>
      <c r="F18" s="145" t="e">
        <f>ROUND(0.35*#REF!,2)</f>
        <v>#REF!</v>
      </c>
      <c r="G18" s="141">
        <v>913.74</v>
      </c>
      <c r="H18" s="142">
        <f t="shared" si="1"/>
        <v>913.74</v>
      </c>
      <c r="I18" s="142">
        <f t="shared" si="2"/>
        <v>1097.31</v>
      </c>
      <c r="J18" s="190" t="e">
        <f t="shared" si="0"/>
        <v>#REF!</v>
      </c>
    </row>
    <row r="19" spans="1:13" x14ac:dyDescent="0.3">
      <c r="A19" s="187" t="s">
        <v>234</v>
      </c>
      <c r="B19" s="137"/>
      <c r="C19" s="137"/>
      <c r="D19" s="137" t="s">
        <v>204</v>
      </c>
      <c r="E19" s="137"/>
      <c r="F19" s="146"/>
      <c r="G19" s="137"/>
      <c r="H19" s="137"/>
      <c r="I19" s="137"/>
      <c r="J19" s="188" t="e">
        <f>SUM(J20:J24)</f>
        <v>#REF!</v>
      </c>
    </row>
    <row r="20" spans="1:13" ht="52.8" x14ac:dyDescent="0.3">
      <c r="A20" s="189" t="s">
        <v>239</v>
      </c>
      <c r="B20" s="139" t="s">
        <v>241</v>
      </c>
      <c r="C20" s="138" t="s">
        <v>107</v>
      </c>
      <c r="D20" s="138" t="s">
        <v>223</v>
      </c>
      <c r="E20" s="140" t="s">
        <v>205</v>
      </c>
      <c r="F20" s="145" t="e">
        <f>ROUND(#REF!,2)</f>
        <v>#REF!</v>
      </c>
      <c r="G20" s="141">
        <v>67.53</v>
      </c>
      <c r="H20" s="142">
        <f>ROUND(G20*$L$8,2)</f>
        <v>67.53</v>
      </c>
      <c r="I20" s="142">
        <f>ROUND(H20*$L$6,2)</f>
        <v>81.099999999999994</v>
      </c>
      <c r="J20" s="190" t="e">
        <f>ROUND(I20*F20,2)</f>
        <v>#REF!</v>
      </c>
    </row>
    <row r="21" spans="1:13" s="112" customFormat="1" x14ac:dyDescent="0.3">
      <c r="A21" s="189" t="s">
        <v>235</v>
      </c>
      <c r="B21" s="139" t="s">
        <v>236</v>
      </c>
      <c r="C21" s="138" t="s">
        <v>210</v>
      </c>
      <c r="D21" s="138" t="s">
        <v>237</v>
      </c>
      <c r="E21" s="140" t="s">
        <v>205</v>
      </c>
      <c r="F21" s="145" t="e">
        <f>ROUND(#REF!,2)</f>
        <v>#REF!</v>
      </c>
      <c r="G21" s="141">
        <v>0.48</v>
      </c>
      <c r="H21" s="142">
        <f>ROUND(G21*$L$8,2)</f>
        <v>0.48</v>
      </c>
      <c r="I21" s="142">
        <f>ROUND(H21*$L$6,2)</f>
        <v>0.57999999999999996</v>
      </c>
      <c r="J21" s="190" t="e">
        <f>ROUND(I21*F21,2)</f>
        <v>#REF!</v>
      </c>
    </row>
    <row r="22" spans="1:13" ht="26.4" x14ac:dyDescent="0.3">
      <c r="A22" s="189" t="s">
        <v>238</v>
      </c>
      <c r="B22" s="139" t="s">
        <v>214</v>
      </c>
      <c r="C22" s="138" t="s">
        <v>107</v>
      </c>
      <c r="D22" s="138" t="s">
        <v>215</v>
      </c>
      <c r="E22" s="140" t="s">
        <v>205</v>
      </c>
      <c r="F22" s="145" t="e">
        <f>ROUND(#REF!,2)</f>
        <v>#REF!</v>
      </c>
      <c r="G22" s="141">
        <v>2.13</v>
      </c>
      <c r="H22" s="142">
        <f t="shared" ref="H22" si="3">ROUND(G22*$L$8,2)</f>
        <v>2.13</v>
      </c>
      <c r="I22" s="142">
        <f t="shared" ref="I22" si="4">ROUND(H22*$L$6,2)</f>
        <v>2.56</v>
      </c>
      <c r="J22" s="190" t="e">
        <f t="shared" ref="J22" si="5">ROUND(I22*F22,2)</f>
        <v>#REF!</v>
      </c>
    </row>
    <row r="23" spans="1:13" ht="39.6" x14ac:dyDescent="0.3">
      <c r="A23" s="189" t="s">
        <v>239</v>
      </c>
      <c r="B23" s="139" t="s">
        <v>240</v>
      </c>
      <c r="C23" s="138" t="s">
        <v>107</v>
      </c>
      <c r="D23" s="138" t="s">
        <v>224</v>
      </c>
      <c r="E23" s="140" t="s">
        <v>207</v>
      </c>
      <c r="F23" s="145" t="e">
        <f>ROUND(#REF!,2)</f>
        <v>#REF!</v>
      </c>
      <c r="G23" s="141">
        <v>1175.96</v>
      </c>
      <c r="H23" s="142">
        <f>ROUND(G23*$L$8,2)</f>
        <v>1175.96</v>
      </c>
      <c r="I23" s="142">
        <f>ROUND(H23*$L$6,2)</f>
        <v>1412.21</v>
      </c>
      <c r="J23" s="190" t="e">
        <f>ROUND(I23*F23,2)</f>
        <v>#REF!</v>
      </c>
    </row>
    <row r="24" spans="1:13" ht="39.6" x14ac:dyDescent="0.3">
      <c r="A24" s="189" t="s">
        <v>242</v>
      </c>
      <c r="B24" s="139" t="s">
        <v>216</v>
      </c>
      <c r="C24" s="138" t="s">
        <v>210</v>
      </c>
      <c r="D24" s="138" t="s">
        <v>217</v>
      </c>
      <c r="E24" s="140" t="s">
        <v>206</v>
      </c>
      <c r="F24" s="145" t="e">
        <f>ROUND(#REF!,2)</f>
        <v>#REF!</v>
      </c>
      <c r="G24" s="141">
        <v>1.1000000000000001</v>
      </c>
      <c r="H24" s="142">
        <f t="shared" si="1"/>
        <v>1.1000000000000001</v>
      </c>
      <c r="I24" s="142">
        <f t="shared" si="2"/>
        <v>1.32</v>
      </c>
      <c r="J24" s="190" t="e">
        <f t="shared" si="0"/>
        <v>#REF!</v>
      </c>
    </row>
    <row r="25" spans="1:13" x14ac:dyDescent="0.3">
      <c r="A25" s="187" t="s">
        <v>243</v>
      </c>
      <c r="B25" s="137"/>
      <c r="C25" s="137"/>
      <c r="D25" s="137" t="s">
        <v>208</v>
      </c>
      <c r="E25" s="137"/>
      <c r="F25" s="146"/>
      <c r="G25" s="137"/>
      <c r="H25" s="137"/>
      <c r="I25" s="137"/>
      <c r="J25" s="188" t="e">
        <f>SUM(J26:J28)</f>
        <v>#REF!</v>
      </c>
    </row>
    <row r="26" spans="1:13" ht="52.8" x14ac:dyDescent="0.3">
      <c r="A26" s="189" t="s">
        <v>244</v>
      </c>
      <c r="B26" s="139" t="s">
        <v>245</v>
      </c>
      <c r="C26" s="138" t="s">
        <v>107</v>
      </c>
      <c r="D26" s="138" t="s">
        <v>225</v>
      </c>
      <c r="E26" s="140" t="s">
        <v>226</v>
      </c>
      <c r="F26" s="145" t="e">
        <f>ROUND(#REF!,2)</f>
        <v>#REF!</v>
      </c>
      <c r="G26" s="141">
        <v>4.12</v>
      </c>
      <c r="H26" s="142">
        <f t="shared" si="1"/>
        <v>4.12</v>
      </c>
      <c r="I26" s="142">
        <f t="shared" si="2"/>
        <v>4.95</v>
      </c>
      <c r="J26" s="190" t="e">
        <f t="shared" ref="J26:J28" si="6">ROUND(I26*F26,2)</f>
        <v>#REF!</v>
      </c>
    </row>
    <row r="27" spans="1:13" ht="39.6" x14ac:dyDescent="0.3">
      <c r="A27" s="189" t="s">
        <v>246</v>
      </c>
      <c r="B27" s="139" t="s">
        <v>218</v>
      </c>
      <c r="C27" s="138" t="s">
        <v>210</v>
      </c>
      <c r="D27" s="138" t="s">
        <v>219</v>
      </c>
      <c r="E27" s="140" t="s">
        <v>220</v>
      </c>
      <c r="F27" s="145" t="e">
        <f>ROUND(#REF!,2)</f>
        <v>#REF!</v>
      </c>
      <c r="G27" s="141">
        <v>876.99</v>
      </c>
      <c r="H27" s="142">
        <f t="shared" si="1"/>
        <v>876.99</v>
      </c>
      <c r="I27" s="142">
        <f t="shared" si="2"/>
        <v>1053.18</v>
      </c>
      <c r="J27" s="190" t="e">
        <f t="shared" si="6"/>
        <v>#REF!</v>
      </c>
    </row>
    <row r="28" spans="1:13" ht="27" thickBot="1" x14ac:dyDescent="0.35">
      <c r="A28" s="189" t="s">
        <v>247</v>
      </c>
      <c r="B28" s="139" t="s">
        <v>221</v>
      </c>
      <c r="C28" s="138" t="s">
        <v>210</v>
      </c>
      <c r="D28" s="138" t="s">
        <v>222</v>
      </c>
      <c r="E28" s="140" t="s">
        <v>220</v>
      </c>
      <c r="F28" s="145" t="e">
        <f>ROUND(#REF!,2)</f>
        <v>#REF!</v>
      </c>
      <c r="G28" s="141">
        <v>102.61</v>
      </c>
      <c r="H28" s="142">
        <f t="shared" si="1"/>
        <v>102.61</v>
      </c>
      <c r="I28" s="142">
        <f t="shared" si="2"/>
        <v>123.22</v>
      </c>
      <c r="J28" s="190" t="e">
        <f t="shared" si="6"/>
        <v>#REF!</v>
      </c>
    </row>
    <row r="29" spans="1:13" s="127" customFormat="1" ht="25.2" customHeight="1" thickBot="1" x14ac:dyDescent="0.35">
      <c r="A29" s="29"/>
      <c r="B29" s="29"/>
      <c r="C29" s="29"/>
      <c r="D29" s="126"/>
      <c r="E29" s="29"/>
      <c r="F29" s="29"/>
      <c r="G29" s="29"/>
      <c r="H29" s="515" t="s">
        <v>14</v>
      </c>
      <c r="I29" s="516"/>
      <c r="J29" s="299" t="e">
        <f>J13+J16+J19+J25</f>
        <v>#REF!</v>
      </c>
      <c r="M29" s="300"/>
    </row>
    <row r="30" spans="1:13" x14ac:dyDescent="0.3">
      <c r="A30" s="1"/>
      <c r="B30" s="1"/>
      <c r="C30" s="1"/>
      <c r="D30" s="2"/>
      <c r="E30" s="1"/>
      <c r="F30" s="143"/>
      <c r="G30" s="1"/>
      <c r="H30" s="1"/>
      <c r="I30" s="1"/>
      <c r="J30" s="113"/>
      <c r="K30" s="127"/>
      <c r="L30" s="115"/>
      <c r="M30" s="114"/>
    </row>
    <row r="31" spans="1:13" x14ac:dyDescent="0.3">
      <c r="A31" s="1"/>
      <c r="B31" s="1"/>
      <c r="C31" s="1"/>
      <c r="D31" s="2"/>
      <c r="E31" s="1"/>
      <c r="F31" s="143"/>
      <c r="G31" s="1"/>
      <c r="H31" s="1"/>
      <c r="I31" s="1"/>
      <c r="J31" s="113"/>
      <c r="K31" s="127"/>
      <c r="L31" s="115"/>
      <c r="M31" s="114"/>
    </row>
    <row r="32" spans="1:13" x14ac:dyDescent="0.3">
      <c r="A32" s="1"/>
      <c r="B32" s="1"/>
      <c r="C32" s="1"/>
      <c r="D32" s="2"/>
      <c r="E32" s="1"/>
      <c r="F32" s="143"/>
      <c r="G32" s="1"/>
      <c r="H32" s="1"/>
      <c r="I32" s="1"/>
      <c r="J32" s="113"/>
      <c r="K32" s="127"/>
      <c r="L32" s="115"/>
      <c r="M32" s="114"/>
    </row>
    <row r="33" spans="1:15" x14ac:dyDescent="0.3">
      <c r="A33" s="1"/>
      <c r="B33" s="1"/>
      <c r="C33" s="1"/>
      <c r="D33" s="2"/>
      <c r="E33" s="1"/>
      <c r="F33" s="143"/>
      <c r="G33" s="1"/>
      <c r="H33" s="1"/>
      <c r="I33" s="1"/>
      <c r="J33" s="113"/>
      <c r="K33" s="127"/>
      <c r="L33" s="115"/>
      <c r="M33" s="114"/>
    </row>
    <row r="34" spans="1:15" x14ac:dyDescent="0.3">
      <c r="A34" s="1"/>
      <c r="B34" s="1"/>
      <c r="C34" s="1"/>
      <c r="D34" s="2"/>
      <c r="E34" s="1"/>
      <c r="F34" s="143"/>
      <c r="G34" s="1"/>
      <c r="H34" s="1"/>
      <c r="I34" s="1"/>
      <c r="J34" s="113"/>
      <c r="K34" s="127"/>
      <c r="L34" s="115"/>
      <c r="M34" s="114"/>
    </row>
    <row r="35" spans="1:15" x14ac:dyDescent="0.3">
      <c r="A35" s="1"/>
      <c r="B35" s="1"/>
      <c r="C35" s="1"/>
      <c r="D35" s="2"/>
      <c r="E35" s="1"/>
      <c r="F35" s="143"/>
      <c r="G35" s="1"/>
      <c r="H35" s="1"/>
      <c r="I35" s="1"/>
      <c r="J35" s="113"/>
      <c r="K35" s="127"/>
      <c r="L35" s="115"/>
      <c r="M35" s="114"/>
    </row>
    <row r="36" spans="1:15" x14ac:dyDescent="0.3">
      <c r="A36" s="517" t="str">
        <f>DADOS!B5</f>
        <v>SÃO FELIPE/BA</v>
      </c>
      <c r="B36" s="517"/>
      <c r="C36" s="517"/>
      <c r="D36" s="517"/>
      <c r="E36" s="1"/>
      <c r="F36" s="143"/>
      <c r="G36" s="1"/>
      <c r="H36" s="518">
        <f ca="1">DADOS!B18</f>
        <v>45812</v>
      </c>
      <c r="I36" s="518"/>
      <c r="J36" s="518"/>
      <c r="K36" s="127"/>
      <c r="M36" s="114"/>
      <c r="O36" s="114"/>
    </row>
    <row r="37" spans="1:15" x14ac:dyDescent="0.3">
      <c r="A37" s="519" t="s">
        <v>20</v>
      </c>
      <c r="B37" s="519"/>
      <c r="C37" s="519"/>
      <c r="D37" s="519"/>
      <c r="E37" s="1"/>
      <c r="F37" s="143"/>
      <c r="G37" s="1"/>
      <c r="H37" s="520" t="s">
        <v>21</v>
      </c>
      <c r="I37" s="520"/>
      <c r="J37" s="520"/>
      <c r="K37" s="127"/>
      <c r="M37" s="114"/>
    </row>
    <row r="38" spans="1:15" x14ac:dyDescent="0.3">
      <c r="A38" s="1"/>
      <c r="B38" s="1"/>
      <c r="C38" s="1"/>
      <c r="D38" s="2"/>
      <c r="E38" s="1"/>
      <c r="F38" s="143"/>
      <c r="G38" s="1"/>
      <c r="H38" s="1"/>
      <c r="I38" s="1"/>
      <c r="J38" s="1"/>
      <c r="K38" s="127"/>
    </row>
    <row r="39" spans="1:15" x14ac:dyDescent="0.3">
      <c r="A39" s="1"/>
      <c r="B39" s="1"/>
      <c r="C39" s="1"/>
      <c r="D39" s="2"/>
      <c r="E39" s="1"/>
      <c r="F39" s="143"/>
      <c r="G39" s="1"/>
      <c r="H39" s="1"/>
      <c r="I39" s="1"/>
      <c r="J39" s="1"/>
      <c r="K39" s="127"/>
    </row>
    <row r="40" spans="1:15" x14ac:dyDescent="0.3">
      <c r="A40" s="1"/>
      <c r="B40" s="1"/>
      <c r="C40" s="1"/>
      <c r="D40" s="2"/>
      <c r="E40" s="1"/>
      <c r="F40" s="143"/>
      <c r="G40" s="1"/>
      <c r="H40" s="1"/>
      <c r="I40" s="1"/>
      <c r="J40" s="1"/>
      <c r="K40" s="127"/>
    </row>
    <row r="41" spans="1:15" x14ac:dyDescent="0.3">
      <c r="A41" s="513"/>
      <c r="B41" s="513"/>
      <c r="C41" s="513"/>
      <c r="D41" s="513"/>
      <c r="E41" s="1"/>
      <c r="F41" s="143"/>
      <c r="G41" s="1"/>
      <c r="H41" s="1"/>
      <c r="I41" s="1"/>
      <c r="J41" s="1"/>
      <c r="K41" s="127"/>
    </row>
    <row r="42" spans="1:15" x14ac:dyDescent="0.3">
      <c r="A42" s="514" t="s">
        <v>23</v>
      </c>
      <c r="B42" s="514"/>
      <c r="C42" s="514"/>
      <c r="D42" s="514"/>
      <c r="E42" s="1"/>
      <c r="F42" s="143"/>
      <c r="G42" s="1"/>
      <c r="H42" s="1"/>
      <c r="I42" s="1"/>
      <c r="J42" s="1"/>
      <c r="K42" s="127"/>
    </row>
    <row r="43" spans="1:15" x14ac:dyDescent="0.3">
      <c r="A43" s="511" t="s">
        <v>22</v>
      </c>
      <c r="B43" s="511"/>
      <c r="C43" s="512" t="str">
        <f>DADOS!B15</f>
        <v>Eliabe Vitória Souza</v>
      </c>
      <c r="D43" s="512"/>
      <c r="E43" s="1"/>
      <c r="F43" s="143"/>
      <c r="G43" s="1"/>
      <c r="H43" s="1"/>
      <c r="I43" s="1"/>
      <c r="J43" s="1"/>
      <c r="K43" s="127"/>
    </row>
    <row r="44" spans="1:15" x14ac:dyDescent="0.3">
      <c r="A44" s="511" t="s">
        <v>24</v>
      </c>
      <c r="B44" s="511"/>
      <c r="C44" s="512" t="str">
        <f>DADOS!B16</f>
        <v>Engenheiro Civil</v>
      </c>
      <c r="D44" s="512"/>
      <c r="E44" s="1"/>
      <c r="F44" s="143"/>
      <c r="G44" s="1"/>
      <c r="H44" s="1"/>
      <c r="I44" s="1"/>
      <c r="J44" s="1"/>
      <c r="K44" s="127"/>
    </row>
    <row r="45" spans="1:15" x14ac:dyDescent="0.3">
      <c r="A45" s="511" t="s">
        <v>25</v>
      </c>
      <c r="B45" s="511"/>
      <c r="C45" s="512" t="str">
        <f>DADOS!B17</f>
        <v>CREA/BA:051487735-9</v>
      </c>
      <c r="D45" s="512"/>
      <c r="E45" s="1"/>
      <c r="F45" s="143"/>
      <c r="G45" s="1"/>
      <c r="H45" s="1"/>
      <c r="I45" s="1"/>
      <c r="J45" s="1"/>
      <c r="K45" s="127"/>
    </row>
    <row r="46" spans="1:15" x14ac:dyDescent="0.3">
      <c r="A46" s="1"/>
      <c r="B46" s="1"/>
      <c r="C46" s="1"/>
      <c r="D46" s="2"/>
      <c r="E46" s="1"/>
      <c r="F46" s="143"/>
      <c r="G46" s="1"/>
      <c r="H46" s="1"/>
      <c r="I46" s="1"/>
      <c r="J46" s="113"/>
      <c r="L46" s="115"/>
      <c r="M46" s="114"/>
    </row>
    <row r="47" spans="1:15" x14ac:dyDescent="0.3">
      <c r="A47" s="1"/>
      <c r="B47" s="1"/>
      <c r="C47" s="1"/>
      <c r="D47" s="2"/>
      <c r="E47" s="1"/>
      <c r="F47" s="143"/>
      <c r="G47" s="1"/>
      <c r="H47" s="1"/>
      <c r="I47" s="1"/>
      <c r="J47" s="113"/>
      <c r="L47" s="115"/>
      <c r="M47" s="114"/>
    </row>
    <row r="48" spans="1:15" x14ac:dyDescent="0.3">
      <c r="A48" s="1"/>
      <c r="B48" s="1"/>
      <c r="C48" s="1"/>
      <c r="D48" s="2"/>
      <c r="E48" s="1"/>
      <c r="F48" s="143"/>
      <c r="G48" s="1"/>
      <c r="H48" s="1"/>
      <c r="I48" s="1"/>
      <c r="J48" s="113"/>
      <c r="L48" s="115"/>
      <c r="M48" s="114"/>
    </row>
    <row r="49" spans="1:13" x14ac:dyDescent="0.3">
      <c r="A49" s="1"/>
      <c r="B49" s="1"/>
      <c r="C49" s="1"/>
      <c r="D49" s="2"/>
      <c r="E49" s="1"/>
      <c r="F49" s="143"/>
      <c r="G49" s="1"/>
      <c r="H49" s="1"/>
      <c r="I49" s="1"/>
      <c r="J49" s="113"/>
      <c r="L49" s="115"/>
      <c r="M49" s="114"/>
    </row>
  </sheetData>
  <mergeCells count="27">
    <mergeCell ref="A6:D6"/>
    <mergeCell ref="E6:I6"/>
    <mergeCell ref="A1:F1"/>
    <mergeCell ref="A2:F2"/>
    <mergeCell ref="A3:F3"/>
    <mergeCell ref="A5:D5"/>
    <mergeCell ref="E5:I5"/>
    <mergeCell ref="A7:D7"/>
    <mergeCell ref="E7:F7"/>
    <mergeCell ref="G7:H7"/>
    <mergeCell ref="A8:D8"/>
    <mergeCell ref="E8:F8"/>
    <mergeCell ref="G8:H8"/>
    <mergeCell ref="A10:J10"/>
    <mergeCell ref="H29:I29"/>
    <mergeCell ref="A36:D36"/>
    <mergeCell ref="H36:J36"/>
    <mergeCell ref="A37:D37"/>
    <mergeCell ref="H37:J37"/>
    <mergeCell ref="A45:B45"/>
    <mergeCell ref="C45:D45"/>
    <mergeCell ref="A41:D41"/>
    <mergeCell ref="A42:D42"/>
    <mergeCell ref="A43:B43"/>
    <mergeCell ref="C43:D43"/>
    <mergeCell ref="A44:B44"/>
    <mergeCell ref="C44:D44"/>
  </mergeCells>
  <printOptions horizontalCentered="1"/>
  <pageMargins left="0.59055118110236227" right="0.59055118110236227" top="0.59055118110236227" bottom="0.44" header="0.31496062992125984" footer="0.15"/>
  <pageSetup paperSize="9" scale="53" fitToHeight="0" orientation="portrait" r:id="rId1"/>
  <headerFooter>
    <oddFooter>&amp;RPágina &amp;P de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ilha6">
    <pageSetUpPr fitToPage="1"/>
  </sheetPr>
  <dimension ref="A1:O47"/>
  <sheetViews>
    <sheetView showGridLines="0" zoomScale="85" zoomScaleNormal="85" workbookViewId="0">
      <selection activeCell="F20" sqref="F20"/>
    </sheetView>
  </sheetViews>
  <sheetFormatPr defaultRowHeight="14.4" x14ac:dyDescent="0.3"/>
  <cols>
    <col min="1" max="1" width="7.6640625" customWidth="1"/>
    <col min="2" max="2" width="10.6640625" customWidth="1"/>
    <col min="3" max="3" width="10" customWidth="1"/>
    <col min="4" max="4" width="60.6640625" customWidth="1"/>
    <col min="5" max="5" width="5.6640625" customWidth="1"/>
    <col min="6" max="6" width="13.88671875" style="133" customWidth="1"/>
    <col min="7" max="7" width="13.44140625" customWidth="1"/>
    <col min="8" max="9" width="14.6640625" customWidth="1"/>
    <col min="10" max="10" width="17.33203125" customWidth="1"/>
    <col min="11" max="11" width="18.88671875" customWidth="1"/>
    <col min="12" max="12" width="12.6640625" customWidth="1"/>
    <col min="13" max="13" width="13" bestFit="1" customWidth="1"/>
    <col min="15" max="15" width="10" bestFit="1" customWidth="1"/>
  </cols>
  <sheetData>
    <row r="1" spans="1:15" ht="30" customHeight="1" x14ac:dyDescent="0.3">
      <c r="A1" s="507" t="s">
        <v>167</v>
      </c>
      <c r="B1" s="507"/>
      <c r="C1" s="507"/>
      <c r="D1" s="507"/>
      <c r="E1" s="507"/>
      <c r="F1" s="507"/>
      <c r="G1" s="191"/>
    </row>
    <row r="2" spans="1:15" ht="13.5" customHeight="1" x14ac:dyDescent="0.3">
      <c r="A2" s="497" t="s">
        <v>168</v>
      </c>
      <c r="B2" s="497"/>
      <c r="C2" s="497"/>
      <c r="D2" s="497"/>
      <c r="E2" s="497"/>
      <c r="F2" s="497"/>
      <c r="G2" s="191"/>
    </row>
    <row r="3" spans="1:15" ht="27.75" customHeight="1" x14ac:dyDescent="0.3">
      <c r="A3" s="496" t="s">
        <v>170</v>
      </c>
      <c r="B3" s="496"/>
      <c r="C3" s="496"/>
      <c r="D3" s="496"/>
      <c r="E3" s="496"/>
      <c r="F3" s="496"/>
      <c r="G3" s="192"/>
    </row>
    <row r="4" spans="1:15" ht="14.25" customHeight="1" x14ac:dyDescent="0.3">
      <c r="A4" s="1"/>
      <c r="B4" s="1"/>
      <c r="C4" s="1"/>
      <c r="D4" s="2"/>
      <c r="E4" s="1"/>
      <c r="F4" s="1"/>
      <c r="G4" s="1"/>
      <c r="H4" s="1"/>
      <c r="I4" s="1"/>
    </row>
    <row r="5" spans="1:15" s="36" customFormat="1" ht="12.6" thickBot="1" x14ac:dyDescent="0.3">
      <c r="A5" s="521" t="s">
        <v>0</v>
      </c>
      <c r="B5" s="521"/>
      <c r="C5" s="521"/>
      <c r="D5" s="521"/>
      <c r="E5" s="521" t="s">
        <v>1</v>
      </c>
      <c r="F5" s="521"/>
      <c r="G5" s="521"/>
      <c r="H5" s="521"/>
      <c r="I5" s="521"/>
    </row>
    <row r="6" spans="1:15" ht="30" customHeight="1" thickBot="1" x14ac:dyDescent="0.35">
      <c r="A6" s="522" t="str">
        <f>DADOS!B4</f>
        <v>PREFEITURA MUNICIPAL DE SÃO FELIPE/BA</v>
      </c>
      <c r="B6" s="522"/>
      <c r="C6" s="522"/>
      <c r="D6" s="522"/>
      <c r="E6" s="524" t="str">
        <f>DADOS!B8</f>
        <v>PAVIMENTAÇÃO ASFÁLTICA DIVERSAS RUAS, NO MUNICÍPIO DE SÃO FELIPE/BA</v>
      </c>
      <c r="F6" s="524"/>
      <c r="G6" s="524"/>
      <c r="H6" s="524"/>
      <c r="I6" s="524"/>
      <c r="K6" s="75" t="s">
        <v>19</v>
      </c>
      <c r="L6" s="74">
        <v>1.2009000000000001</v>
      </c>
    </row>
    <row r="7" spans="1:15" s="36" customFormat="1" ht="12.6" thickBot="1" x14ac:dyDescent="0.3">
      <c r="A7" s="521" t="s">
        <v>15</v>
      </c>
      <c r="B7" s="521"/>
      <c r="C7" s="521"/>
      <c r="D7" s="521"/>
      <c r="E7" s="521" t="s">
        <v>16</v>
      </c>
      <c r="F7" s="521"/>
      <c r="G7" s="521" t="s">
        <v>169</v>
      </c>
      <c r="H7" s="521"/>
      <c r="I7" s="193" t="s">
        <v>18</v>
      </c>
    </row>
    <row r="8" spans="1:15" ht="29.4" thickBot="1" x14ac:dyDescent="0.35">
      <c r="A8" s="522" t="str">
        <f>DADOS!B5</f>
        <v>SÃO FELIPE/BA</v>
      </c>
      <c r="B8" s="522"/>
      <c r="C8" s="522"/>
      <c r="D8" s="522"/>
      <c r="E8" s="523">
        <f ca="1">DADOS!B18</f>
        <v>45812</v>
      </c>
      <c r="F8" s="523"/>
      <c r="G8" s="524" t="str">
        <f>DADOS!B10</f>
        <v>SINAPI - 01/2025 - Bahia
SICRO3 - 10/2024 - Bahia
ORSE - 12/2024 - Sergipe</v>
      </c>
      <c r="H8" s="524"/>
      <c r="I8" s="194">
        <f>DADOS!B11</f>
        <v>0.2009</v>
      </c>
      <c r="K8" s="55" t="s">
        <v>43</v>
      </c>
      <c r="L8" s="73">
        <v>1</v>
      </c>
      <c r="N8" s="55" t="s">
        <v>112</v>
      </c>
      <c r="O8" s="73">
        <v>1</v>
      </c>
    </row>
    <row r="9" spans="1:15" ht="6" customHeight="1" x14ac:dyDescent="0.3">
      <c r="A9" s="1"/>
      <c r="B9" s="1"/>
      <c r="C9" s="1"/>
      <c r="D9" s="2"/>
      <c r="E9" s="1"/>
      <c r="F9" s="143"/>
      <c r="G9" s="1"/>
      <c r="H9" s="1"/>
      <c r="I9" s="1"/>
      <c r="J9" s="1"/>
    </row>
    <row r="10" spans="1:15" ht="19.5" customHeight="1" x14ac:dyDescent="0.3">
      <c r="A10" s="497" t="s">
        <v>250</v>
      </c>
      <c r="B10" s="497"/>
      <c r="C10" s="497"/>
      <c r="D10" s="497"/>
      <c r="E10" s="497"/>
      <c r="F10" s="497"/>
      <c r="G10" s="497"/>
      <c r="H10" s="497"/>
      <c r="I10" s="497"/>
      <c r="J10" s="497"/>
      <c r="K10" s="242"/>
      <c r="L10" s="243"/>
    </row>
    <row r="11" spans="1:15" ht="9.6" customHeight="1" thickBot="1" x14ac:dyDescent="0.35">
      <c r="A11" s="180"/>
      <c r="B11" s="180"/>
      <c r="C11" s="180"/>
      <c r="D11" s="180"/>
      <c r="E11" s="180"/>
      <c r="F11" s="180"/>
      <c r="G11" s="180"/>
      <c r="H11" s="180"/>
      <c r="I11" s="180"/>
      <c r="K11" s="242"/>
      <c r="L11" s="243"/>
    </row>
    <row r="12" spans="1:15" s="37" customFormat="1" ht="30.6" customHeight="1" x14ac:dyDescent="0.25">
      <c r="A12" s="134" t="s">
        <v>2</v>
      </c>
      <c r="B12" s="135" t="s">
        <v>3</v>
      </c>
      <c r="C12" s="135" t="s">
        <v>4</v>
      </c>
      <c r="D12" s="135" t="s">
        <v>5</v>
      </c>
      <c r="E12" s="135" t="s">
        <v>6</v>
      </c>
      <c r="F12" s="135" t="s">
        <v>7</v>
      </c>
      <c r="G12" s="135" t="s">
        <v>44</v>
      </c>
      <c r="H12" s="135" t="s">
        <v>8</v>
      </c>
      <c r="I12" s="135" t="s">
        <v>9</v>
      </c>
      <c r="J12" s="136" t="s">
        <v>10</v>
      </c>
    </row>
    <row r="13" spans="1:15" x14ac:dyDescent="0.3">
      <c r="A13" s="187" t="s">
        <v>124</v>
      </c>
      <c r="B13" s="137"/>
      <c r="C13" s="137"/>
      <c r="D13" s="137" t="s">
        <v>227</v>
      </c>
      <c r="E13" s="137"/>
      <c r="F13" s="144"/>
      <c r="G13" s="137"/>
      <c r="H13" s="137"/>
      <c r="I13" s="137"/>
      <c r="J13" s="188" t="e">
        <f>SUM(J14:J15)</f>
        <v>#REF!</v>
      </c>
      <c r="L13" s="114"/>
      <c r="M13" s="114"/>
      <c r="N13" s="131"/>
    </row>
    <row r="14" spans="1:15" ht="26.4" x14ac:dyDescent="0.3">
      <c r="A14" s="189" t="s">
        <v>228</v>
      </c>
      <c r="B14" s="139" t="s">
        <v>229</v>
      </c>
      <c r="C14" s="138" t="s">
        <v>107</v>
      </c>
      <c r="D14" s="138" t="s">
        <v>108</v>
      </c>
      <c r="E14" s="140" t="s">
        <v>230</v>
      </c>
      <c r="F14" s="145" t="e">
        <f>ROUND(0.15*#REF!,2)</f>
        <v>#REF!</v>
      </c>
      <c r="G14" s="141">
        <v>16317.85</v>
      </c>
      <c r="H14" s="142">
        <f>ROUND(G14*$O$8,2)</f>
        <v>16317.85</v>
      </c>
      <c r="I14" s="142">
        <f>ROUND(H14*$L$6,2)</f>
        <v>19596.11</v>
      </c>
      <c r="J14" s="190" t="e">
        <f t="shared" ref="J14:J24" si="0">ROUND(I14*F14,2)</f>
        <v>#REF!</v>
      </c>
    </row>
    <row r="15" spans="1:15" ht="26.4" x14ac:dyDescent="0.3">
      <c r="A15" s="189" t="s">
        <v>231</v>
      </c>
      <c r="B15" s="139" t="s">
        <v>109</v>
      </c>
      <c r="C15" s="138" t="s">
        <v>107</v>
      </c>
      <c r="D15" s="138" t="s">
        <v>110</v>
      </c>
      <c r="E15" s="140" t="s">
        <v>230</v>
      </c>
      <c r="F15" s="145" t="e">
        <f>ROUND(0.15*#REF!,2)</f>
        <v>#REF!</v>
      </c>
      <c r="G15" s="141">
        <v>5290.1</v>
      </c>
      <c r="H15" s="142">
        <f>ROUND(G15*$O$8,2)</f>
        <v>5290.1</v>
      </c>
      <c r="I15" s="142">
        <f>ROUND(H15*$L$6,2)</f>
        <v>6352.88</v>
      </c>
      <c r="J15" s="190" t="e">
        <f t="shared" si="0"/>
        <v>#REF!</v>
      </c>
    </row>
    <row r="16" spans="1:15" x14ac:dyDescent="0.3">
      <c r="A16" s="187" t="s">
        <v>111</v>
      </c>
      <c r="B16" s="137"/>
      <c r="C16" s="137"/>
      <c r="D16" s="137" t="s">
        <v>11</v>
      </c>
      <c r="E16" s="137"/>
      <c r="F16" s="146"/>
      <c r="G16" s="137"/>
      <c r="H16" s="137"/>
      <c r="I16" s="137"/>
      <c r="J16" s="188" t="e">
        <f>SUM(J17:J18)</f>
        <v>#REF!</v>
      </c>
    </row>
    <row r="17" spans="1:13" ht="26.4" x14ac:dyDescent="0.3">
      <c r="A17" s="189" t="s">
        <v>232</v>
      </c>
      <c r="B17" s="139" t="s">
        <v>209</v>
      </c>
      <c r="C17" s="138" t="s">
        <v>210</v>
      </c>
      <c r="D17" s="138" t="s">
        <v>211</v>
      </c>
      <c r="E17" s="140" t="s">
        <v>205</v>
      </c>
      <c r="F17" s="145" t="e">
        <f>ROUND(0.15*#REF!,2)</f>
        <v>#REF!</v>
      </c>
      <c r="G17" s="141">
        <v>394.37</v>
      </c>
      <c r="H17" s="142">
        <f t="shared" ref="H17:H28" si="1">ROUND(G17*$L$8,2)</f>
        <v>394.37</v>
      </c>
      <c r="I17" s="142">
        <f t="shared" ref="I17:I28" si="2">ROUND(H17*$L$6,2)</f>
        <v>473.6</v>
      </c>
      <c r="J17" s="190" t="e">
        <f t="shared" si="0"/>
        <v>#REF!</v>
      </c>
    </row>
    <row r="18" spans="1:13" ht="26.4" customHeight="1" x14ac:dyDescent="0.3">
      <c r="A18" s="189" t="s">
        <v>233</v>
      </c>
      <c r="B18" s="139" t="s">
        <v>212</v>
      </c>
      <c r="C18" s="138" t="s">
        <v>107</v>
      </c>
      <c r="D18" s="138" t="s">
        <v>213</v>
      </c>
      <c r="E18" s="140" t="s">
        <v>205</v>
      </c>
      <c r="F18" s="145" t="e">
        <f>ROUND(0.15*#REF!,2)</f>
        <v>#REF!</v>
      </c>
      <c r="G18" s="141">
        <v>913.74</v>
      </c>
      <c r="H18" s="142">
        <f t="shared" si="1"/>
        <v>913.74</v>
      </c>
      <c r="I18" s="142">
        <f t="shared" si="2"/>
        <v>1097.31</v>
      </c>
      <c r="J18" s="190" t="e">
        <f t="shared" si="0"/>
        <v>#REF!</v>
      </c>
    </row>
    <row r="19" spans="1:13" x14ac:dyDescent="0.3">
      <c r="A19" s="187" t="s">
        <v>234</v>
      </c>
      <c r="B19" s="137"/>
      <c r="C19" s="137"/>
      <c r="D19" s="137" t="s">
        <v>204</v>
      </c>
      <c r="E19" s="137"/>
      <c r="F19" s="146"/>
      <c r="G19" s="137"/>
      <c r="H19" s="137">
        <f t="shared" si="1"/>
        <v>0</v>
      </c>
      <c r="I19" s="137">
        <f t="shared" si="2"/>
        <v>0</v>
      </c>
      <c r="J19" s="188" t="e">
        <f>SUM(J20:J24)</f>
        <v>#REF!</v>
      </c>
    </row>
    <row r="20" spans="1:13" ht="52.8" x14ac:dyDescent="0.3">
      <c r="A20" s="189" t="s">
        <v>239</v>
      </c>
      <c r="B20" s="139" t="s">
        <v>241</v>
      </c>
      <c r="C20" s="138" t="s">
        <v>107</v>
      </c>
      <c r="D20" s="138" t="s">
        <v>223</v>
      </c>
      <c r="E20" s="140" t="s">
        <v>205</v>
      </c>
      <c r="F20" s="145" t="e">
        <f>ROUND(#REF!,2)</f>
        <v>#REF!</v>
      </c>
      <c r="G20" s="141">
        <v>67.53</v>
      </c>
      <c r="H20" s="142">
        <f>ROUND(G20*$L$8,2)</f>
        <v>67.53</v>
      </c>
      <c r="I20" s="142">
        <f>ROUND(H20*$L$6,2)</f>
        <v>81.099999999999994</v>
      </c>
      <c r="J20" s="190" t="e">
        <f>ROUND(I20*F20,2)</f>
        <v>#REF!</v>
      </c>
    </row>
    <row r="21" spans="1:13" s="112" customFormat="1" x14ac:dyDescent="0.3">
      <c r="A21" s="189" t="s">
        <v>235</v>
      </c>
      <c r="B21" s="139" t="s">
        <v>236</v>
      </c>
      <c r="C21" s="138" t="s">
        <v>210</v>
      </c>
      <c r="D21" s="138" t="s">
        <v>237</v>
      </c>
      <c r="E21" s="140" t="s">
        <v>205</v>
      </c>
      <c r="F21" s="145" t="e">
        <f>ROUND(#REF!,2)</f>
        <v>#REF!</v>
      </c>
      <c r="G21" s="141">
        <v>0.48</v>
      </c>
      <c r="H21" s="142">
        <f>ROUND(G21*$L$8,2)</f>
        <v>0.48</v>
      </c>
      <c r="I21" s="142">
        <f>ROUND(H21*$L$6,2)</f>
        <v>0.57999999999999996</v>
      </c>
      <c r="J21" s="190" t="e">
        <f>ROUND(I21*F21,2)</f>
        <v>#REF!</v>
      </c>
    </row>
    <row r="22" spans="1:13" ht="26.4" x14ac:dyDescent="0.3">
      <c r="A22" s="189" t="s">
        <v>238</v>
      </c>
      <c r="B22" s="139" t="s">
        <v>214</v>
      </c>
      <c r="C22" s="138" t="s">
        <v>107</v>
      </c>
      <c r="D22" s="138" t="s">
        <v>215</v>
      </c>
      <c r="E22" s="140" t="s">
        <v>205</v>
      </c>
      <c r="F22" s="145" t="e">
        <f>ROUND(#REF!,2)</f>
        <v>#REF!</v>
      </c>
      <c r="G22" s="141">
        <v>2.13</v>
      </c>
      <c r="H22" s="142">
        <f t="shared" ref="H22" si="3">ROUND(G22*$L$8,2)</f>
        <v>2.13</v>
      </c>
      <c r="I22" s="142">
        <f t="shared" ref="I22" si="4">ROUND(H22*$L$6,2)</f>
        <v>2.56</v>
      </c>
      <c r="J22" s="190" t="e">
        <f t="shared" ref="J22" si="5">ROUND(I22*F22,2)</f>
        <v>#REF!</v>
      </c>
    </row>
    <row r="23" spans="1:13" ht="39.6" x14ac:dyDescent="0.3">
      <c r="A23" s="189" t="s">
        <v>239</v>
      </c>
      <c r="B23" s="139" t="s">
        <v>240</v>
      </c>
      <c r="C23" s="138" t="s">
        <v>107</v>
      </c>
      <c r="D23" s="138" t="s">
        <v>224</v>
      </c>
      <c r="E23" s="140" t="s">
        <v>207</v>
      </c>
      <c r="F23" s="145" t="e">
        <f>ROUND(#REF!,2)</f>
        <v>#REF!</v>
      </c>
      <c r="G23" s="141">
        <v>1175.96</v>
      </c>
      <c r="H23" s="142">
        <f>ROUND(G23*$L$8,2)</f>
        <v>1175.96</v>
      </c>
      <c r="I23" s="142">
        <f>ROUND(H23*$L$6,2)</f>
        <v>1412.21</v>
      </c>
      <c r="J23" s="190" t="e">
        <f>ROUND(I23*F23,2)</f>
        <v>#REF!</v>
      </c>
    </row>
    <row r="24" spans="1:13" ht="39.6" x14ac:dyDescent="0.3">
      <c r="A24" s="189" t="s">
        <v>242</v>
      </c>
      <c r="B24" s="139" t="s">
        <v>216</v>
      </c>
      <c r="C24" s="138" t="s">
        <v>210</v>
      </c>
      <c r="D24" s="138" t="s">
        <v>217</v>
      </c>
      <c r="E24" s="140" t="s">
        <v>206</v>
      </c>
      <c r="F24" s="145" t="e">
        <f>ROUND(#REF!,2)</f>
        <v>#REF!</v>
      </c>
      <c r="G24" s="141">
        <v>1.1000000000000001</v>
      </c>
      <c r="H24" s="142">
        <f t="shared" si="1"/>
        <v>1.1000000000000001</v>
      </c>
      <c r="I24" s="142">
        <f t="shared" si="2"/>
        <v>1.32</v>
      </c>
      <c r="J24" s="190" t="e">
        <f t="shared" si="0"/>
        <v>#REF!</v>
      </c>
    </row>
    <row r="25" spans="1:13" x14ac:dyDescent="0.3">
      <c r="A25" s="187" t="s">
        <v>243</v>
      </c>
      <c r="B25" s="137"/>
      <c r="C25" s="137"/>
      <c r="D25" s="137" t="s">
        <v>208</v>
      </c>
      <c r="E25" s="137"/>
      <c r="F25" s="146"/>
      <c r="G25" s="137"/>
      <c r="H25" s="137">
        <f t="shared" si="1"/>
        <v>0</v>
      </c>
      <c r="I25" s="137">
        <f t="shared" si="2"/>
        <v>0</v>
      </c>
      <c r="J25" s="188" t="e">
        <f>SUM(J26:J28)</f>
        <v>#REF!</v>
      </c>
    </row>
    <row r="26" spans="1:13" ht="52.8" x14ac:dyDescent="0.3">
      <c r="A26" s="189" t="s">
        <v>244</v>
      </c>
      <c r="B26" s="139" t="s">
        <v>245</v>
      </c>
      <c r="C26" s="138" t="s">
        <v>107</v>
      </c>
      <c r="D26" s="138" t="s">
        <v>225</v>
      </c>
      <c r="E26" s="140" t="s">
        <v>226</v>
      </c>
      <c r="F26" s="145" t="e">
        <f>ROUND(#REF!,2)</f>
        <v>#REF!</v>
      </c>
      <c r="G26" s="141">
        <v>4.12</v>
      </c>
      <c r="H26" s="142">
        <f t="shared" si="1"/>
        <v>4.12</v>
      </c>
      <c r="I26" s="142">
        <f t="shared" si="2"/>
        <v>4.95</v>
      </c>
      <c r="J26" s="190" t="e">
        <f t="shared" ref="J26:J28" si="6">ROUND(I26*F26,2)</f>
        <v>#REF!</v>
      </c>
    </row>
    <row r="27" spans="1:13" ht="39.6" x14ac:dyDescent="0.3">
      <c r="A27" s="189" t="s">
        <v>246</v>
      </c>
      <c r="B27" s="139" t="s">
        <v>218</v>
      </c>
      <c r="C27" s="138" t="s">
        <v>210</v>
      </c>
      <c r="D27" s="138" t="s">
        <v>219</v>
      </c>
      <c r="E27" s="140" t="s">
        <v>220</v>
      </c>
      <c r="F27" s="145" t="e">
        <f>ROUND(#REF!,2)</f>
        <v>#REF!</v>
      </c>
      <c r="G27" s="141">
        <v>876.99</v>
      </c>
      <c r="H27" s="142">
        <f t="shared" si="1"/>
        <v>876.99</v>
      </c>
      <c r="I27" s="142">
        <f t="shared" si="2"/>
        <v>1053.18</v>
      </c>
      <c r="J27" s="190" t="e">
        <f t="shared" si="6"/>
        <v>#REF!</v>
      </c>
    </row>
    <row r="28" spans="1:13" ht="27" thickBot="1" x14ac:dyDescent="0.35">
      <c r="A28" s="189" t="s">
        <v>247</v>
      </c>
      <c r="B28" s="139" t="s">
        <v>221</v>
      </c>
      <c r="C28" s="138" t="s">
        <v>210</v>
      </c>
      <c r="D28" s="138" t="s">
        <v>222</v>
      </c>
      <c r="E28" s="140" t="s">
        <v>220</v>
      </c>
      <c r="F28" s="145" t="e">
        <f>ROUND(#REF!,2)</f>
        <v>#REF!</v>
      </c>
      <c r="G28" s="141">
        <v>102.61</v>
      </c>
      <c r="H28" s="142">
        <f t="shared" si="1"/>
        <v>102.61</v>
      </c>
      <c r="I28" s="142">
        <f t="shared" si="2"/>
        <v>123.22</v>
      </c>
      <c r="J28" s="190" t="e">
        <f t="shared" si="6"/>
        <v>#REF!</v>
      </c>
    </row>
    <row r="29" spans="1:13" s="127" customFormat="1" ht="25.2" customHeight="1" thickBot="1" x14ac:dyDescent="0.35">
      <c r="A29" s="29"/>
      <c r="B29" s="29"/>
      <c r="C29" s="29"/>
      <c r="D29" s="126"/>
      <c r="E29" s="29"/>
      <c r="F29" s="29"/>
      <c r="G29" s="29"/>
      <c r="H29" s="515" t="s">
        <v>14</v>
      </c>
      <c r="I29" s="516"/>
      <c r="J29" s="299" t="e">
        <f>J13+J16+J19+J25</f>
        <v>#REF!</v>
      </c>
      <c r="M29" s="300"/>
    </row>
    <row r="30" spans="1:13" x14ac:dyDescent="0.3">
      <c r="A30" s="1"/>
      <c r="B30" s="1"/>
      <c r="C30" s="1"/>
      <c r="D30" s="2"/>
      <c r="E30" s="1"/>
      <c r="F30" s="143"/>
      <c r="G30" s="1"/>
      <c r="H30" s="1"/>
      <c r="I30" s="1"/>
      <c r="J30" s="113"/>
      <c r="K30" s="127"/>
      <c r="L30" s="115"/>
      <c r="M30" s="114"/>
    </row>
    <row r="31" spans="1:13" x14ac:dyDescent="0.3">
      <c r="A31" s="1"/>
      <c r="B31" s="1"/>
      <c r="C31" s="1"/>
      <c r="D31" s="2"/>
      <c r="E31" s="1"/>
      <c r="F31" s="143"/>
      <c r="G31" s="1"/>
      <c r="H31" s="1"/>
      <c r="I31" s="1"/>
      <c r="J31" s="113"/>
      <c r="K31" s="127"/>
      <c r="L31" s="115"/>
      <c r="M31" s="114"/>
    </row>
    <row r="32" spans="1:13" x14ac:dyDescent="0.3">
      <c r="A32" s="1"/>
      <c r="B32" s="1"/>
      <c r="C32" s="1"/>
      <c r="D32" s="2"/>
      <c r="E32" s="1"/>
      <c r="F32" s="143"/>
      <c r="G32" s="1"/>
      <c r="H32" s="1"/>
      <c r="I32" s="1"/>
      <c r="J32" s="113"/>
      <c r="K32" s="127"/>
      <c r="L32" s="115"/>
      <c r="M32" s="114"/>
    </row>
    <row r="33" spans="1:15" x14ac:dyDescent="0.3">
      <c r="A33" s="1"/>
      <c r="B33" s="1"/>
      <c r="C33" s="1"/>
      <c r="D33" s="2"/>
      <c r="E33" s="1"/>
      <c r="F33" s="143"/>
      <c r="G33" s="1"/>
      <c r="H33" s="1"/>
      <c r="I33" s="1"/>
      <c r="J33" s="113"/>
      <c r="K33" s="127"/>
      <c r="L33" s="115"/>
      <c r="M33" s="114"/>
    </row>
    <row r="34" spans="1:15" x14ac:dyDescent="0.3">
      <c r="A34" s="1"/>
      <c r="B34" s="1"/>
      <c r="C34" s="1"/>
      <c r="D34" s="2"/>
      <c r="E34" s="1"/>
      <c r="F34" s="143"/>
      <c r="G34" s="1"/>
      <c r="H34" s="1"/>
      <c r="I34" s="1"/>
      <c r="J34" s="113"/>
      <c r="K34" s="127"/>
      <c r="L34" s="115"/>
      <c r="M34" s="114"/>
    </row>
    <row r="35" spans="1:15" x14ac:dyDescent="0.3">
      <c r="A35" s="1"/>
      <c r="B35" s="1"/>
      <c r="C35" s="1"/>
      <c r="D35" s="2"/>
      <c r="E35" s="1"/>
      <c r="F35" s="143"/>
      <c r="G35" s="1"/>
      <c r="H35" s="1"/>
      <c r="I35" s="1"/>
      <c r="J35" s="113"/>
      <c r="K35" s="127"/>
      <c r="L35" s="115"/>
      <c r="M35" s="114"/>
    </row>
    <row r="36" spans="1:15" x14ac:dyDescent="0.3">
      <c r="A36" s="517" t="str">
        <f>DADOS!B5</f>
        <v>SÃO FELIPE/BA</v>
      </c>
      <c r="B36" s="517"/>
      <c r="C36" s="517"/>
      <c r="D36" s="517"/>
      <c r="E36" s="1"/>
      <c r="F36" s="143"/>
      <c r="G36" s="1"/>
      <c r="H36" s="518">
        <f ca="1">DADOS!B18</f>
        <v>45812</v>
      </c>
      <c r="I36" s="518"/>
      <c r="J36" s="518"/>
      <c r="K36" s="127"/>
      <c r="M36" s="114"/>
      <c r="O36" s="114"/>
    </row>
    <row r="37" spans="1:15" x14ac:dyDescent="0.3">
      <c r="A37" s="519" t="s">
        <v>20</v>
      </c>
      <c r="B37" s="519"/>
      <c r="C37" s="519"/>
      <c r="D37" s="519"/>
      <c r="E37" s="1"/>
      <c r="F37" s="143"/>
      <c r="G37" s="1"/>
      <c r="H37" s="520" t="s">
        <v>21</v>
      </c>
      <c r="I37" s="520"/>
      <c r="J37" s="520"/>
      <c r="K37" s="127"/>
      <c r="M37" s="114"/>
    </row>
    <row r="38" spans="1:15" x14ac:dyDescent="0.3">
      <c r="A38" s="1"/>
      <c r="B38" s="1"/>
      <c r="C38" s="1"/>
      <c r="D38" s="2"/>
      <c r="E38" s="1"/>
      <c r="F38" s="143"/>
      <c r="G38" s="1"/>
      <c r="H38" s="1"/>
      <c r="I38" s="1"/>
      <c r="J38" s="1"/>
      <c r="K38" s="127"/>
    </row>
    <row r="39" spans="1:15" x14ac:dyDescent="0.3">
      <c r="A39" s="1"/>
      <c r="B39" s="1"/>
      <c r="C39" s="1"/>
      <c r="D39" s="2"/>
      <c r="E39" s="1"/>
      <c r="F39" s="143"/>
      <c r="G39" s="1"/>
      <c r="H39" s="1"/>
      <c r="I39" s="1"/>
      <c r="J39" s="1"/>
      <c r="K39" s="127"/>
    </row>
    <row r="40" spans="1:15" x14ac:dyDescent="0.3">
      <c r="A40" s="1"/>
      <c r="B40" s="1"/>
      <c r="C40" s="1"/>
      <c r="D40" s="2"/>
      <c r="E40" s="1"/>
      <c r="F40" s="143"/>
      <c r="G40" s="1"/>
      <c r="H40" s="1"/>
      <c r="I40" s="1"/>
      <c r="J40" s="1"/>
      <c r="K40" s="127"/>
    </row>
    <row r="41" spans="1:15" x14ac:dyDescent="0.3">
      <c r="A41" s="513"/>
      <c r="B41" s="513"/>
      <c r="C41" s="513"/>
      <c r="D41" s="513"/>
      <c r="E41" s="1"/>
      <c r="F41" s="143"/>
      <c r="G41" s="1"/>
      <c r="H41" s="1"/>
      <c r="I41" s="1"/>
      <c r="J41" s="1"/>
      <c r="K41" s="127"/>
    </row>
    <row r="42" spans="1:15" x14ac:dyDescent="0.3">
      <c r="A42" s="514" t="s">
        <v>23</v>
      </c>
      <c r="B42" s="514"/>
      <c r="C42" s="514"/>
      <c r="D42" s="514"/>
      <c r="E42" s="1"/>
      <c r="F42" s="143"/>
      <c r="G42" s="1"/>
      <c r="H42" s="1"/>
      <c r="I42" s="1"/>
      <c r="J42" s="1"/>
      <c r="K42" s="127"/>
    </row>
    <row r="43" spans="1:15" x14ac:dyDescent="0.3">
      <c r="A43" s="511" t="s">
        <v>22</v>
      </c>
      <c r="B43" s="511"/>
      <c r="C43" s="512" t="str">
        <f>DADOS!B15</f>
        <v>Eliabe Vitória Souza</v>
      </c>
      <c r="D43" s="512"/>
      <c r="E43" s="1"/>
      <c r="F43" s="143"/>
      <c r="G43" s="1"/>
      <c r="H43" s="1"/>
      <c r="I43" s="1"/>
      <c r="J43" s="1"/>
      <c r="K43" s="127"/>
    </row>
    <row r="44" spans="1:15" x14ac:dyDescent="0.3">
      <c r="A44" s="511" t="s">
        <v>24</v>
      </c>
      <c r="B44" s="511"/>
      <c r="C44" s="512" t="str">
        <f>DADOS!B16</f>
        <v>Engenheiro Civil</v>
      </c>
      <c r="D44" s="512"/>
      <c r="E44" s="1"/>
      <c r="F44" s="143"/>
      <c r="G44" s="1"/>
      <c r="H44" s="1"/>
      <c r="I44" s="1"/>
      <c r="J44" s="1"/>
      <c r="K44" s="127"/>
    </row>
    <row r="45" spans="1:15" x14ac:dyDescent="0.3">
      <c r="A45" s="511" t="s">
        <v>25</v>
      </c>
      <c r="B45" s="511"/>
      <c r="C45" s="512" t="str">
        <f>DADOS!B17</f>
        <v>CREA/BA:051487735-9</v>
      </c>
      <c r="D45" s="512"/>
      <c r="E45" s="1"/>
      <c r="F45" s="143"/>
      <c r="G45" s="1"/>
      <c r="H45" s="1"/>
      <c r="I45" s="1"/>
      <c r="J45" s="1"/>
      <c r="K45" s="127"/>
    </row>
    <row r="46" spans="1:15" x14ac:dyDescent="0.3">
      <c r="A46" s="1"/>
      <c r="B46" s="1"/>
      <c r="C46" s="1"/>
      <c r="D46" s="2"/>
      <c r="E46" s="1"/>
      <c r="F46" s="143"/>
      <c r="G46" s="1"/>
      <c r="H46" s="1"/>
      <c r="I46" s="1"/>
      <c r="J46" s="113"/>
      <c r="L46" s="115"/>
      <c r="M46" s="114"/>
    </row>
    <row r="47" spans="1:15" x14ac:dyDescent="0.3">
      <c r="A47" s="1"/>
      <c r="B47" s="1"/>
      <c r="C47" s="1"/>
      <c r="D47" s="2"/>
      <c r="E47" s="1"/>
      <c r="F47" s="143"/>
      <c r="G47" s="1"/>
      <c r="H47" s="1"/>
      <c r="I47" s="1"/>
      <c r="J47" s="113"/>
      <c r="L47" s="115"/>
      <c r="M47" s="114"/>
    </row>
  </sheetData>
  <mergeCells count="27">
    <mergeCell ref="A6:D6"/>
    <mergeCell ref="E6:I6"/>
    <mergeCell ref="A1:F1"/>
    <mergeCell ref="A2:F2"/>
    <mergeCell ref="A3:F3"/>
    <mergeCell ref="A5:D5"/>
    <mergeCell ref="E5:I5"/>
    <mergeCell ref="A7:D7"/>
    <mergeCell ref="E7:F7"/>
    <mergeCell ref="G7:H7"/>
    <mergeCell ref="A8:D8"/>
    <mergeCell ref="E8:F8"/>
    <mergeCell ref="G8:H8"/>
    <mergeCell ref="A10:J10"/>
    <mergeCell ref="H29:I29"/>
    <mergeCell ref="A36:D36"/>
    <mergeCell ref="H36:J36"/>
    <mergeCell ref="A37:D37"/>
    <mergeCell ref="H37:J37"/>
    <mergeCell ref="A45:B45"/>
    <mergeCell ref="C45:D45"/>
    <mergeCell ref="A41:D41"/>
    <mergeCell ref="A42:D42"/>
    <mergeCell ref="A43:B43"/>
    <mergeCell ref="C43:D43"/>
    <mergeCell ref="A44:B44"/>
    <mergeCell ref="C44:D44"/>
  </mergeCells>
  <printOptions horizontalCentered="1"/>
  <pageMargins left="0.59055118110236227" right="0.59055118110236227" top="0.59055118110236227" bottom="0.44" header="0.31496062992125984" footer="0.15"/>
  <pageSetup paperSize="9" scale="53" fitToHeight="0" orientation="portrait" r:id="rId1"/>
  <headerFooter>
    <oddFooter>&amp;RPágina 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D64F9-60FE-4E07-B122-B9F90A8C138A}">
  <sheetPr>
    <pageSetUpPr fitToPage="1"/>
  </sheetPr>
  <dimension ref="A1:AE72"/>
  <sheetViews>
    <sheetView tabSelected="1" topLeftCell="I19" zoomScale="85" zoomScaleNormal="85" workbookViewId="0">
      <selection activeCell="T28" sqref="T28:U36"/>
    </sheetView>
  </sheetViews>
  <sheetFormatPr defaultColWidth="0" defaultRowHeight="0" customHeight="1" zeroHeight="1" x14ac:dyDescent="0.25"/>
  <cols>
    <col min="1" max="1" width="29.44140625" style="124" hidden="1" customWidth="1"/>
    <col min="2" max="3" width="8.88671875" style="124" hidden="1" customWidth="1"/>
    <col min="4" max="4" width="22.88671875" style="124" hidden="1" customWidth="1"/>
    <col min="5" max="8" width="8.88671875" style="124" hidden="1" customWidth="1"/>
    <col min="9" max="12" width="10.44140625" style="124" customWidth="1"/>
    <col min="13" max="13" width="13.33203125" style="124" customWidth="1"/>
    <col min="14" max="14" width="10.44140625" style="124" customWidth="1"/>
    <col min="15" max="15" width="12.44140625" style="124" customWidth="1"/>
    <col min="16" max="18" width="10.44140625" style="124" customWidth="1"/>
    <col min="19" max="19" width="3.5546875" style="151" customWidth="1"/>
    <col min="20" max="20" width="28.6640625" style="151" customWidth="1"/>
    <col min="21" max="21" width="13.33203125" style="151" customWidth="1"/>
    <col min="22" max="16384" width="8.88671875" style="151" hidden="1"/>
  </cols>
  <sheetData>
    <row r="1" spans="1:19" ht="15" hidden="1" customHeight="1" x14ac:dyDescent="0.25">
      <c r="E1" s="166" t="s">
        <v>138</v>
      </c>
      <c r="F1" s="166" t="s">
        <v>139</v>
      </c>
      <c r="G1" s="166" t="s">
        <v>140</v>
      </c>
      <c r="N1" s="167" t="e">
        <f ca="1">"Quadro de Composição do BDI "&amp;MID(CELL("nome.arquivo",N1),5+FIND("BDI (",CELL("nome.arquivo",N1)),1)</f>
        <v>#VALUE!</v>
      </c>
      <c r="Q1" s="168"/>
      <c r="R1" s="168"/>
    </row>
    <row r="2" spans="1:19" ht="14.4" hidden="1" x14ac:dyDescent="0.25">
      <c r="A2" s="124" t="s">
        <v>102</v>
      </c>
      <c r="B2" s="169" t="s">
        <v>84</v>
      </c>
      <c r="C2" s="124" t="str">
        <f>CONCATENATE(A2,"-",B2)</f>
        <v>Construção e Reforma de Edifícios-AC</v>
      </c>
      <c r="E2" s="170">
        <v>0.03</v>
      </c>
      <c r="F2" s="170">
        <v>0.04</v>
      </c>
      <c r="G2" s="170">
        <v>5.5E-2</v>
      </c>
      <c r="Q2" s="168"/>
      <c r="R2" s="168"/>
    </row>
    <row r="3" spans="1:19" ht="13.2" hidden="1" x14ac:dyDescent="0.25">
      <c r="A3" s="124" t="str">
        <f>A2</f>
        <v>Construção e Reforma de Edifícios</v>
      </c>
      <c r="B3" s="169" t="s">
        <v>85</v>
      </c>
      <c r="C3" s="124" t="str">
        <f>CONCATENATE(A3,"-",B3)</f>
        <v>Construção e Reforma de Edifícios-SG</v>
      </c>
      <c r="E3" s="170">
        <v>8.0000000000000002E-3</v>
      </c>
      <c r="F3" s="170">
        <v>8.0000000000000002E-3</v>
      </c>
      <c r="G3" s="170">
        <v>0.01</v>
      </c>
    </row>
    <row r="4" spans="1:19" ht="13.2" hidden="1" x14ac:dyDescent="0.25">
      <c r="A4" s="124" t="str">
        <f>A3</f>
        <v>Construção e Reforma de Edifícios</v>
      </c>
      <c r="B4" s="169" t="s">
        <v>86</v>
      </c>
      <c r="C4" s="124" t="str">
        <f>CONCATENATE(A4,"-",B4)</f>
        <v>Construção e Reforma de Edifícios-R</v>
      </c>
      <c r="E4" s="170">
        <v>9.7000000000000003E-3</v>
      </c>
      <c r="F4" s="170">
        <v>1.2699999999999999E-2</v>
      </c>
      <c r="G4" s="170">
        <v>1.2699999999999999E-2</v>
      </c>
      <c r="I4" s="490" t="s">
        <v>141</v>
      </c>
      <c r="J4" s="492"/>
      <c r="K4" s="490" t="s">
        <v>142</v>
      </c>
      <c r="L4" s="491"/>
      <c r="M4" s="491"/>
      <c r="N4" s="491"/>
      <c r="O4" s="491"/>
      <c r="P4" s="491"/>
      <c r="Q4" s="491"/>
      <c r="R4" s="492"/>
    </row>
    <row r="5" spans="1:19" ht="12.75" hidden="1" customHeight="1" x14ac:dyDescent="0.35">
      <c r="A5" s="124" t="str">
        <f>A4</f>
        <v>Construção e Reforma de Edifícios</v>
      </c>
      <c r="B5" s="169" t="s">
        <v>87</v>
      </c>
      <c r="C5" s="124" t="str">
        <f>CONCATENATE(A5,"-",B5)</f>
        <v>Construção e Reforma de Edifícios-DF</v>
      </c>
      <c r="E5" s="170">
        <v>5.8999999999999999E-3</v>
      </c>
      <c r="F5" s="170">
        <v>1.23E-2</v>
      </c>
      <c r="G5" s="170">
        <v>1.3899999999999999E-2</v>
      </c>
      <c r="I5" s="498" t="s">
        <v>270</v>
      </c>
      <c r="J5" s="499"/>
      <c r="K5" s="500" t="s">
        <v>271</v>
      </c>
      <c r="L5" s="501"/>
      <c r="M5" s="501"/>
      <c r="N5" s="501"/>
      <c r="O5" s="501"/>
      <c r="P5" s="501"/>
      <c r="Q5" s="501"/>
      <c r="R5" s="499"/>
      <c r="S5" s="152"/>
    </row>
    <row r="6" spans="1:19" ht="15.6" hidden="1" customHeight="1" x14ac:dyDescent="0.35">
      <c r="B6" s="169"/>
      <c r="E6" s="170"/>
      <c r="F6" s="170"/>
      <c r="G6" s="170"/>
      <c r="I6" s="502" t="s">
        <v>143</v>
      </c>
      <c r="J6" s="502"/>
      <c r="K6" s="502"/>
      <c r="L6" s="502"/>
      <c r="M6" s="502"/>
      <c r="N6" s="502"/>
      <c r="O6" s="502"/>
      <c r="P6" s="502"/>
      <c r="Q6" s="502"/>
      <c r="R6" s="502"/>
      <c r="S6" s="152"/>
    </row>
    <row r="7" spans="1:19" ht="15.6" hidden="1" customHeight="1" x14ac:dyDescent="0.25">
      <c r="A7" s="124" t="str">
        <f>A5</f>
        <v>Construção e Reforma de Edifícios</v>
      </c>
      <c r="B7" s="169" t="s">
        <v>88</v>
      </c>
      <c r="C7" s="124" t="str">
        <f t="shared" ref="C7:C27" si="0">CONCATENATE(A7,"-",B7)</f>
        <v>Construção e Reforma de Edifícios-L</v>
      </c>
      <c r="E7" s="170">
        <v>6.1600000000000002E-2</v>
      </c>
      <c r="F7" s="170">
        <v>7.400000000000001E-2</v>
      </c>
      <c r="G7" s="170">
        <v>8.9600000000000013E-2</v>
      </c>
      <c r="I7" s="171"/>
      <c r="J7" s="171"/>
      <c r="K7" s="171"/>
      <c r="L7" s="171"/>
      <c r="M7" s="171"/>
      <c r="N7" s="171"/>
      <c r="O7" s="171"/>
      <c r="P7" s="171"/>
      <c r="Q7" s="171"/>
      <c r="R7" s="171"/>
    </row>
    <row r="8" spans="1:19" ht="15.6" hidden="1" customHeight="1" x14ac:dyDescent="0.25">
      <c r="A8" s="124" t="str">
        <f>A7</f>
        <v>Construção e Reforma de Edifícios</v>
      </c>
      <c r="B8" s="153" t="s">
        <v>92</v>
      </c>
      <c r="C8" s="124" t="str">
        <f t="shared" si="0"/>
        <v>Construção e Reforma de Edifícios-BDI PAD</v>
      </c>
      <c r="E8" s="170">
        <v>0.2034</v>
      </c>
      <c r="F8" s="170">
        <v>0.22120000000000001</v>
      </c>
      <c r="G8" s="170">
        <v>0.25</v>
      </c>
      <c r="I8" s="490" t="s">
        <v>144</v>
      </c>
      <c r="J8" s="491"/>
      <c r="K8" s="491"/>
      <c r="L8" s="491"/>
      <c r="M8" s="491"/>
      <c r="N8" s="491"/>
      <c r="O8" s="491"/>
      <c r="P8" s="491"/>
      <c r="Q8" s="491"/>
      <c r="R8" s="492"/>
    </row>
    <row r="9" spans="1:19" ht="15.6" hidden="1" customHeight="1" x14ac:dyDescent="0.25">
      <c r="A9" s="124" t="s">
        <v>103</v>
      </c>
      <c r="B9" s="169" t="s">
        <v>84</v>
      </c>
      <c r="C9" s="124" t="str">
        <f t="shared" si="0"/>
        <v>Construção de Praças Urbanas, Rodovias, Ferrovias e recapeamento e pavimentação de vias urbanas-AC</v>
      </c>
      <c r="E9" s="170">
        <v>3.7999999999999999E-2</v>
      </c>
      <c r="F9" s="170">
        <v>4.0099999999999997E-2</v>
      </c>
      <c r="G9" s="170">
        <v>4.6699999999999998E-2</v>
      </c>
      <c r="I9" s="503" t="s">
        <v>278</v>
      </c>
      <c r="J9" s="504"/>
      <c r="K9" s="504"/>
      <c r="L9" s="504"/>
      <c r="M9" s="504"/>
      <c r="N9" s="504"/>
      <c r="O9" s="504"/>
      <c r="P9" s="504"/>
      <c r="Q9" s="504"/>
      <c r="R9" s="505"/>
    </row>
    <row r="10" spans="1:19" ht="6" customHeight="1" x14ac:dyDescent="0.25">
      <c r="A10" s="124" t="s">
        <v>103</v>
      </c>
      <c r="B10" s="169" t="s">
        <v>85</v>
      </c>
      <c r="C10" s="124" t="str">
        <f t="shared" si="0"/>
        <v>Construção de Praças Urbanas, Rodovias, Ferrovias e recapeamento e pavimentação de vias urbanas-SG</v>
      </c>
      <c r="E10" s="170">
        <v>3.2000000000000002E-3</v>
      </c>
      <c r="F10" s="170">
        <v>4.0000000000000001E-3</v>
      </c>
      <c r="G10" s="170">
        <v>7.4000000000000003E-3</v>
      </c>
      <c r="I10" s="171"/>
      <c r="J10" s="171"/>
      <c r="K10" s="171"/>
      <c r="L10" s="171"/>
      <c r="M10" s="171"/>
      <c r="N10" s="171"/>
      <c r="O10" s="171"/>
      <c r="P10" s="171"/>
      <c r="Q10" s="171"/>
      <c r="R10" s="171"/>
    </row>
    <row r="11" spans="1:19" ht="18.600000000000001" customHeight="1" x14ac:dyDescent="0.25">
      <c r="B11" s="169"/>
      <c r="E11" s="170"/>
      <c r="F11" s="170"/>
      <c r="G11" s="170"/>
      <c r="I11" s="507"/>
      <c r="J11" s="507"/>
      <c r="K11" s="507"/>
      <c r="L11" s="507"/>
      <c r="M11" s="507"/>
      <c r="N11" s="507"/>
      <c r="O11" s="507"/>
      <c r="P11" s="507"/>
      <c r="Q11" s="507"/>
      <c r="R11" s="507"/>
    </row>
    <row r="12" spans="1:19" ht="18.600000000000001" customHeight="1" x14ac:dyDescent="0.25">
      <c r="B12" s="169"/>
      <c r="E12" s="170"/>
      <c r="F12" s="170"/>
      <c r="G12" s="170"/>
      <c r="I12" s="497"/>
      <c r="J12" s="497"/>
      <c r="K12" s="497"/>
      <c r="L12" s="497"/>
      <c r="M12" s="497"/>
      <c r="N12" s="497"/>
      <c r="O12" s="497"/>
      <c r="P12" s="497"/>
      <c r="Q12" s="497"/>
      <c r="R12" s="497"/>
    </row>
    <row r="13" spans="1:19" ht="33" customHeight="1" x14ac:dyDescent="0.25">
      <c r="B13" s="169"/>
      <c r="E13" s="170"/>
      <c r="F13" s="170"/>
      <c r="G13" s="170"/>
      <c r="I13" s="496"/>
      <c r="J13" s="496"/>
      <c r="K13" s="496"/>
      <c r="L13" s="496"/>
      <c r="M13" s="496"/>
      <c r="N13" s="496"/>
      <c r="O13" s="496"/>
      <c r="P13" s="496"/>
      <c r="Q13" s="496"/>
      <c r="R13" s="126"/>
    </row>
    <row r="14" spans="1:19" ht="18.600000000000001" customHeight="1" x14ac:dyDescent="0.25">
      <c r="B14" s="169"/>
      <c r="E14" s="170"/>
      <c r="F14" s="170"/>
      <c r="G14" s="170"/>
      <c r="I14" s="76"/>
      <c r="J14" s="76"/>
      <c r="K14" s="76"/>
      <c r="L14" s="76"/>
      <c r="M14" s="76"/>
      <c r="N14" s="76"/>
      <c r="O14" s="76"/>
      <c r="P14" s="76"/>
      <c r="Q14" s="76"/>
      <c r="R14" s="76"/>
    </row>
    <row r="15" spans="1:19" ht="18.600000000000001" customHeight="1" x14ac:dyDescent="0.25">
      <c r="B15" s="169"/>
      <c r="E15" s="170"/>
      <c r="F15" s="170"/>
      <c r="G15" s="170"/>
      <c r="I15" s="493" t="s">
        <v>0</v>
      </c>
      <c r="J15" s="493"/>
      <c r="K15" s="493"/>
      <c r="L15" s="493"/>
      <c r="M15" s="493"/>
      <c r="N15" s="493" t="s">
        <v>1</v>
      </c>
      <c r="O15" s="493"/>
      <c r="P15" s="493"/>
      <c r="Q15" s="493"/>
      <c r="R15" s="493"/>
    </row>
    <row r="16" spans="1:19" ht="43.95" customHeight="1" x14ac:dyDescent="0.25">
      <c r="B16" s="169"/>
      <c r="E16" s="170"/>
      <c r="F16" s="170"/>
      <c r="G16" s="170"/>
      <c r="I16" s="494" t="str">
        <f>DADOS!B4</f>
        <v>PREFEITURA MUNICIPAL DE SÃO FELIPE/BA</v>
      </c>
      <c r="J16" s="494"/>
      <c r="K16" s="494"/>
      <c r="L16" s="494"/>
      <c r="M16" s="494"/>
      <c r="N16" s="506" t="str">
        <f>DADOS!B8</f>
        <v>PAVIMENTAÇÃO ASFÁLTICA DIVERSAS RUAS, NO MUNICÍPIO DE SÃO FELIPE/BA</v>
      </c>
      <c r="O16" s="506"/>
      <c r="P16" s="506"/>
      <c r="Q16" s="506"/>
      <c r="R16" s="506"/>
    </row>
    <row r="17" spans="1:29" ht="18.600000000000001" customHeight="1" x14ac:dyDescent="0.25">
      <c r="B17" s="169"/>
      <c r="E17" s="170"/>
      <c r="F17" s="170"/>
      <c r="G17" s="170"/>
      <c r="I17" s="493" t="s">
        <v>15</v>
      </c>
      <c r="J17" s="493"/>
      <c r="K17" s="493"/>
      <c r="L17" s="493"/>
      <c r="M17" s="493"/>
      <c r="N17" s="493" t="s">
        <v>16</v>
      </c>
      <c r="O17" s="493"/>
      <c r="P17" s="493"/>
      <c r="Q17" s="493"/>
      <c r="R17" s="493"/>
    </row>
    <row r="18" spans="1:29" ht="18.600000000000001" customHeight="1" x14ac:dyDescent="0.25">
      <c r="B18" s="169"/>
      <c r="E18" s="170"/>
      <c r="F18" s="170"/>
      <c r="G18" s="170"/>
      <c r="I18" s="494" t="str">
        <f>DADOS!B5</f>
        <v>SÃO FELIPE/BA</v>
      </c>
      <c r="J18" s="494"/>
      <c r="K18" s="494"/>
      <c r="L18" s="494"/>
      <c r="M18" s="494"/>
      <c r="N18" s="495">
        <f ca="1">DADOS!B18</f>
        <v>45812</v>
      </c>
      <c r="O18" s="495"/>
      <c r="P18" s="495"/>
      <c r="Q18" s="495"/>
      <c r="R18" s="495"/>
    </row>
    <row r="19" spans="1:29" ht="10.95" customHeight="1" x14ac:dyDescent="0.25">
      <c r="B19" s="169"/>
      <c r="E19" s="170"/>
      <c r="F19" s="170"/>
      <c r="G19" s="170"/>
      <c r="I19" s="91"/>
      <c r="J19" s="91"/>
      <c r="K19" s="91"/>
      <c r="L19" s="91"/>
      <c r="M19" s="91"/>
      <c r="N19" s="241"/>
      <c r="O19" s="241"/>
      <c r="P19" s="241"/>
      <c r="Q19" s="241"/>
      <c r="R19" s="241"/>
    </row>
    <row r="20" spans="1:29" ht="18.600000000000001" customHeight="1" x14ac:dyDescent="0.25">
      <c r="B20" s="169"/>
      <c r="E20" s="170"/>
      <c r="F20" s="170"/>
      <c r="G20" s="170"/>
      <c r="I20" s="497" t="s">
        <v>143</v>
      </c>
      <c r="J20" s="497"/>
      <c r="K20" s="497"/>
      <c r="L20" s="497"/>
      <c r="M20" s="497"/>
      <c r="N20" s="497"/>
      <c r="O20" s="497"/>
      <c r="P20" s="497"/>
      <c r="Q20" s="497"/>
      <c r="R20" s="497"/>
    </row>
    <row r="21" spans="1:29" ht="7.95" customHeight="1" x14ac:dyDescent="0.25">
      <c r="B21" s="169"/>
      <c r="E21" s="170"/>
      <c r="F21" s="170"/>
      <c r="G21" s="170"/>
      <c r="I21" s="171"/>
      <c r="J21" s="171"/>
      <c r="K21" s="171"/>
      <c r="L21" s="171"/>
      <c r="M21" s="171"/>
      <c r="N21" s="171"/>
      <c r="O21" s="171"/>
      <c r="P21" s="171"/>
      <c r="Q21" s="171"/>
      <c r="R21" s="171"/>
    </row>
    <row r="22" spans="1:29" ht="13.2" x14ac:dyDescent="0.25">
      <c r="A22" s="124" t="s">
        <v>103</v>
      </c>
      <c r="B22" s="169" t="s">
        <v>86</v>
      </c>
      <c r="C22" s="124" t="str">
        <f t="shared" si="0"/>
        <v>Construção de Praças Urbanas, Rodovias, Ferrovias e recapeamento e pavimentação de vias urbanas-R</v>
      </c>
      <c r="E22" s="170">
        <v>5.0000000000000001E-3</v>
      </c>
      <c r="F22" s="170">
        <v>5.6000000000000008E-3</v>
      </c>
      <c r="G22" s="170">
        <v>9.7000000000000003E-3</v>
      </c>
      <c r="I22" s="490" t="s">
        <v>145</v>
      </c>
      <c r="J22" s="491"/>
      <c r="K22" s="491"/>
      <c r="L22" s="491"/>
      <c r="M22" s="491"/>
      <c r="N22" s="491"/>
      <c r="O22" s="491"/>
      <c r="P22" s="491"/>
      <c r="Q22" s="490" t="s">
        <v>93</v>
      </c>
      <c r="R22" s="492"/>
    </row>
    <row r="23" spans="1:29" ht="13.2" x14ac:dyDescent="0.25">
      <c r="A23" s="124" t="s">
        <v>103</v>
      </c>
      <c r="B23" s="169" t="s">
        <v>87</v>
      </c>
      <c r="C23" s="124" t="str">
        <f t="shared" si="0"/>
        <v>Construção de Praças Urbanas, Rodovias, Ferrovias e recapeamento e pavimentação de vias urbanas-DF</v>
      </c>
      <c r="E23" s="170">
        <v>1.0200000000000001E-2</v>
      </c>
      <c r="F23" s="170">
        <v>1.11E-2</v>
      </c>
      <c r="G23" s="170">
        <v>1.21E-2</v>
      </c>
      <c r="I23" s="487" t="s">
        <v>137</v>
      </c>
      <c r="J23" s="488"/>
      <c r="K23" s="488"/>
      <c r="L23" s="488"/>
      <c r="M23" s="488"/>
      <c r="N23" s="488"/>
      <c r="O23" s="488"/>
      <c r="P23" s="489"/>
      <c r="Q23" s="482" t="s">
        <v>272</v>
      </c>
      <c r="R23" s="483"/>
    </row>
    <row r="24" spans="1:29" ht="13.2" x14ac:dyDescent="0.25">
      <c r="A24" s="124" t="s">
        <v>103</v>
      </c>
      <c r="B24" s="169" t="s">
        <v>88</v>
      </c>
      <c r="C24" s="124" t="str">
        <f t="shared" si="0"/>
        <v>Construção de Praças Urbanas, Rodovias, Ferrovias e recapeamento e pavimentação de vias urbanas-L</v>
      </c>
      <c r="E24" s="170">
        <v>6.6400000000000001E-2</v>
      </c>
      <c r="F24" s="170">
        <v>7.2999999999999995E-2</v>
      </c>
      <c r="G24" s="170">
        <v>8.6899999999999991E-2</v>
      </c>
    </row>
    <row r="25" spans="1:29" ht="15" customHeight="1" x14ac:dyDescent="0.25">
      <c r="A25" s="124" t="s">
        <v>103</v>
      </c>
      <c r="B25" s="153" t="s">
        <v>92</v>
      </c>
      <c r="C25" s="124" t="str">
        <f t="shared" si="0"/>
        <v>Construção de Praças Urbanas, Rodovias, Ferrovias e recapeamento e pavimentação de vias urbanas-BDI PAD</v>
      </c>
      <c r="E25" s="170">
        <v>0.19600000000000001</v>
      </c>
      <c r="F25" s="170">
        <v>0.2097</v>
      </c>
      <c r="G25" s="170">
        <v>0.24230000000000002</v>
      </c>
      <c r="I25" s="484" t="s">
        <v>94</v>
      </c>
      <c r="J25" s="484"/>
      <c r="K25" s="484"/>
      <c r="L25" s="484"/>
      <c r="M25" s="484"/>
      <c r="N25" s="484"/>
      <c r="O25" s="484"/>
      <c r="P25" s="484"/>
      <c r="Q25" s="485">
        <v>0.5</v>
      </c>
      <c r="R25" s="485"/>
    </row>
    <row r="26" spans="1:29" ht="15" customHeight="1" x14ac:dyDescent="0.25">
      <c r="A26" s="124" t="s">
        <v>146</v>
      </c>
      <c r="B26" s="169" t="s">
        <v>84</v>
      </c>
      <c r="C26" s="124" t="str">
        <f t="shared" si="0"/>
        <v>Construção de Redes de Abastecimento de Água, Coleta de Esgoto-AC</v>
      </c>
      <c r="E26" s="170">
        <v>3.4300000000000004E-2</v>
      </c>
      <c r="F26" s="170">
        <v>4.9299999999999997E-2</v>
      </c>
      <c r="G26" s="170">
        <v>6.7099999999999993E-2</v>
      </c>
      <c r="I26" s="486" t="s">
        <v>95</v>
      </c>
      <c r="J26" s="486"/>
      <c r="K26" s="486"/>
      <c r="L26" s="486"/>
      <c r="M26" s="486"/>
      <c r="N26" s="486"/>
      <c r="O26" s="486"/>
      <c r="P26" s="486"/>
      <c r="Q26" s="485">
        <v>0.05</v>
      </c>
      <c r="R26" s="485"/>
    </row>
    <row r="27" spans="1:29" ht="13.2" x14ac:dyDescent="0.25">
      <c r="A27" s="124" t="str">
        <f>A26</f>
        <v>Construção de Redes de Abastecimento de Água, Coleta de Esgoto</v>
      </c>
      <c r="B27" s="169" t="s">
        <v>85</v>
      </c>
      <c r="C27" s="124" t="str">
        <f t="shared" si="0"/>
        <v>Construção de Redes de Abastecimento de Água, Coleta de Esgoto-SG</v>
      </c>
      <c r="E27" s="170">
        <v>2.8000000000000004E-3</v>
      </c>
      <c r="F27" s="170">
        <v>4.8999999999999998E-3</v>
      </c>
      <c r="G27" s="170">
        <v>7.4999999999999997E-3</v>
      </c>
    </row>
    <row r="28" spans="1:29" ht="12.75" customHeight="1" x14ac:dyDescent="0.25">
      <c r="B28" s="169"/>
      <c r="E28" s="170"/>
      <c r="F28" s="170"/>
      <c r="G28" s="170"/>
      <c r="I28" s="479" t="s">
        <v>147</v>
      </c>
      <c r="J28" s="479"/>
      <c r="K28" s="479"/>
      <c r="L28" s="479"/>
      <c r="M28" s="479" t="s">
        <v>148</v>
      </c>
      <c r="N28" s="480" t="s">
        <v>149</v>
      </c>
      <c r="O28" s="480" t="s">
        <v>150</v>
      </c>
      <c r="P28" s="479" t="s">
        <v>99</v>
      </c>
      <c r="Q28" s="479" t="s">
        <v>100</v>
      </c>
      <c r="R28" s="481" t="s">
        <v>101</v>
      </c>
      <c r="T28" s="477" t="str">
        <f>IF(V39,"Para BDI fora do intervalo estatístico, deve ser apresentado Relatório Técnico Circunstanciado justificando a adoção do percentual de cada parcela do BDI.","")</f>
        <v/>
      </c>
      <c r="U28" s="477"/>
      <c r="V28" s="154"/>
      <c r="W28" s="154"/>
      <c r="X28" s="154"/>
      <c r="Y28" s="154"/>
      <c r="Z28" s="154"/>
      <c r="AA28" s="154"/>
      <c r="AB28" s="154"/>
      <c r="AC28" s="154"/>
    </row>
    <row r="29" spans="1:29" ht="15.75" customHeight="1" x14ac:dyDescent="0.25">
      <c r="A29" s="124" t="str">
        <f>A27</f>
        <v>Construção de Redes de Abastecimento de Água, Coleta de Esgoto</v>
      </c>
      <c r="B29" s="169" t="s">
        <v>86</v>
      </c>
      <c r="C29" s="124" t="str">
        <f t="shared" ref="C29:C41" si="1">CONCATENATE(A29,"-",B29)</f>
        <v>Construção de Redes de Abastecimento de Água, Coleta de Esgoto-R</v>
      </c>
      <c r="E29" s="170">
        <v>0.01</v>
      </c>
      <c r="F29" s="170">
        <v>1.3899999999999999E-2</v>
      </c>
      <c r="G29" s="170">
        <v>1.7399999999999999E-2</v>
      </c>
      <c r="I29" s="479"/>
      <c r="J29" s="479"/>
      <c r="K29" s="479"/>
      <c r="L29" s="479"/>
      <c r="M29" s="479"/>
      <c r="N29" s="480"/>
      <c r="O29" s="480"/>
      <c r="P29" s="479"/>
      <c r="Q29" s="479"/>
      <c r="R29" s="481"/>
      <c r="T29" s="477"/>
      <c r="U29" s="477"/>
      <c r="V29" s="154"/>
      <c r="W29" s="154"/>
      <c r="X29" s="154"/>
      <c r="Y29" s="154"/>
      <c r="Z29" s="154"/>
      <c r="AA29" s="154"/>
      <c r="AB29" s="154"/>
      <c r="AC29" s="154"/>
    </row>
    <row r="30" spans="1:29" ht="26.25" customHeight="1" x14ac:dyDescent="0.25">
      <c r="A30" s="124" t="str">
        <f>A29</f>
        <v>Construção de Redes de Abastecimento de Água, Coleta de Esgoto</v>
      </c>
      <c r="B30" s="169" t="s">
        <v>87</v>
      </c>
      <c r="C30" s="124" t="str">
        <f t="shared" si="1"/>
        <v>Construção de Redes de Abastecimento de Água, Coleta de Esgoto-DF</v>
      </c>
      <c r="E30" s="170">
        <v>9.3999999999999986E-3</v>
      </c>
      <c r="F30" s="170">
        <v>9.8999999999999991E-3</v>
      </c>
      <c r="G30" s="170">
        <v>1.1699999999999999E-2</v>
      </c>
      <c r="I30" s="458" t="str">
        <f>IF($I$23=$A$71,"Encargos Sociais incidentes sobre a mão de obra","Administração Central")</f>
        <v>Administração Central</v>
      </c>
      <c r="J30" s="458"/>
      <c r="K30" s="458"/>
      <c r="L30" s="458"/>
      <c r="M30" s="155" t="str">
        <f>IF($I$23=$A$71,"K1","AC")</f>
        <v>AC</v>
      </c>
      <c r="N30" s="148">
        <v>1.4999999999999999E-2</v>
      </c>
      <c r="O30" s="156" t="s">
        <v>151</v>
      </c>
      <c r="P30" s="149">
        <f>VLOOKUP(CONCATENATE(I$23,"-",M30),$C$2:$G$61,3,FALSE)</f>
        <v>1.4999999999999999E-2</v>
      </c>
      <c r="Q30" s="149">
        <f>VLOOKUP(CONCATENATE(I$23,"-",M30),$C$2:$G$61,4,FALSE)</f>
        <v>3.4500000000000003E-2</v>
      </c>
      <c r="R30" s="149">
        <f>VLOOKUP(CONCATENATE(I$23,"-",M30),$C$2:$G$61,5,FALSE)</f>
        <v>4.4900000000000002E-2</v>
      </c>
      <c r="T30" s="477"/>
      <c r="U30" s="477"/>
      <c r="V30" s="154"/>
      <c r="W30" s="154"/>
      <c r="X30" s="154"/>
      <c r="Y30" s="154"/>
      <c r="Z30" s="154"/>
      <c r="AA30" s="154"/>
      <c r="AB30" s="154"/>
      <c r="AC30" s="154"/>
    </row>
    <row r="31" spans="1:29" ht="26.25" customHeight="1" x14ac:dyDescent="0.25">
      <c r="A31" s="124" t="str">
        <f>A30</f>
        <v>Construção de Redes de Abastecimento de Água, Coleta de Esgoto</v>
      </c>
      <c r="B31" s="169" t="s">
        <v>88</v>
      </c>
      <c r="C31" s="124" t="str">
        <f t="shared" si="1"/>
        <v>Construção de Redes de Abastecimento de Água, Coleta de Esgoto-L</v>
      </c>
      <c r="E31" s="170">
        <v>6.7400000000000002E-2</v>
      </c>
      <c r="F31" s="170">
        <v>8.0399999999999985E-2</v>
      </c>
      <c r="G31" s="170">
        <v>9.4E-2</v>
      </c>
      <c r="I31" s="458" t="str">
        <f>IF($I$23=$A$71,"Administração Central da empresa ou consultoria - overhead","Seguro e Garantia")</f>
        <v>Seguro e Garantia</v>
      </c>
      <c r="J31" s="458"/>
      <c r="K31" s="458"/>
      <c r="L31" s="458"/>
      <c r="M31" s="155" t="str">
        <f>IF($I$23=$A$71,"K2","SG")</f>
        <v>SG</v>
      </c>
      <c r="N31" s="148">
        <v>3.0000000000000001E-3</v>
      </c>
      <c r="O31" s="156" t="s">
        <v>151</v>
      </c>
      <c r="P31" s="149">
        <f>VLOOKUP(CONCATENATE(I$23,"-",M31),$C$2:$G$61,3,FALSE)</f>
        <v>3.0000000000000001E-3</v>
      </c>
      <c r="Q31" s="149">
        <f>VLOOKUP(CONCATENATE(I$23,"-",M31),$C$2:$G$61,4,FALSE)</f>
        <v>4.7999999999999996E-3</v>
      </c>
      <c r="R31" s="149">
        <f>VLOOKUP(CONCATENATE(I$23,"-",M31),$C$2:$G$61,5,FALSE)</f>
        <v>8.199999999999999E-3</v>
      </c>
      <c r="T31" s="477"/>
      <c r="U31" s="477"/>
      <c r="V31" s="154"/>
      <c r="W31" s="154"/>
      <c r="X31" s="154"/>
      <c r="Y31" s="154"/>
      <c r="Z31" s="154"/>
      <c r="AA31" s="154"/>
      <c r="AB31" s="154"/>
      <c r="AC31" s="154"/>
    </row>
    <row r="32" spans="1:29" ht="26.25" customHeight="1" x14ac:dyDescent="0.25">
      <c r="A32" s="124" t="str">
        <f>A31</f>
        <v>Construção de Redes de Abastecimento de Água, Coleta de Esgoto</v>
      </c>
      <c r="B32" s="153" t="s">
        <v>92</v>
      </c>
      <c r="C32" s="124" t="str">
        <f t="shared" si="1"/>
        <v>Construção de Redes de Abastecimento de Água, Coleta de Esgoto-BDI PAD</v>
      </c>
      <c r="E32" s="170">
        <v>0.20760000000000001</v>
      </c>
      <c r="F32" s="170">
        <v>0.24179999999999999</v>
      </c>
      <c r="G32" s="170">
        <v>0.26440000000000002</v>
      </c>
      <c r="I32" s="458" t="str">
        <f>IF($I$23=$A$71,"","Risco")</f>
        <v>Risco</v>
      </c>
      <c r="J32" s="458"/>
      <c r="K32" s="458"/>
      <c r="L32" s="458"/>
      <c r="M32" s="155" t="str">
        <f>IF($I$23=$A$71,"","R")</f>
        <v>R</v>
      </c>
      <c r="N32" s="148">
        <v>5.5999999999999999E-3</v>
      </c>
      <c r="O32" s="156" t="s">
        <v>151</v>
      </c>
      <c r="P32" s="149">
        <f>VLOOKUP(CONCATENATE(I$23,"-",M32),$C$2:$G$61,3,FALSE)</f>
        <v>5.6000000000000008E-3</v>
      </c>
      <c r="Q32" s="149">
        <f>VLOOKUP(CONCATENATE(I$23,"-",M32),$C$2:$G$61,4,FALSE)</f>
        <v>8.5000000000000006E-3</v>
      </c>
      <c r="R32" s="149">
        <f>VLOOKUP(CONCATENATE(I$23,"-",M32),$C$2:$G$61,5,FALSE)</f>
        <v>8.8999999999999999E-3</v>
      </c>
      <c r="T32" s="477"/>
      <c r="U32" s="477"/>
      <c r="V32" s="154"/>
      <c r="W32" s="154"/>
      <c r="X32" s="154"/>
      <c r="Y32" s="154"/>
      <c r="Z32" s="154"/>
      <c r="AA32" s="154"/>
      <c r="AB32" s="154"/>
      <c r="AC32" s="154"/>
    </row>
    <row r="33" spans="1:31" ht="26.25" customHeight="1" x14ac:dyDescent="0.25">
      <c r="A33" s="124" t="s">
        <v>152</v>
      </c>
      <c r="B33" s="169" t="s">
        <v>84</v>
      </c>
      <c r="C33" s="124" t="str">
        <f t="shared" si="1"/>
        <v>Construção e Manutenção de Estações e Redes de Distribuição de Energia Elétrica-AC</v>
      </c>
      <c r="E33" s="170">
        <v>5.2900000000000003E-2</v>
      </c>
      <c r="F33" s="170">
        <v>5.9200000000000003E-2</v>
      </c>
      <c r="G33" s="170">
        <v>7.9299999999999995E-2</v>
      </c>
      <c r="I33" s="458" t="str">
        <f>IF($I$23=$A$71,"","Despesas Financeiras")</f>
        <v>Despesas Financeiras</v>
      </c>
      <c r="J33" s="458"/>
      <c r="K33" s="458"/>
      <c r="L33" s="458"/>
      <c r="M33" s="155" t="str">
        <f>IF($I$23=$A$71,"","DF")</f>
        <v>DF</v>
      </c>
      <c r="N33" s="148">
        <v>8.5000000000000006E-3</v>
      </c>
      <c r="O33" s="156" t="s">
        <v>151</v>
      </c>
      <c r="P33" s="149">
        <f>VLOOKUP(CONCATENATE(I$23,"-",M33),$C$2:$G$61,3,FALSE)</f>
        <v>8.5000000000000006E-3</v>
      </c>
      <c r="Q33" s="149">
        <f>VLOOKUP(CONCATENATE(I$23,"-",M33),$C$2:$G$61,4,FALSE)</f>
        <v>8.5000000000000006E-3</v>
      </c>
      <c r="R33" s="149">
        <f>VLOOKUP(CONCATENATE(I$23,"-",M33),$C$2:$G$61,5,FALSE)</f>
        <v>1.11E-2</v>
      </c>
      <c r="T33" s="477"/>
      <c r="U33" s="477"/>
    </row>
    <row r="34" spans="1:31" ht="26.25" customHeight="1" x14ac:dyDescent="0.25">
      <c r="A34" s="124" t="str">
        <f>A33</f>
        <v>Construção e Manutenção de Estações e Redes de Distribuição de Energia Elétrica</v>
      </c>
      <c r="B34" s="169" t="s">
        <v>85</v>
      </c>
      <c r="C34" s="124" t="str">
        <f t="shared" si="1"/>
        <v>Construção e Manutenção de Estações e Redes de Distribuição de Energia Elétrica-SG</v>
      </c>
      <c r="E34" s="170">
        <v>2.5000000000000001E-3</v>
      </c>
      <c r="F34" s="170">
        <v>5.1000000000000004E-3</v>
      </c>
      <c r="G34" s="170">
        <v>5.6000000000000008E-3</v>
      </c>
      <c r="I34" s="458" t="str">
        <f>IF($I$23=$A$71,"Margem bruta da empresa de consultoria","Lucro")</f>
        <v>Lucro</v>
      </c>
      <c r="J34" s="458"/>
      <c r="K34" s="458"/>
      <c r="L34" s="458"/>
      <c r="M34" s="155" t="str">
        <f>IF($I$23=$A$71,"K3","L")</f>
        <v>L</v>
      </c>
      <c r="N34" s="148">
        <v>3.5000000000000003E-2</v>
      </c>
      <c r="O34" s="156" t="s">
        <v>151</v>
      </c>
      <c r="P34" s="149">
        <f>VLOOKUP(CONCATENATE(I$23,"-",M34),$C$2:$G$61,3,FALSE)</f>
        <v>3.5000000000000003E-2</v>
      </c>
      <c r="Q34" s="149">
        <f>VLOOKUP(CONCATENATE(I$23,"-",M34),$C$2:$G$61,4,FALSE)</f>
        <v>5.1100000000000007E-2</v>
      </c>
      <c r="R34" s="149">
        <f>VLOOKUP(CONCATENATE(I$23,"-",M34),$C$2:$G$61,5,FALSE)</f>
        <v>6.2199999999999998E-2</v>
      </c>
      <c r="T34" s="477"/>
      <c r="U34" s="477"/>
    </row>
    <row r="35" spans="1:31" ht="26.25" customHeight="1" x14ac:dyDescent="0.25">
      <c r="A35" s="124" t="str">
        <f>A34</f>
        <v>Construção e Manutenção de Estações e Redes de Distribuição de Energia Elétrica</v>
      </c>
      <c r="B35" s="169" t="s">
        <v>86</v>
      </c>
      <c r="C35" s="124" t="str">
        <f t="shared" si="1"/>
        <v>Construção e Manutenção de Estações e Redes de Distribuição de Energia Elétrica-R</v>
      </c>
      <c r="E35" s="170">
        <v>0.01</v>
      </c>
      <c r="F35" s="170">
        <v>1.4800000000000001E-2</v>
      </c>
      <c r="G35" s="170">
        <v>1.9699999999999999E-2</v>
      </c>
      <c r="I35" s="478" t="s">
        <v>81</v>
      </c>
      <c r="J35" s="478"/>
      <c r="K35" s="478"/>
      <c r="L35" s="478"/>
      <c r="M35" s="155" t="s">
        <v>89</v>
      </c>
      <c r="N35" s="148">
        <v>3.6499999999999998E-2</v>
      </c>
      <c r="O35" s="156" t="s">
        <v>151</v>
      </c>
      <c r="P35" s="149">
        <v>3.6499999999999998E-2</v>
      </c>
      <c r="Q35" s="149">
        <v>3.6499999999999998E-2</v>
      </c>
      <c r="R35" s="149">
        <v>3.6499999999999998E-2</v>
      </c>
      <c r="T35" s="477"/>
      <c r="U35" s="477"/>
    </row>
    <row r="36" spans="1:31" ht="26.25" customHeight="1" x14ac:dyDescent="0.25">
      <c r="A36" s="124" t="str">
        <f>A35</f>
        <v>Construção e Manutenção de Estações e Redes de Distribuição de Energia Elétrica</v>
      </c>
      <c r="B36" s="169" t="s">
        <v>87</v>
      </c>
      <c r="C36" s="124" t="str">
        <f t="shared" si="1"/>
        <v>Construção e Manutenção de Estações e Redes de Distribuição de Energia Elétrica-DF</v>
      </c>
      <c r="E36" s="170">
        <v>1.01E-2</v>
      </c>
      <c r="F36" s="170">
        <v>1.0700000000000001E-2</v>
      </c>
      <c r="G36" s="170">
        <v>1.11E-2</v>
      </c>
      <c r="I36" s="458" t="s">
        <v>82</v>
      </c>
      <c r="J36" s="458"/>
      <c r="K36" s="458"/>
      <c r="L36" s="458"/>
      <c r="M36" s="155" t="s">
        <v>90</v>
      </c>
      <c r="N36" s="149">
        <f>IF($I$23&lt;&gt;$A$70,Q26*Q25,0)</f>
        <v>2.5000000000000001E-2</v>
      </c>
      <c r="O36" s="156" t="s">
        <v>151</v>
      </c>
      <c r="P36" s="149">
        <v>0</v>
      </c>
      <c r="Q36" s="149">
        <v>2.5000000000000001E-2</v>
      </c>
      <c r="R36" s="149">
        <v>0.05</v>
      </c>
      <c r="T36" s="477"/>
      <c r="U36" s="477"/>
    </row>
    <row r="37" spans="1:31" ht="26.25" customHeight="1" x14ac:dyDescent="0.25">
      <c r="A37" s="124" t="str">
        <f>A36</f>
        <v>Construção e Manutenção de Estações e Redes de Distribuição de Energia Elétrica</v>
      </c>
      <c r="B37" s="169" t="s">
        <v>88</v>
      </c>
      <c r="C37" s="124" t="str">
        <f t="shared" si="1"/>
        <v>Construção e Manutenção de Estações e Redes de Distribuição de Energia Elétrica-L</v>
      </c>
      <c r="E37" s="170">
        <v>0.08</v>
      </c>
      <c r="F37" s="170">
        <v>8.3100000000000007E-2</v>
      </c>
      <c r="G37" s="170">
        <v>9.5100000000000004E-2</v>
      </c>
      <c r="I37" s="458" t="s">
        <v>83</v>
      </c>
      <c r="J37" s="458"/>
      <c r="K37" s="458"/>
      <c r="L37" s="458"/>
      <c r="M37" s="155" t="s">
        <v>91</v>
      </c>
      <c r="N37" s="149">
        <f>IF(AND($I$23&lt;&gt;$A$70,Q23="Sim"),4.5%,0%)</f>
        <v>0</v>
      </c>
      <c r="O37" s="156" t="str">
        <f>IF(AND(N37&gt;=P37, N37&lt;=R37), "OK", "Não OK")</f>
        <v>OK</v>
      </c>
      <c r="P37" s="150">
        <v>0</v>
      </c>
      <c r="Q37" s="150">
        <v>4.4999999999999998E-2</v>
      </c>
      <c r="R37" s="150">
        <v>4.4999999999999998E-2</v>
      </c>
    </row>
    <row r="38" spans="1:31" ht="30.75" customHeight="1" x14ac:dyDescent="0.3">
      <c r="A38" s="124" t="str">
        <f>A37</f>
        <v>Construção e Manutenção de Estações e Redes de Distribuição de Energia Elétrica</v>
      </c>
      <c r="B38" s="153" t="s">
        <v>92</v>
      </c>
      <c r="C38" s="124" t="str">
        <f t="shared" si="1"/>
        <v>Construção e Manutenção de Estações e Redes de Distribuição de Energia Elétrica-BDI PAD</v>
      </c>
      <c r="E38" s="170">
        <v>0.24</v>
      </c>
      <c r="F38" s="170">
        <v>0.25840000000000002</v>
      </c>
      <c r="G38" s="170">
        <v>0.27860000000000001</v>
      </c>
      <c r="I38" s="458" t="s">
        <v>153</v>
      </c>
      <c r="J38" s="458"/>
      <c r="K38" s="458"/>
      <c r="L38" s="458"/>
      <c r="M38" s="157" t="s">
        <v>92</v>
      </c>
      <c r="N38" s="149">
        <f>IF($I$23=$A$70,0,ROUND((((1+N30+N31+N32)*(1+N33)*(1+N34)/(1-(N35+N36)))-1),4))</f>
        <v>0.1384</v>
      </c>
      <c r="O38" s="158" t="str">
        <f>IF(OR($I$23=$A$71,$I$23=$A$70,AND(N38&gt;=P38, N38&lt;=R38)), "OK", "FORA DO INTERVALO")</f>
        <v>OK</v>
      </c>
      <c r="P38" s="149">
        <f>IF($I$23=$A$70,0,VLOOKUP(CONCATENATE($I$23,"-",$M38),$C$2:$G$61,3,FALSE))</f>
        <v>0.111</v>
      </c>
      <c r="Q38" s="149">
        <f>IF($I$23=$A$70,0,VLOOKUP(CONCATENATE($I$23,"-",$M38),$C$2:$G$61,4,FALSE))</f>
        <v>0.14019999999999999</v>
      </c>
      <c r="R38" s="149">
        <f>IF($I$23=$A$70,0,VLOOKUP(CONCATENATE($I$23,"-",$M38),$C$2:$G$61,5,FALSE))</f>
        <v>0.16800000000000001</v>
      </c>
      <c r="T38" s="159"/>
      <c r="V38" s="154"/>
      <c r="W38" s="154"/>
      <c r="X38" s="154"/>
      <c r="Y38" s="154"/>
      <c r="Z38" s="154"/>
      <c r="AA38" s="154"/>
      <c r="AB38" s="154"/>
      <c r="AC38" s="154"/>
      <c r="AD38" s="154"/>
      <c r="AE38" s="154"/>
    </row>
    <row r="39" spans="1:31" ht="30" customHeight="1" x14ac:dyDescent="0.3">
      <c r="A39" s="124" t="s">
        <v>154</v>
      </c>
      <c r="B39" s="169" t="s">
        <v>84</v>
      </c>
      <c r="C39" s="124" t="str">
        <f t="shared" si="1"/>
        <v>Obras Portuárias, Marítimas e Fluviais-AC</v>
      </c>
      <c r="E39" s="170">
        <v>0.04</v>
      </c>
      <c r="F39" s="170">
        <v>5.5199999999999999E-2</v>
      </c>
      <c r="G39" s="170">
        <v>7.85E-2</v>
      </c>
      <c r="I39" s="459" t="s">
        <v>155</v>
      </c>
      <c r="J39" s="459"/>
      <c r="K39" s="459"/>
      <c r="L39" s="459"/>
      <c r="M39" s="160" t="s">
        <v>156</v>
      </c>
      <c r="N39" s="161">
        <f>IF($I$23=$A$70,0,ROUND((((1+N30+N31+N32)*(1+N33)*(1+N34)/(1-(N35+N36+N37)))-1),4))</f>
        <v>0.1384</v>
      </c>
      <c r="O39" s="162" t="str">
        <f>IF(Q23&lt;&gt;"Sim","",O38)</f>
        <v/>
      </c>
      <c r="P39" s="460"/>
      <c r="Q39" s="460"/>
      <c r="R39" s="460"/>
      <c r="T39" s="159"/>
      <c r="V39" s="163" t="b">
        <f>AND(COUNTA(N30:N35)=6,O38&lt;&gt;"ok",NOT(V41))</f>
        <v>0</v>
      </c>
      <c r="W39" s="151" t="s">
        <v>157</v>
      </c>
    </row>
    <row r="40" spans="1:31" ht="7.5" customHeight="1" x14ac:dyDescent="0.25">
      <c r="A40" s="124" t="str">
        <f>A39</f>
        <v>Obras Portuárias, Marítimas e Fluviais</v>
      </c>
      <c r="B40" s="169" t="s">
        <v>85</v>
      </c>
      <c r="C40" s="124" t="str">
        <f t="shared" si="1"/>
        <v>Obras Portuárias, Marítimas e Fluviais-SG</v>
      </c>
      <c r="E40" s="170">
        <v>8.1000000000000013E-3</v>
      </c>
      <c r="F40" s="170">
        <v>1.2199999999999999E-2</v>
      </c>
      <c r="G40" s="170">
        <v>1.9900000000000001E-2</v>
      </c>
      <c r="V40" s="163"/>
    </row>
    <row r="41" spans="1:31" ht="21.75" customHeight="1" x14ac:dyDescent="0.25">
      <c r="A41" s="124" t="str">
        <f>A40</f>
        <v>Obras Portuárias, Marítimas e Fluviais</v>
      </c>
      <c r="B41" s="169" t="s">
        <v>86</v>
      </c>
      <c r="C41" s="124" t="str">
        <f t="shared" si="1"/>
        <v>Obras Portuárias, Marítimas e Fluviais-R</v>
      </c>
      <c r="E41" s="170">
        <v>1.46E-2</v>
      </c>
      <c r="F41" s="170">
        <v>2.3199999999999998E-2</v>
      </c>
      <c r="G41" s="170">
        <v>3.1600000000000003E-2</v>
      </c>
      <c r="I41" s="164" t="str">
        <f>IF(V41,"X","")</f>
        <v/>
      </c>
      <c r="J41" s="461" t="s">
        <v>158</v>
      </c>
      <c r="K41" s="461"/>
      <c r="L41" s="461"/>
      <c r="M41" s="461"/>
      <c r="N41" s="461"/>
      <c r="O41" s="461"/>
      <c r="P41" s="461"/>
      <c r="Q41" s="461"/>
      <c r="R41" s="461"/>
      <c r="V41" s="163" t="b">
        <v>0</v>
      </c>
      <c r="W41" s="151" t="s">
        <v>159</v>
      </c>
    </row>
    <row r="42" spans="1:31" ht="7.5" customHeight="1" x14ac:dyDescent="0.25">
      <c r="B42" s="169"/>
      <c r="E42" s="170"/>
      <c r="F42" s="170"/>
      <c r="G42" s="170"/>
      <c r="V42" s="163"/>
    </row>
    <row r="43" spans="1:31" ht="18.75" customHeight="1" x14ac:dyDescent="0.25">
      <c r="B43" s="169"/>
      <c r="E43" s="170"/>
      <c r="F43" s="170"/>
      <c r="G43" s="170"/>
      <c r="I43" s="462" t="s">
        <v>96</v>
      </c>
      <c r="J43" s="462"/>
      <c r="K43" s="462"/>
      <c r="L43" s="462"/>
      <c r="M43" s="462"/>
      <c r="N43" s="462"/>
      <c r="O43" s="462"/>
      <c r="P43" s="462"/>
      <c r="Q43" s="462"/>
      <c r="R43" s="462"/>
    </row>
    <row r="44" spans="1:31" ht="30" customHeight="1" x14ac:dyDescent="0.25">
      <c r="A44" s="124" t="str">
        <f>A41</f>
        <v>Obras Portuárias, Marítimas e Fluviais</v>
      </c>
      <c r="B44" s="169" t="s">
        <v>87</v>
      </c>
      <c r="C44" s="124" t="str">
        <f>CONCATENATE(A44,"-",B44)</f>
        <v>Obras Portuárias, Marítimas e Fluviais-DF</v>
      </c>
      <c r="E44" s="170">
        <v>9.3999999999999986E-3</v>
      </c>
      <c r="F44" s="170">
        <v>1.0200000000000001E-2</v>
      </c>
      <c r="G44" s="170">
        <v>1.3300000000000001E-2</v>
      </c>
      <c r="I44" s="172"/>
      <c r="J44" s="172"/>
      <c r="K44" s="172"/>
      <c r="L44" s="463" t="str">
        <f>IF(Q23="Sim","BDI.DES =","BDI.PAD =")</f>
        <v>BDI.PAD =</v>
      </c>
      <c r="M44" s="464" t="str">
        <f>IF($I$23=$A$71,"(1+K1+K2)*(1+K3)","(1+AC + S + R + G)*(1 + DF)*(1+L)")</f>
        <v>(1+AC + S + R + G)*(1 + DF)*(1+L)</v>
      </c>
      <c r="N44" s="464"/>
      <c r="O44" s="464"/>
      <c r="P44" s="465" t="s">
        <v>97</v>
      </c>
      <c r="Q44" s="172"/>
      <c r="R44" s="172"/>
    </row>
    <row r="45" spans="1:31" ht="27" customHeight="1" x14ac:dyDescent="0.25">
      <c r="A45" s="124" t="str">
        <f>A44</f>
        <v>Obras Portuárias, Marítimas e Fluviais</v>
      </c>
      <c r="B45" s="169" t="s">
        <v>88</v>
      </c>
      <c r="C45" s="124" t="str">
        <f>CONCATENATE(A45,"-",B45)</f>
        <v>Obras Portuárias, Marítimas e Fluviais-L</v>
      </c>
      <c r="E45" s="170">
        <v>7.1399999999999991E-2</v>
      </c>
      <c r="F45" s="170">
        <v>8.4000000000000005E-2</v>
      </c>
      <c r="G45" s="170">
        <v>0.1043</v>
      </c>
      <c r="I45" s="172"/>
      <c r="J45" s="172"/>
      <c r="K45" s="172"/>
      <c r="L45" s="463"/>
      <c r="M45" s="467" t="str">
        <f>IF(Q23="Sim","(1-CP-ISS-CRPB)","(1-CP-ISS)")</f>
        <v>(1-CP-ISS)</v>
      </c>
      <c r="N45" s="467"/>
      <c r="O45" s="467"/>
      <c r="P45" s="466"/>
      <c r="Q45" s="172"/>
      <c r="R45" s="172"/>
    </row>
    <row r="46" spans="1:31" ht="7.5" customHeight="1" x14ac:dyDescent="0.25">
      <c r="A46" s="124" t="str">
        <f>A45</f>
        <v>Obras Portuárias, Marítimas e Fluviais</v>
      </c>
      <c r="B46" s="153" t="s">
        <v>92</v>
      </c>
      <c r="C46" s="124" t="str">
        <f>CONCATENATE(A46,"-",B46)</f>
        <v>Obras Portuárias, Marítimas e Fluviais-BDI PAD</v>
      </c>
      <c r="E46" s="170">
        <v>0.22800000000000001</v>
      </c>
      <c r="F46" s="170">
        <v>0.27479999999999999</v>
      </c>
      <c r="G46" s="170">
        <v>0.3095</v>
      </c>
      <c r="I46" s="173"/>
      <c r="J46" s="173"/>
      <c r="K46" s="173"/>
      <c r="L46" s="173"/>
      <c r="M46" s="173"/>
      <c r="N46" s="173"/>
      <c r="O46" s="173"/>
      <c r="P46" s="173"/>
      <c r="Q46" s="173"/>
      <c r="R46" s="173"/>
    </row>
    <row r="47" spans="1:31" ht="45" customHeight="1" x14ac:dyDescent="0.25">
      <c r="B47" s="153"/>
      <c r="E47" s="170"/>
      <c r="F47" s="170"/>
      <c r="G47" s="170"/>
      <c r="I47" s="457" t="str">
        <f>CONCATENATE("Declaro para os devidos fins que, conforme legislação tributária municipal, a base de cálculo para ",I23,", é de ",Q25*100,"%, com a respectiva alíquota de ",Q26*100,"%.")</f>
        <v>Declaro para os devidos fins que, conforme legislação tributária municipal, a base de cálculo para Fornecimento de Materiais e Equipamentos (aquisição indireta - em conjunto com licitação de obras), é de 50%, com a respectiva alíquota de 5%.</v>
      </c>
      <c r="J47" s="457"/>
      <c r="K47" s="457"/>
      <c r="L47" s="457"/>
      <c r="M47" s="457"/>
      <c r="N47" s="457"/>
      <c r="O47" s="457"/>
      <c r="P47" s="457"/>
      <c r="Q47" s="457"/>
      <c r="R47" s="457"/>
    </row>
    <row r="48" spans="1:31" ht="11.25" customHeight="1" x14ac:dyDescent="0.25">
      <c r="B48" s="153"/>
      <c r="E48" s="170"/>
      <c r="F48" s="170"/>
      <c r="G48" s="170"/>
    </row>
    <row r="49" spans="1:18" ht="52.5" customHeight="1" x14ac:dyDescent="0.25">
      <c r="B49" s="153"/>
      <c r="E49" s="170"/>
      <c r="F49" s="170"/>
      <c r="G49" s="170"/>
      <c r="I49" s="457" t="str">
        <f>CONCATENATE("Declaro para os devidos fins que o regime de Contribuição Previdenciária sobre a Receita Bruta adotado para elaboração do orçamento foi ",IF(Q23="Sim","COM","SEM"),"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J49" s="457"/>
      <c r="K49" s="457"/>
      <c r="L49" s="457"/>
      <c r="M49" s="457"/>
      <c r="N49" s="457"/>
      <c r="O49" s="457"/>
      <c r="P49" s="457"/>
      <c r="Q49" s="457"/>
      <c r="R49" s="457"/>
    </row>
    <row r="50" spans="1:18" ht="18" customHeight="1" x14ac:dyDescent="0.25">
      <c r="A50" s="124" t="s">
        <v>137</v>
      </c>
      <c r="B50" s="169" t="s">
        <v>84</v>
      </c>
      <c r="C50" s="124" t="str">
        <f t="shared" ref="C50:C61" si="2">CONCATENATE(A50,"-",B50)</f>
        <v>Fornecimento de Materiais e Equipamentos (aquisição indireta - em conjunto com licitação de obras)-AC</v>
      </c>
      <c r="E50" s="170">
        <v>1.4999999999999999E-2</v>
      </c>
      <c r="F50" s="170">
        <v>3.4500000000000003E-2</v>
      </c>
      <c r="G50" s="170">
        <v>4.4900000000000002E-2</v>
      </c>
    </row>
    <row r="51" spans="1:18" ht="13.2" x14ac:dyDescent="0.25">
      <c r="A51" s="124" t="str">
        <f>A50</f>
        <v>Fornecimento de Materiais e Equipamentos (aquisição indireta - em conjunto com licitação de obras)</v>
      </c>
      <c r="B51" s="169" t="s">
        <v>85</v>
      </c>
      <c r="C51" s="124" t="str">
        <f t="shared" si="2"/>
        <v>Fornecimento de Materiais e Equipamentos (aquisição indireta - em conjunto com licitação de obras)-SG</v>
      </c>
      <c r="E51" s="170">
        <v>3.0000000000000001E-3</v>
      </c>
      <c r="F51" s="170">
        <v>4.7999999999999996E-3</v>
      </c>
      <c r="G51" s="170">
        <v>8.199999999999999E-3</v>
      </c>
      <c r="I51" s="124" t="s">
        <v>98</v>
      </c>
    </row>
    <row r="52" spans="1:18" ht="42.75" customHeight="1" x14ac:dyDescent="0.25">
      <c r="A52" s="124" t="str">
        <f>A51</f>
        <v>Fornecimento de Materiais e Equipamentos (aquisição indireta - em conjunto com licitação de obras)</v>
      </c>
      <c r="B52" s="169" t="s">
        <v>86</v>
      </c>
      <c r="C52" s="124" t="str">
        <f t="shared" si="2"/>
        <v>Fornecimento de Materiais e Equipamentos (aquisição indireta - em conjunto com licitação de obras)-R</v>
      </c>
      <c r="E52" s="170">
        <v>5.6000000000000008E-3</v>
      </c>
      <c r="F52" s="170">
        <v>8.5000000000000006E-3</v>
      </c>
      <c r="G52" s="170">
        <v>8.8999999999999999E-3</v>
      </c>
      <c r="I52" s="469"/>
      <c r="J52" s="470"/>
      <c r="K52" s="470"/>
      <c r="L52" s="470"/>
      <c r="M52" s="470"/>
      <c r="N52" s="470"/>
      <c r="O52" s="470"/>
      <c r="P52" s="470"/>
      <c r="Q52" s="470"/>
      <c r="R52" s="471"/>
    </row>
    <row r="53" spans="1:18" ht="16.5" customHeight="1" x14ac:dyDescent="0.25">
      <c r="A53" s="124" t="str">
        <f>A52</f>
        <v>Fornecimento de Materiais e Equipamentos (aquisição indireta - em conjunto com licitação de obras)</v>
      </c>
      <c r="B53" s="169" t="s">
        <v>87</v>
      </c>
      <c r="C53" s="124" t="str">
        <f t="shared" si="2"/>
        <v>Fornecimento de Materiais e Equipamentos (aquisição indireta - em conjunto com licitação de obras)-DF</v>
      </c>
      <c r="E53" s="170">
        <v>8.5000000000000006E-3</v>
      </c>
      <c r="F53" s="170">
        <v>8.5000000000000006E-3</v>
      </c>
      <c r="G53" s="170">
        <v>1.11E-2</v>
      </c>
    </row>
    <row r="54" spans="1:18" ht="13.2" x14ac:dyDescent="0.25">
      <c r="A54" s="124" t="str">
        <f>A53</f>
        <v>Fornecimento de Materiais e Equipamentos (aquisição indireta - em conjunto com licitação de obras)</v>
      </c>
      <c r="B54" s="169" t="s">
        <v>88</v>
      </c>
      <c r="C54" s="124" t="str">
        <f t="shared" si="2"/>
        <v>Fornecimento de Materiais e Equipamentos (aquisição indireta - em conjunto com licitação de obras)-L</v>
      </c>
      <c r="E54" s="170">
        <v>3.5000000000000003E-2</v>
      </c>
      <c r="F54" s="170">
        <v>5.1100000000000007E-2</v>
      </c>
      <c r="G54" s="170">
        <v>6.2199999999999998E-2</v>
      </c>
      <c r="I54" s="472" t="str">
        <f>DADOS!B5</f>
        <v>SÃO FELIPE/BA</v>
      </c>
      <c r="J54" s="472"/>
      <c r="K54" s="472"/>
      <c r="L54" s="472"/>
      <c r="O54" s="473">
        <f ca="1">DADOS!B18</f>
        <v>45812</v>
      </c>
      <c r="P54" s="473"/>
      <c r="Q54" s="473"/>
      <c r="R54" s="473"/>
    </row>
    <row r="55" spans="1:18" ht="15" customHeight="1" x14ac:dyDescent="0.25">
      <c r="A55" s="124" t="str">
        <f>A54</f>
        <v>Fornecimento de Materiais e Equipamentos (aquisição indireta - em conjunto com licitação de obras)</v>
      </c>
      <c r="B55" s="153" t="s">
        <v>92</v>
      </c>
      <c r="C55" s="124" t="str">
        <f t="shared" si="2"/>
        <v>Fornecimento de Materiais e Equipamentos (aquisição indireta - em conjunto com licitação de obras)-BDI PAD</v>
      </c>
      <c r="E55" s="170">
        <v>0.111</v>
      </c>
      <c r="F55" s="170">
        <v>0.14019999999999999</v>
      </c>
      <c r="G55" s="170">
        <v>0.16800000000000001</v>
      </c>
      <c r="I55" s="474" t="s">
        <v>20</v>
      </c>
      <c r="J55" s="474"/>
      <c r="K55" s="474"/>
      <c r="L55" s="474"/>
      <c r="N55" s="174"/>
      <c r="O55" s="175" t="s">
        <v>21</v>
      </c>
      <c r="P55" s="176"/>
      <c r="Q55" s="176"/>
      <c r="R55" s="176"/>
    </row>
    <row r="56" spans="1:18" ht="13.2" x14ac:dyDescent="0.25">
      <c r="A56" s="124" t="s">
        <v>160</v>
      </c>
      <c r="B56" s="169" t="s">
        <v>161</v>
      </c>
      <c r="C56" s="124" t="str">
        <f t="shared" si="2"/>
        <v>Estudos e Projetos, Planos e Gerenciamento e outros correlatos-K1</v>
      </c>
      <c r="E56" s="170" t="s">
        <v>151</v>
      </c>
      <c r="F56" s="170" t="s">
        <v>151</v>
      </c>
      <c r="G56" s="170" t="s">
        <v>151</v>
      </c>
    </row>
    <row r="57" spans="1:18" ht="30" customHeight="1" x14ac:dyDescent="0.25">
      <c r="A57" s="124" t="str">
        <f>A56</f>
        <v>Estudos e Projetos, Planos e Gerenciamento e outros correlatos</v>
      </c>
      <c r="B57" s="169" t="s">
        <v>162</v>
      </c>
      <c r="C57" s="124" t="str">
        <f t="shared" si="2"/>
        <v>Estudos e Projetos, Planos e Gerenciamento e outros correlatos-K2</v>
      </c>
      <c r="E57" s="170" t="s">
        <v>151</v>
      </c>
      <c r="F57" s="170">
        <v>0.2</v>
      </c>
      <c r="G57" s="170" t="s">
        <v>151</v>
      </c>
      <c r="I57" s="475"/>
      <c r="J57" s="475"/>
      <c r="K57" s="475"/>
      <c r="L57" s="475"/>
      <c r="M57" s="177"/>
      <c r="N57" s="177"/>
      <c r="O57" s="165"/>
      <c r="P57" s="165"/>
      <c r="Q57" s="165"/>
      <c r="R57" s="165"/>
    </row>
    <row r="58" spans="1:18" ht="13.2" x14ac:dyDescent="0.25">
      <c r="A58" s="124" t="str">
        <f>A57</f>
        <v>Estudos e Projetos, Planos e Gerenciamento e outros correlatos</v>
      </c>
      <c r="B58" s="169" t="s">
        <v>163</v>
      </c>
      <c r="C58" s="124" t="str">
        <f t="shared" si="2"/>
        <v>Estudos e Projetos, Planos e Gerenciamento e outros correlatos-</v>
      </c>
      <c r="E58" s="170" t="s">
        <v>151</v>
      </c>
      <c r="F58" s="170" t="s">
        <v>151</v>
      </c>
      <c r="G58" s="170" t="s">
        <v>151</v>
      </c>
      <c r="I58" s="476" t="s">
        <v>23</v>
      </c>
      <c r="J58" s="476"/>
      <c r="K58" s="476"/>
      <c r="L58" s="476"/>
    </row>
    <row r="59" spans="1:18" ht="13.8" x14ac:dyDescent="0.25">
      <c r="A59" s="124" t="str">
        <f>A58</f>
        <v>Estudos e Projetos, Planos e Gerenciamento e outros correlatos</v>
      </c>
      <c r="B59" s="169" t="s">
        <v>163</v>
      </c>
      <c r="C59" s="124" t="str">
        <f t="shared" si="2"/>
        <v>Estudos e Projetos, Planos e Gerenciamento e outros correlatos-</v>
      </c>
      <c r="E59" s="170" t="s">
        <v>151</v>
      </c>
      <c r="F59" s="170" t="s">
        <v>151</v>
      </c>
      <c r="G59" s="170" t="s">
        <v>151</v>
      </c>
      <c r="I59" s="178" t="s">
        <v>22</v>
      </c>
      <c r="J59" s="468" t="str">
        <f>DADOS!B15</f>
        <v>Eliabe Vitória Souza</v>
      </c>
      <c r="K59" s="468"/>
      <c r="L59" s="468"/>
      <c r="M59" s="177"/>
      <c r="N59" s="177"/>
    </row>
    <row r="60" spans="1:18" ht="13.8" x14ac:dyDescent="0.25">
      <c r="A60" s="124" t="str">
        <f>A59</f>
        <v>Estudos e Projetos, Planos e Gerenciamento e outros correlatos</v>
      </c>
      <c r="B60" s="169" t="s">
        <v>164</v>
      </c>
      <c r="C60" s="124" t="str">
        <f t="shared" si="2"/>
        <v>Estudos e Projetos, Planos e Gerenciamento e outros correlatos-K3</v>
      </c>
      <c r="E60" s="170" t="s">
        <v>151</v>
      </c>
      <c r="F60" s="170">
        <v>0.12</v>
      </c>
      <c r="G60" s="170" t="s">
        <v>151</v>
      </c>
      <c r="I60" s="178" t="s">
        <v>24</v>
      </c>
      <c r="J60" s="468" t="str">
        <f>DADOS!B16</f>
        <v>Engenheiro Civil</v>
      </c>
      <c r="K60" s="468"/>
      <c r="L60" s="468"/>
      <c r="M60" s="177"/>
      <c r="N60" s="177"/>
    </row>
    <row r="61" spans="1:18" ht="13.8" x14ac:dyDescent="0.25">
      <c r="A61" s="124" t="str">
        <f>A60</f>
        <v>Estudos e Projetos, Planos e Gerenciamento e outros correlatos</v>
      </c>
      <c r="B61" s="153" t="s">
        <v>92</v>
      </c>
      <c r="C61" s="124" t="str">
        <f t="shared" si="2"/>
        <v>Estudos e Projetos, Planos e Gerenciamento e outros correlatos-BDI PAD</v>
      </c>
      <c r="E61" s="170" t="s">
        <v>151</v>
      </c>
      <c r="F61" s="170" t="s">
        <v>151</v>
      </c>
      <c r="G61" s="170" t="s">
        <v>151</v>
      </c>
      <c r="I61" s="178" t="s">
        <v>25</v>
      </c>
      <c r="J61" s="468" t="str">
        <f>DADOS!B17</f>
        <v>CREA/BA:051487735-9</v>
      </c>
      <c r="K61" s="468"/>
      <c r="L61" s="468"/>
      <c r="M61" s="177"/>
      <c r="N61" s="177"/>
    </row>
    <row r="62" spans="1:18" ht="13.2" x14ac:dyDescent="0.25">
      <c r="I62" s="178"/>
      <c r="J62" s="468">
        <v>0</v>
      </c>
      <c r="K62" s="468"/>
      <c r="L62" s="468"/>
    </row>
    <row r="63" spans="1:18" ht="13.2" x14ac:dyDescent="0.25"/>
    <row r="64" spans="1:18" ht="13.2" hidden="1" x14ac:dyDescent="0.25">
      <c r="A64" s="124" t="s">
        <v>102</v>
      </c>
    </row>
    <row r="65" spans="1:7" ht="13.2" hidden="1" x14ac:dyDescent="0.25">
      <c r="A65" s="124" t="s">
        <v>103</v>
      </c>
    </row>
    <row r="66" spans="1:7" ht="13.2" hidden="1" x14ac:dyDescent="0.25">
      <c r="A66" s="124" t="s">
        <v>146</v>
      </c>
    </row>
    <row r="67" spans="1:7" ht="13.2" hidden="1" x14ac:dyDescent="0.25">
      <c r="A67" s="124" t="s">
        <v>152</v>
      </c>
    </row>
    <row r="68" spans="1:7" ht="13.2" hidden="1" x14ac:dyDescent="0.25">
      <c r="A68" s="124" t="s">
        <v>154</v>
      </c>
    </row>
    <row r="69" spans="1:7" ht="13.2" hidden="1" x14ac:dyDescent="0.25">
      <c r="A69" s="124" t="s">
        <v>137</v>
      </c>
    </row>
    <row r="70" spans="1:7" ht="13.2" hidden="1" x14ac:dyDescent="0.25">
      <c r="A70" s="124" t="s">
        <v>165</v>
      </c>
    </row>
    <row r="71" spans="1:7" ht="13.2" hidden="1" x14ac:dyDescent="0.25">
      <c r="A71" s="124" t="s">
        <v>160</v>
      </c>
    </row>
    <row r="72" spans="1:7" ht="13.8" hidden="1" x14ac:dyDescent="0.25">
      <c r="A72" s="177"/>
      <c r="B72" s="177"/>
      <c r="C72" s="177"/>
      <c r="D72" s="177"/>
      <c r="E72" s="177"/>
      <c r="F72" s="177"/>
      <c r="G72" s="177"/>
    </row>
  </sheetData>
  <mergeCells count="64">
    <mergeCell ref="I8:R8"/>
    <mergeCell ref="I4:J4"/>
    <mergeCell ref="K4:R4"/>
    <mergeCell ref="I5:J5"/>
    <mergeCell ref="K5:R5"/>
    <mergeCell ref="I6:R6"/>
    <mergeCell ref="I9:R9"/>
    <mergeCell ref="I11:R11"/>
    <mergeCell ref="I12:R12"/>
    <mergeCell ref="I13:Q13"/>
    <mergeCell ref="I15:M15"/>
    <mergeCell ref="N15:R15"/>
    <mergeCell ref="I25:P25"/>
    <mergeCell ref="Q25:R25"/>
    <mergeCell ref="I16:M16"/>
    <mergeCell ref="N16:R16"/>
    <mergeCell ref="I17:M17"/>
    <mergeCell ref="N17:R17"/>
    <mergeCell ref="I18:M18"/>
    <mergeCell ref="N18:R18"/>
    <mergeCell ref="I20:R20"/>
    <mergeCell ref="I22:P22"/>
    <mergeCell ref="Q22:R22"/>
    <mergeCell ref="I23:P23"/>
    <mergeCell ref="Q23:R23"/>
    <mergeCell ref="I26:P26"/>
    <mergeCell ref="Q26:R26"/>
    <mergeCell ref="I28:L29"/>
    <mergeCell ref="M28:M29"/>
    <mergeCell ref="N28:N29"/>
    <mergeCell ref="O28:O29"/>
    <mergeCell ref="P28:P29"/>
    <mergeCell ref="Q28:Q29"/>
    <mergeCell ref="R28:R29"/>
    <mergeCell ref="T28:U36"/>
    <mergeCell ref="I30:L30"/>
    <mergeCell ref="I31:L31"/>
    <mergeCell ref="I32:L32"/>
    <mergeCell ref="I33:L33"/>
    <mergeCell ref="I34:L34"/>
    <mergeCell ref="I35:L35"/>
    <mergeCell ref="I36:L36"/>
    <mergeCell ref="I49:R49"/>
    <mergeCell ref="I37:L37"/>
    <mergeCell ref="I38:L38"/>
    <mergeCell ref="I39:L39"/>
    <mergeCell ref="P39:R39"/>
    <mergeCell ref="J41:R41"/>
    <mergeCell ref="I43:R43"/>
    <mergeCell ref="L44:L45"/>
    <mergeCell ref="M44:O44"/>
    <mergeCell ref="P44:P45"/>
    <mergeCell ref="M45:O45"/>
    <mergeCell ref="I47:R47"/>
    <mergeCell ref="J59:L59"/>
    <mergeCell ref="J60:L60"/>
    <mergeCell ref="J61:L61"/>
    <mergeCell ref="J62:L62"/>
    <mergeCell ref="I52:R52"/>
    <mergeCell ref="I54:L54"/>
    <mergeCell ref="O54:R54"/>
    <mergeCell ref="I55:L55"/>
    <mergeCell ref="I57:L57"/>
    <mergeCell ref="I58:L58"/>
  </mergeCells>
  <conditionalFormatting sqref="I38:N38">
    <cfRule type="expression" dxfId="7" priority="6" stopIfTrue="1">
      <formula>$Q$23="Não"</formula>
    </cfRule>
  </conditionalFormatting>
  <conditionalFormatting sqref="I39:N39">
    <cfRule type="expression" dxfId="6" priority="5" stopIfTrue="1">
      <formula>$Q$23="sim"</formula>
    </cfRule>
  </conditionalFormatting>
  <conditionalFormatting sqref="I41:R41">
    <cfRule type="expression" dxfId="5" priority="2" stopIfTrue="1">
      <formula>AND(NOT($V$39),NOT($V$41))</formula>
    </cfRule>
  </conditionalFormatting>
  <conditionalFormatting sqref="O30:O39">
    <cfRule type="expression" dxfId="4" priority="7" stopIfTrue="1">
      <formula>AND(O30&lt;&gt;"OK",O30&lt;&gt;"-",O30&lt;&gt;"")</formula>
    </cfRule>
    <cfRule type="cellIs" dxfId="3" priority="8" stopIfTrue="1" operator="equal">
      <formula>"OK"</formula>
    </cfRule>
  </conditionalFormatting>
  <conditionalFormatting sqref="O54">
    <cfRule type="expression" dxfId="2" priority="3" stopIfTrue="1">
      <formula>$O$54=""</formula>
    </cfRule>
  </conditionalFormatting>
  <conditionalFormatting sqref="P30:R38">
    <cfRule type="expression" dxfId="1" priority="1" stopIfTrue="1">
      <formula>$I$23=$A$70</formula>
    </cfRule>
  </conditionalFormatting>
  <conditionalFormatting sqref="P39:R39">
    <cfRule type="expression" dxfId="0" priority="4" stopIfTrue="1">
      <formula>$Q$23="sim"</formula>
    </cfRule>
  </conditionalFormatting>
  <dataValidations count="6">
    <dataValidation type="decimal" allowBlank="1" showInputMessage="1" showErrorMessage="1" errorTitle="Erro de valores" error="Digite um valor entre 0% e 100%" sqref="N30:N35" xr:uid="{3BFE1193-FFC4-4DB5-9DCB-718EB14B085F}">
      <formula1>0</formula1>
      <formula2>1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Q26:R26" xr:uid="{AE97DAC4-3A2F-4A8C-8353-29395E4F6538}">
      <formula1>0</formula1>
    </dataValidation>
    <dataValidation type="decimal" allowBlank="1" showInputMessage="1" showErrorMessage="1" errorTitle="Valor não permitido" error="Digite um percentual entre 0% e 100%." promptTitle="Valores admissíveis:" prompt="Insira valores entre 0 e 100%." sqref="Q25:R25" xr:uid="{079DCC9B-93F6-4A78-B0F8-299D6F2ED8B9}">
      <formula1>0</formula1>
      <formula2>1</formula2>
    </dataValidation>
    <dataValidation type="decimal" allowBlank="1" showInputMessage="1" showErrorMessage="1" errorTitle="Erro de valores" error="Digite um valor maior do que 0." sqref="N36" xr:uid="{2340F424-7C1D-4E20-8B53-117E02ECD923}">
      <formula1>0</formula1>
      <formula2>1</formula2>
    </dataValidation>
    <dataValidation operator="greaterThanOrEqual" allowBlank="1" showInputMessage="1" showErrorMessage="1" errorTitle="Erro de valores" error="Digite um valor igual a 0% ou 2%." sqref="N37" xr:uid="{D96F3036-D2B5-4D79-B461-40B0A47D9A4E}"/>
    <dataValidation type="list" allowBlank="1" showInputMessage="1" showErrorMessage="1" sqref="I23:P23" xr:uid="{B70854DA-383C-4B82-8160-1CA30A9E6EC8}">
      <formula1>$A$64:$A$71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8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ilha9">
    <pageSetUpPr fitToPage="1"/>
  </sheetPr>
  <dimension ref="A1:IV489"/>
  <sheetViews>
    <sheetView topLeftCell="A86" zoomScaleNormal="100" workbookViewId="0">
      <selection activeCell="M109" sqref="M109"/>
    </sheetView>
  </sheetViews>
  <sheetFormatPr defaultRowHeight="13.2" x14ac:dyDescent="0.25"/>
  <cols>
    <col min="1" max="1" width="9.109375" style="349" customWidth="1"/>
    <col min="2" max="2" width="9.88671875" style="349" customWidth="1"/>
    <col min="3" max="3" width="66.33203125" style="339" customWidth="1"/>
    <col min="4" max="4" width="11.88671875" style="348" customWidth="1"/>
    <col min="5" max="5" width="15.33203125" style="348" customWidth="1"/>
    <col min="6" max="6" width="13" style="350" customWidth="1"/>
    <col min="7" max="7" width="13.109375" style="350" customWidth="1"/>
    <col min="8" max="8" width="14.6640625" style="350" customWidth="1"/>
    <col min="9" max="9" width="14.33203125" style="350" customWidth="1"/>
    <col min="10" max="10" width="15.88671875" style="350" customWidth="1"/>
    <col min="11" max="11" width="11.33203125" style="350" customWidth="1"/>
    <col min="12" max="12" width="19.44140625" style="124" hidden="1" customWidth="1"/>
    <col min="13" max="13" width="11.88671875" style="151" customWidth="1"/>
    <col min="14" max="14" width="12.6640625" style="151" customWidth="1"/>
    <col min="15" max="15" width="18.21875" style="151" bestFit="1" customWidth="1"/>
    <col min="16" max="16" width="12" style="151" customWidth="1"/>
    <col min="17" max="17" width="15.6640625" style="151" customWidth="1"/>
    <col min="18" max="18" width="13" style="151" bestFit="1" customWidth="1"/>
    <col min="19" max="19" width="10.6640625" style="151" customWidth="1"/>
    <col min="20" max="251" width="8.88671875" style="151"/>
    <col min="252" max="252" width="7.33203125" style="151" customWidth="1"/>
    <col min="253" max="253" width="6.6640625" style="151" customWidth="1"/>
    <col min="254" max="254" width="34.6640625" style="151" customWidth="1"/>
    <col min="255" max="255" width="8.5546875" style="151" customWidth="1"/>
    <col min="256" max="256" width="9.5546875" style="151" customWidth="1"/>
    <col min="257" max="257" width="8.88671875" style="151"/>
    <col min="258" max="258" width="11" style="151" customWidth="1"/>
    <col min="259" max="259" width="11.109375" style="151" customWidth="1"/>
    <col min="260" max="260" width="12" style="151" customWidth="1"/>
    <col min="261" max="261" width="11.44140625" style="151" customWidth="1"/>
    <col min="262" max="262" width="9.5546875" style="151" customWidth="1"/>
    <col min="263" max="263" width="25.5546875" style="151" customWidth="1"/>
    <col min="264" max="264" width="16.6640625" style="151" customWidth="1"/>
    <col min="265" max="265" width="8.88671875" style="151"/>
    <col min="266" max="266" width="12.5546875" style="151" customWidth="1"/>
    <col min="267" max="267" width="12.33203125" style="151" customWidth="1"/>
    <col min="268" max="269" width="11.44140625" style="151" bestFit="1" customWidth="1"/>
    <col min="270" max="507" width="8.88671875" style="151"/>
    <col min="508" max="508" width="7.33203125" style="151" customWidth="1"/>
    <col min="509" max="509" width="6.6640625" style="151" customWidth="1"/>
    <col min="510" max="510" width="34.6640625" style="151" customWidth="1"/>
    <col min="511" max="511" width="8.5546875" style="151" customWidth="1"/>
    <col min="512" max="512" width="9.5546875" style="151" customWidth="1"/>
    <col min="513" max="513" width="8.88671875" style="151"/>
    <col min="514" max="514" width="11" style="151" customWidth="1"/>
    <col min="515" max="515" width="11.109375" style="151" customWidth="1"/>
    <col min="516" max="516" width="12" style="151" customWidth="1"/>
    <col min="517" max="517" width="11.44140625" style="151" customWidth="1"/>
    <col min="518" max="518" width="9.5546875" style="151" customWidth="1"/>
    <col min="519" max="519" width="25.5546875" style="151" customWidth="1"/>
    <col min="520" max="520" width="16.6640625" style="151" customWidth="1"/>
    <col min="521" max="521" width="8.88671875" style="151"/>
    <col min="522" max="522" width="12.5546875" style="151" customWidth="1"/>
    <col min="523" max="523" width="12.33203125" style="151" customWidth="1"/>
    <col min="524" max="525" width="11.44140625" style="151" bestFit="1" customWidth="1"/>
    <col min="526" max="763" width="8.88671875" style="151"/>
    <col min="764" max="764" width="7.33203125" style="151" customWidth="1"/>
    <col min="765" max="765" width="6.6640625" style="151" customWidth="1"/>
    <col min="766" max="766" width="34.6640625" style="151" customWidth="1"/>
    <col min="767" max="767" width="8.5546875" style="151" customWidth="1"/>
    <col min="768" max="768" width="9.5546875" style="151" customWidth="1"/>
    <col min="769" max="769" width="8.88671875" style="151"/>
    <col min="770" max="770" width="11" style="151" customWidth="1"/>
    <col min="771" max="771" width="11.109375" style="151" customWidth="1"/>
    <col min="772" max="772" width="12" style="151" customWidth="1"/>
    <col min="773" max="773" width="11.44140625" style="151" customWidth="1"/>
    <col min="774" max="774" width="9.5546875" style="151" customWidth="1"/>
    <col min="775" max="775" width="25.5546875" style="151" customWidth="1"/>
    <col min="776" max="776" width="16.6640625" style="151" customWidth="1"/>
    <col min="777" max="777" width="8.88671875" style="151"/>
    <col min="778" max="778" width="12.5546875" style="151" customWidth="1"/>
    <col min="779" max="779" width="12.33203125" style="151" customWidth="1"/>
    <col min="780" max="781" width="11.44140625" style="151" bestFit="1" customWidth="1"/>
    <col min="782" max="1019" width="8.88671875" style="151"/>
    <col min="1020" max="1020" width="7.33203125" style="151" customWidth="1"/>
    <col min="1021" max="1021" width="6.6640625" style="151" customWidth="1"/>
    <col min="1022" max="1022" width="34.6640625" style="151" customWidth="1"/>
    <col min="1023" max="1023" width="8.5546875" style="151" customWidth="1"/>
    <col min="1024" max="1024" width="9.5546875" style="151" customWidth="1"/>
    <col min="1025" max="1025" width="8.88671875" style="151"/>
    <col min="1026" max="1026" width="11" style="151" customWidth="1"/>
    <col min="1027" max="1027" width="11.109375" style="151" customWidth="1"/>
    <col min="1028" max="1028" width="12" style="151" customWidth="1"/>
    <col min="1029" max="1029" width="11.44140625" style="151" customWidth="1"/>
    <col min="1030" max="1030" width="9.5546875" style="151" customWidth="1"/>
    <col min="1031" max="1031" width="25.5546875" style="151" customWidth="1"/>
    <col min="1032" max="1032" width="16.6640625" style="151" customWidth="1"/>
    <col min="1033" max="1033" width="8.88671875" style="151"/>
    <col min="1034" max="1034" width="12.5546875" style="151" customWidth="1"/>
    <col min="1035" max="1035" width="12.33203125" style="151" customWidth="1"/>
    <col min="1036" max="1037" width="11.44140625" style="151" bestFit="1" customWidth="1"/>
    <col min="1038" max="1275" width="8.88671875" style="151"/>
    <col min="1276" max="1276" width="7.33203125" style="151" customWidth="1"/>
    <col min="1277" max="1277" width="6.6640625" style="151" customWidth="1"/>
    <col min="1278" max="1278" width="34.6640625" style="151" customWidth="1"/>
    <col min="1279" max="1279" width="8.5546875" style="151" customWidth="1"/>
    <col min="1280" max="1280" width="9.5546875" style="151" customWidth="1"/>
    <col min="1281" max="1281" width="8.88671875" style="151"/>
    <col min="1282" max="1282" width="11" style="151" customWidth="1"/>
    <col min="1283" max="1283" width="11.109375" style="151" customWidth="1"/>
    <col min="1284" max="1284" width="12" style="151" customWidth="1"/>
    <col min="1285" max="1285" width="11.44140625" style="151" customWidth="1"/>
    <col min="1286" max="1286" width="9.5546875" style="151" customWidth="1"/>
    <col min="1287" max="1287" width="25.5546875" style="151" customWidth="1"/>
    <col min="1288" max="1288" width="16.6640625" style="151" customWidth="1"/>
    <col min="1289" max="1289" width="8.88671875" style="151"/>
    <col min="1290" max="1290" width="12.5546875" style="151" customWidth="1"/>
    <col min="1291" max="1291" width="12.33203125" style="151" customWidth="1"/>
    <col min="1292" max="1293" width="11.44140625" style="151" bestFit="1" customWidth="1"/>
    <col min="1294" max="1531" width="8.88671875" style="151"/>
    <col min="1532" max="1532" width="7.33203125" style="151" customWidth="1"/>
    <col min="1533" max="1533" width="6.6640625" style="151" customWidth="1"/>
    <col min="1534" max="1534" width="34.6640625" style="151" customWidth="1"/>
    <col min="1535" max="1535" width="8.5546875" style="151" customWidth="1"/>
    <col min="1536" max="1536" width="9.5546875" style="151" customWidth="1"/>
    <col min="1537" max="1537" width="8.88671875" style="151"/>
    <col min="1538" max="1538" width="11" style="151" customWidth="1"/>
    <col min="1539" max="1539" width="11.109375" style="151" customWidth="1"/>
    <col min="1540" max="1540" width="12" style="151" customWidth="1"/>
    <col min="1541" max="1541" width="11.44140625" style="151" customWidth="1"/>
    <col min="1542" max="1542" width="9.5546875" style="151" customWidth="1"/>
    <col min="1543" max="1543" width="25.5546875" style="151" customWidth="1"/>
    <col min="1544" max="1544" width="16.6640625" style="151" customWidth="1"/>
    <col min="1545" max="1545" width="8.88671875" style="151"/>
    <col min="1546" max="1546" width="12.5546875" style="151" customWidth="1"/>
    <col min="1547" max="1547" width="12.33203125" style="151" customWidth="1"/>
    <col min="1548" max="1549" width="11.44140625" style="151" bestFit="1" customWidth="1"/>
    <col min="1550" max="1787" width="8.88671875" style="151"/>
    <col min="1788" max="1788" width="7.33203125" style="151" customWidth="1"/>
    <col min="1789" max="1789" width="6.6640625" style="151" customWidth="1"/>
    <col min="1790" max="1790" width="34.6640625" style="151" customWidth="1"/>
    <col min="1791" max="1791" width="8.5546875" style="151" customWidth="1"/>
    <col min="1792" max="1792" width="9.5546875" style="151" customWidth="1"/>
    <col min="1793" max="1793" width="8.88671875" style="151"/>
    <col min="1794" max="1794" width="11" style="151" customWidth="1"/>
    <col min="1795" max="1795" width="11.109375" style="151" customWidth="1"/>
    <col min="1796" max="1796" width="12" style="151" customWidth="1"/>
    <col min="1797" max="1797" width="11.44140625" style="151" customWidth="1"/>
    <col min="1798" max="1798" width="9.5546875" style="151" customWidth="1"/>
    <col min="1799" max="1799" width="25.5546875" style="151" customWidth="1"/>
    <col min="1800" max="1800" width="16.6640625" style="151" customWidth="1"/>
    <col min="1801" max="1801" width="8.88671875" style="151"/>
    <col min="1802" max="1802" width="12.5546875" style="151" customWidth="1"/>
    <col min="1803" max="1803" width="12.33203125" style="151" customWidth="1"/>
    <col min="1804" max="1805" width="11.44140625" style="151" bestFit="1" customWidth="1"/>
    <col min="1806" max="2043" width="8.88671875" style="151"/>
    <col min="2044" max="2044" width="7.33203125" style="151" customWidth="1"/>
    <col min="2045" max="2045" width="6.6640625" style="151" customWidth="1"/>
    <col min="2046" max="2046" width="34.6640625" style="151" customWidth="1"/>
    <col min="2047" max="2047" width="8.5546875" style="151" customWidth="1"/>
    <col min="2048" max="2048" width="9.5546875" style="151" customWidth="1"/>
    <col min="2049" max="2049" width="8.88671875" style="151"/>
    <col min="2050" max="2050" width="11" style="151" customWidth="1"/>
    <col min="2051" max="2051" width="11.109375" style="151" customWidth="1"/>
    <col min="2052" max="2052" width="12" style="151" customWidth="1"/>
    <col min="2053" max="2053" width="11.44140625" style="151" customWidth="1"/>
    <col min="2054" max="2054" width="9.5546875" style="151" customWidth="1"/>
    <col min="2055" max="2055" width="25.5546875" style="151" customWidth="1"/>
    <col min="2056" max="2056" width="16.6640625" style="151" customWidth="1"/>
    <col min="2057" max="2057" width="8.88671875" style="151"/>
    <col min="2058" max="2058" width="12.5546875" style="151" customWidth="1"/>
    <col min="2059" max="2059" width="12.33203125" style="151" customWidth="1"/>
    <col min="2060" max="2061" width="11.44140625" style="151" bestFit="1" customWidth="1"/>
    <col min="2062" max="2299" width="8.88671875" style="151"/>
    <col min="2300" max="2300" width="7.33203125" style="151" customWidth="1"/>
    <col min="2301" max="2301" width="6.6640625" style="151" customWidth="1"/>
    <col min="2302" max="2302" width="34.6640625" style="151" customWidth="1"/>
    <col min="2303" max="2303" width="8.5546875" style="151" customWidth="1"/>
    <col min="2304" max="2304" width="9.5546875" style="151" customWidth="1"/>
    <col min="2305" max="2305" width="8.88671875" style="151"/>
    <col min="2306" max="2306" width="11" style="151" customWidth="1"/>
    <col min="2307" max="2307" width="11.109375" style="151" customWidth="1"/>
    <col min="2308" max="2308" width="12" style="151" customWidth="1"/>
    <col min="2309" max="2309" width="11.44140625" style="151" customWidth="1"/>
    <col min="2310" max="2310" width="9.5546875" style="151" customWidth="1"/>
    <col min="2311" max="2311" width="25.5546875" style="151" customWidth="1"/>
    <col min="2312" max="2312" width="16.6640625" style="151" customWidth="1"/>
    <col min="2313" max="2313" width="8.88671875" style="151"/>
    <col min="2314" max="2314" width="12.5546875" style="151" customWidth="1"/>
    <col min="2315" max="2315" width="12.33203125" style="151" customWidth="1"/>
    <col min="2316" max="2317" width="11.44140625" style="151" bestFit="1" customWidth="1"/>
    <col min="2318" max="2555" width="8.88671875" style="151"/>
    <col min="2556" max="2556" width="7.33203125" style="151" customWidth="1"/>
    <col min="2557" max="2557" width="6.6640625" style="151" customWidth="1"/>
    <col min="2558" max="2558" width="34.6640625" style="151" customWidth="1"/>
    <col min="2559" max="2559" width="8.5546875" style="151" customWidth="1"/>
    <col min="2560" max="2560" width="9.5546875" style="151" customWidth="1"/>
    <col min="2561" max="2561" width="8.88671875" style="151"/>
    <col min="2562" max="2562" width="11" style="151" customWidth="1"/>
    <col min="2563" max="2563" width="11.109375" style="151" customWidth="1"/>
    <col min="2564" max="2564" width="12" style="151" customWidth="1"/>
    <col min="2565" max="2565" width="11.44140625" style="151" customWidth="1"/>
    <col min="2566" max="2566" width="9.5546875" style="151" customWidth="1"/>
    <col min="2567" max="2567" width="25.5546875" style="151" customWidth="1"/>
    <col min="2568" max="2568" width="16.6640625" style="151" customWidth="1"/>
    <col min="2569" max="2569" width="8.88671875" style="151"/>
    <col min="2570" max="2570" width="12.5546875" style="151" customWidth="1"/>
    <col min="2571" max="2571" width="12.33203125" style="151" customWidth="1"/>
    <col min="2572" max="2573" width="11.44140625" style="151" bestFit="1" customWidth="1"/>
    <col min="2574" max="2811" width="8.88671875" style="151"/>
    <col min="2812" max="2812" width="7.33203125" style="151" customWidth="1"/>
    <col min="2813" max="2813" width="6.6640625" style="151" customWidth="1"/>
    <col min="2814" max="2814" width="34.6640625" style="151" customWidth="1"/>
    <col min="2815" max="2815" width="8.5546875" style="151" customWidth="1"/>
    <col min="2816" max="2816" width="9.5546875" style="151" customWidth="1"/>
    <col min="2817" max="2817" width="8.88671875" style="151"/>
    <col min="2818" max="2818" width="11" style="151" customWidth="1"/>
    <col min="2819" max="2819" width="11.109375" style="151" customWidth="1"/>
    <col min="2820" max="2820" width="12" style="151" customWidth="1"/>
    <col min="2821" max="2821" width="11.44140625" style="151" customWidth="1"/>
    <col min="2822" max="2822" width="9.5546875" style="151" customWidth="1"/>
    <col min="2823" max="2823" width="25.5546875" style="151" customWidth="1"/>
    <col min="2824" max="2824" width="16.6640625" style="151" customWidth="1"/>
    <col min="2825" max="2825" width="8.88671875" style="151"/>
    <col min="2826" max="2826" width="12.5546875" style="151" customWidth="1"/>
    <col min="2827" max="2827" width="12.33203125" style="151" customWidth="1"/>
    <col min="2828" max="2829" width="11.44140625" style="151" bestFit="1" customWidth="1"/>
    <col min="2830" max="3067" width="8.88671875" style="151"/>
    <col min="3068" max="3068" width="7.33203125" style="151" customWidth="1"/>
    <col min="3069" max="3069" width="6.6640625" style="151" customWidth="1"/>
    <col min="3070" max="3070" width="34.6640625" style="151" customWidth="1"/>
    <col min="3071" max="3071" width="8.5546875" style="151" customWidth="1"/>
    <col min="3072" max="3072" width="9.5546875" style="151" customWidth="1"/>
    <col min="3073" max="3073" width="8.88671875" style="151"/>
    <col min="3074" max="3074" width="11" style="151" customWidth="1"/>
    <col min="3075" max="3075" width="11.109375" style="151" customWidth="1"/>
    <col min="3076" max="3076" width="12" style="151" customWidth="1"/>
    <col min="3077" max="3077" width="11.44140625" style="151" customWidth="1"/>
    <col min="3078" max="3078" width="9.5546875" style="151" customWidth="1"/>
    <col min="3079" max="3079" width="25.5546875" style="151" customWidth="1"/>
    <col min="3080" max="3080" width="16.6640625" style="151" customWidth="1"/>
    <col min="3081" max="3081" width="8.88671875" style="151"/>
    <col min="3082" max="3082" width="12.5546875" style="151" customWidth="1"/>
    <col min="3083" max="3083" width="12.33203125" style="151" customWidth="1"/>
    <col min="3084" max="3085" width="11.44140625" style="151" bestFit="1" customWidth="1"/>
    <col min="3086" max="3323" width="8.88671875" style="151"/>
    <col min="3324" max="3324" width="7.33203125" style="151" customWidth="1"/>
    <col min="3325" max="3325" width="6.6640625" style="151" customWidth="1"/>
    <col min="3326" max="3326" width="34.6640625" style="151" customWidth="1"/>
    <col min="3327" max="3327" width="8.5546875" style="151" customWidth="1"/>
    <col min="3328" max="3328" width="9.5546875" style="151" customWidth="1"/>
    <col min="3329" max="3329" width="8.88671875" style="151"/>
    <col min="3330" max="3330" width="11" style="151" customWidth="1"/>
    <col min="3331" max="3331" width="11.109375" style="151" customWidth="1"/>
    <col min="3332" max="3332" width="12" style="151" customWidth="1"/>
    <col min="3333" max="3333" width="11.44140625" style="151" customWidth="1"/>
    <col min="3334" max="3334" width="9.5546875" style="151" customWidth="1"/>
    <col min="3335" max="3335" width="25.5546875" style="151" customWidth="1"/>
    <col min="3336" max="3336" width="16.6640625" style="151" customWidth="1"/>
    <col min="3337" max="3337" width="8.88671875" style="151"/>
    <col min="3338" max="3338" width="12.5546875" style="151" customWidth="1"/>
    <col min="3339" max="3339" width="12.33203125" style="151" customWidth="1"/>
    <col min="3340" max="3341" width="11.44140625" style="151" bestFit="1" customWidth="1"/>
    <col min="3342" max="3579" width="8.88671875" style="151"/>
    <col min="3580" max="3580" width="7.33203125" style="151" customWidth="1"/>
    <col min="3581" max="3581" width="6.6640625" style="151" customWidth="1"/>
    <col min="3582" max="3582" width="34.6640625" style="151" customWidth="1"/>
    <col min="3583" max="3583" width="8.5546875" style="151" customWidth="1"/>
    <col min="3584" max="3584" width="9.5546875" style="151" customWidth="1"/>
    <col min="3585" max="3585" width="8.88671875" style="151"/>
    <col min="3586" max="3586" width="11" style="151" customWidth="1"/>
    <col min="3587" max="3587" width="11.109375" style="151" customWidth="1"/>
    <col min="3588" max="3588" width="12" style="151" customWidth="1"/>
    <col min="3589" max="3589" width="11.44140625" style="151" customWidth="1"/>
    <col min="3590" max="3590" width="9.5546875" style="151" customWidth="1"/>
    <col min="3591" max="3591" width="25.5546875" style="151" customWidth="1"/>
    <col min="3592" max="3592" width="16.6640625" style="151" customWidth="1"/>
    <col min="3593" max="3593" width="8.88671875" style="151"/>
    <col min="3594" max="3594" width="12.5546875" style="151" customWidth="1"/>
    <col min="3595" max="3595" width="12.33203125" style="151" customWidth="1"/>
    <col min="3596" max="3597" width="11.44140625" style="151" bestFit="1" customWidth="1"/>
    <col min="3598" max="3835" width="8.88671875" style="151"/>
    <col min="3836" max="3836" width="7.33203125" style="151" customWidth="1"/>
    <col min="3837" max="3837" width="6.6640625" style="151" customWidth="1"/>
    <col min="3838" max="3838" width="34.6640625" style="151" customWidth="1"/>
    <col min="3839" max="3839" width="8.5546875" style="151" customWidth="1"/>
    <col min="3840" max="3840" width="9.5546875" style="151" customWidth="1"/>
    <col min="3841" max="3841" width="8.88671875" style="151"/>
    <col min="3842" max="3842" width="11" style="151" customWidth="1"/>
    <col min="3843" max="3843" width="11.109375" style="151" customWidth="1"/>
    <col min="3844" max="3844" width="12" style="151" customWidth="1"/>
    <col min="3845" max="3845" width="11.44140625" style="151" customWidth="1"/>
    <col min="3846" max="3846" width="9.5546875" style="151" customWidth="1"/>
    <col min="3847" max="3847" width="25.5546875" style="151" customWidth="1"/>
    <col min="3848" max="3848" width="16.6640625" style="151" customWidth="1"/>
    <col min="3849" max="3849" width="8.88671875" style="151"/>
    <col min="3850" max="3850" width="12.5546875" style="151" customWidth="1"/>
    <col min="3851" max="3851" width="12.33203125" style="151" customWidth="1"/>
    <col min="3852" max="3853" width="11.44140625" style="151" bestFit="1" customWidth="1"/>
    <col min="3854" max="4091" width="8.88671875" style="151"/>
    <col min="4092" max="4092" width="7.33203125" style="151" customWidth="1"/>
    <col min="4093" max="4093" width="6.6640625" style="151" customWidth="1"/>
    <col min="4094" max="4094" width="34.6640625" style="151" customWidth="1"/>
    <col min="4095" max="4095" width="8.5546875" style="151" customWidth="1"/>
    <col min="4096" max="4096" width="9.5546875" style="151" customWidth="1"/>
    <col min="4097" max="4097" width="8.88671875" style="151"/>
    <col min="4098" max="4098" width="11" style="151" customWidth="1"/>
    <col min="4099" max="4099" width="11.109375" style="151" customWidth="1"/>
    <col min="4100" max="4100" width="12" style="151" customWidth="1"/>
    <col min="4101" max="4101" width="11.44140625" style="151" customWidth="1"/>
    <col min="4102" max="4102" width="9.5546875" style="151" customWidth="1"/>
    <col min="4103" max="4103" width="25.5546875" style="151" customWidth="1"/>
    <col min="4104" max="4104" width="16.6640625" style="151" customWidth="1"/>
    <col min="4105" max="4105" width="8.88671875" style="151"/>
    <col min="4106" max="4106" width="12.5546875" style="151" customWidth="1"/>
    <col min="4107" max="4107" width="12.33203125" style="151" customWidth="1"/>
    <col min="4108" max="4109" width="11.44140625" style="151" bestFit="1" customWidth="1"/>
    <col min="4110" max="4347" width="8.88671875" style="151"/>
    <col min="4348" max="4348" width="7.33203125" style="151" customWidth="1"/>
    <col min="4349" max="4349" width="6.6640625" style="151" customWidth="1"/>
    <col min="4350" max="4350" width="34.6640625" style="151" customWidth="1"/>
    <col min="4351" max="4351" width="8.5546875" style="151" customWidth="1"/>
    <col min="4352" max="4352" width="9.5546875" style="151" customWidth="1"/>
    <col min="4353" max="4353" width="8.88671875" style="151"/>
    <col min="4354" max="4354" width="11" style="151" customWidth="1"/>
    <col min="4355" max="4355" width="11.109375" style="151" customWidth="1"/>
    <col min="4356" max="4356" width="12" style="151" customWidth="1"/>
    <col min="4357" max="4357" width="11.44140625" style="151" customWidth="1"/>
    <col min="4358" max="4358" width="9.5546875" style="151" customWidth="1"/>
    <col min="4359" max="4359" width="25.5546875" style="151" customWidth="1"/>
    <col min="4360" max="4360" width="16.6640625" style="151" customWidth="1"/>
    <col min="4361" max="4361" width="8.88671875" style="151"/>
    <col min="4362" max="4362" width="12.5546875" style="151" customWidth="1"/>
    <col min="4363" max="4363" width="12.33203125" style="151" customWidth="1"/>
    <col min="4364" max="4365" width="11.44140625" style="151" bestFit="1" customWidth="1"/>
    <col min="4366" max="4603" width="8.88671875" style="151"/>
    <col min="4604" max="4604" width="7.33203125" style="151" customWidth="1"/>
    <col min="4605" max="4605" width="6.6640625" style="151" customWidth="1"/>
    <col min="4606" max="4606" width="34.6640625" style="151" customWidth="1"/>
    <col min="4607" max="4607" width="8.5546875" style="151" customWidth="1"/>
    <col min="4608" max="4608" width="9.5546875" style="151" customWidth="1"/>
    <col min="4609" max="4609" width="8.88671875" style="151"/>
    <col min="4610" max="4610" width="11" style="151" customWidth="1"/>
    <col min="4611" max="4611" width="11.109375" style="151" customWidth="1"/>
    <col min="4612" max="4612" width="12" style="151" customWidth="1"/>
    <col min="4613" max="4613" width="11.44140625" style="151" customWidth="1"/>
    <col min="4614" max="4614" width="9.5546875" style="151" customWidth="1"/>
    <col min="4615" max="4615" width="25.5546875" style="151" customWidth="1"/>
    <col min="4616" max="4616" width="16.6640625" style="151" customWidth="1"/>
    <col min="4617" max="4617" width="8.88671875" style="151"/>
    <col min="4618" max="4618" width="12.5546875" style="151" customWidth="1"/>
    <col min="4619" max="4619" width="12.33203125" style="151" customWidth="1"/>
    <col min="4620" max="4621" width="11.44140625" style="151" bestFit="1" customWidth="1"/>
    <col min="4622" max="4859" width="8.88671875" style="151"/>
    <col min="4860" max="4860" width="7.33203125" style="151" customWidth="1"/>
    <col min="4861" max="4861" width="6.6640625" style="151" customWidth="1"/>
    <col min="4862" max="4862" width="34.6640625" style="151" customWidth="1"/>
    <col min="4863" max="4863" width="8.5546875" style="151" customWidth="1"/>
    <col min="4864" max="4864" width="9.5546875" style="151" customWidth="1"/>
    <col min="4865" max="4865" width="8.88671875" style="151"/>
    <col min="4866" max="4866" width="11" style="151" customWidth="1"/>
    <col min="4867" max="4867" width="11.109375" style="151" customWidth="1"/>
    <col min="4868" max="4868" width="12" style="151" customWidth="1"/>
    <col min="4869" max="4869" width="11.44140625" style="151" customWidth="1"/>
    <col min="4870" max="4870" width="9.5546875" style="151" customWidth="1"/>
    <col min="4871" max="4871" width="25.5546875" style="151" customWidth="1"/>
    <col min="4872" max="4872" width="16.6640625" style="151" customWidth="1"/>
    <col min="4873" max="4873" width="8.88671875" style="151"/>
    <col min="4874" max="4874" width="12.5546875" style="151" customWidth="1"/>
    <col min="4875" max="4875" width="12.33203125" style="151" customWidth="1"/>
    <col min="4876" max="4877" width="11.44140625" style="151" bestFit="1" customWidth="1"/>
    <col min="4878" max="5115" width="8.88671875" style="151"/>
    <col min="5116" max="5116" width="7.33203125" style="151" customWidth="1"/>
    <col min="5117" max="5117" width="6.6640625" style="151" customWidth="1"/>
    <col min="5118" max="5118" width="34.6640625" style="151" customWidth="1"/>
    <col min="5119" max="5119" width="8.5546875" style="151" customWidth="1"/>
    <col min="5120" max="5120" width="9.5546875" style="151" customWidth="1"/>
    <col min="5121" max="5121" width="8.88671875" style="151"/>
    <col min="5122" max="5122" width="11" style="151" customWidth="1"/>
    <col min="5123" max="5123" width="11.109375" style="151" customWidth="1"/>
    <col min="5124" max="5124" width="12" style="151" customWidth="1"/>
    <col min="5125" max="5125" width="11.44140625" style="151" customWidth="1"/>
    <col min="5126" max="5126" width="9.5546875" style="151" customWidth="1"/>
    <col min="5127" max="5127" width="25.5546875" style="151" customWidth="1"/>
    <col min="5128" max="5128" width="16.6640625" style="151" customWidth="1"/>
    <col min="5129" max="5129" width="8.88671875" style="151"/>
    <col min="5130" max="5130" width="12.5546875" style="151" customWidth="1"/>
    <col min="5131" max="5131" width="12.33203125" style="151" customWidth="1"/>
    <col min="5132" max="5133" width="11.44140625" style="151" bestFit="1" customWidth="1"/>
    <col min="5134" max="5371" width="8.88671875" style="151"/>
    <col min="5372" max="5372" width="7.33203125" style="151" customWidth="1"/>
    <col min="5373" max="5373" width="6.6640625" style="151" customWidth="1"/>
    <col min="5374" max="5374" width="34.6640625" style="151" customWidth="1"/>
    <col min="5375" max="5375" width="8.5546875" style="151" customWidth="1"/>
    <col min="5376" max="5376" width="9.5546875" style="151" customWidth="1"/>
    <col min="5377" max="5377" width="8.88671875" style="151"/>
    <col min="5378" max="5378" width="11" style="151" customWidth="1"/>
    <col min="5379" max="5379" width="11.109375" style="151" customWidth="1"/>
    <col min="5380" max="5380" width="12" style="151" customWidth="1"/>
    <col min="5381" max="5381" width="11.44140625" style="151" customWidth="1"/>
    <col min="5382" max="5382" width="9.5546875" style="151" customWidth="1"/>
    <col min="5383" max="5383" width="25.5546875" style="151" customWidth="1"/>
    <col min="5384" max="5384" width="16.6640625" style="151" customWidth="1"/>
    <col min="5385" max="5385" width="8.88671875" style="151"/>
    <col min="5386" max="5386" width="12.5546875" style="151" customWidth="1"/>
    <col min="5387" max="5387" width="12.33203125" style="151" customWidth="1"/>
    <col min="5388" max="5389" width="11.44140625" style="151" bestFit="1" customWidth="1"/>
    <col min="5390" max="5627" width="8.88671875" style="151"/>
    <col min="5628" max="5628" width="7.33203125" style="151" customWidth="1"/>
    <col min="5629" max="5629" width="6.6640625" style="151" customWidth="1"/>
    <col min="5630" max="5630" width="34.6640625" style="151" customWidth="1"/>
    <col min="5631" max="5631" width="8.5546875" style="151" customWidth="1"/>
    <col min="5632" max="5632" width="9.5546875" style="151" customWidth="1"/>
    <col min="5633" max="5633" width="8.88671875" style="151"/>
    <col min="5634" max="5634" width="11" style="151" customWidth="1"/>
    <col min="5635" max="5635" width="11.109375" style="151" customWidth="1"/>
    <col min="5636" max="5636" width="12" style="151" customWidth="1"/>
    <col min="5637" max="5637" width="11.44140625" style="151" customWidth="1"/>
    <col min="5638" max="5638" width="9.5546875" style="151" customWidth="1"/>
    <col min="5639" max="5639" width="25.5546875" style="151" customWidth="1"/>
    <col min="5640" max="5640" width="16.6640625" style="151" customWidth="1"/>
    <col min="5641" max="5641" width="8.88671875" style="151"/>
    <col min="5642" max="5642" width="12.5546875" style="151" customWidth="1"/>
    <col min="5643" max="5643" width="12.33203125" style="151" customWidth="1"/>
    <col min="5644" max="5645" width="11.44140625" style="151" bestFit="1" customWidth="1"/>
    <col min="5646" max="5883" width="8.88671875" style="151"/>
    <col min="5884" max="5884" width="7.33203125" style="151" customWidth="1"/>
    <col min="5885" max="5885" width="6.6640625" style="151" customWidth="1"/>
    <col min="5886" max="5886" width="34.6640625" style="151" customWidth="1"/>
    <col min="5887" max="5887" width="8.5546875" style="151" customWidth="1"/>
    <col min="5888" max="5888" width="9.5546875" style="151" customWidth="1"/>
    <col min="5889" max="5889" width="8.88671875" style="151"/>
    <col min="5890" max="5890" width="11" style="151" customWidth="1"/>
    <col min="5891" max="5891" width="11.109375" style="151" customWidth="1"/>
    <col min="5892" max="5892" width="12" style="151" customWidth="1"/>
    <col min="5893" max="5893" width="11.44140625" style="151" customWidth="1"/>
    <col min="5894" max="5894" width="9.5546875" style="151" customWidth="1"/>
    <col min="5895" max="5895" width="25.5546875" style="151" customWidth="1"/>
    <col min="5896" max="5896" width="16.6640625" style="151" customWidth="1"/>
    <col min="5897" max="5897" width="8.88671875" style="151"/>
    <col min="5898" max="5898" width="12.5546875" style="151" customWidth="1"/>
    <col min="5899" max="5899" width="12.33203125" style="151" customWidth="1"/>
    <col min="5900" max="5901" width="11.44140625" style="151" bestFit="1" customWidth="1"/>
    <col min="5902" max="6139" width="8.88671875" style="151"/>
    <col min="6140" max="6140" width="7.33203125" style="151" customWidth="1"/>
    <col min="6141" max="6141" width="6.6640625" style="151" customWidth="1"/>
    <col min="6142" max="6142" width="34.6640625" style="151" customWidth="1"/>
    <col min="6143" max="6143" width="8.5546875" style="151" customWidth="1"/>
    <col min="6144" max="6144" width="9.5546875" style="151" customWidth="1"/>
    <col min="6145" max="6145" width="8.88671875" style="151"/>
    <col min="6146" max="6146" width="11" style="151" customWidth="1"/>
    <col min="6147" max="6147" width="11.109375" style="151" customWidth="1"/>
    <col min="6148" max="6148" width="12" style="151" customWidth="1"/>
    <col min="6149" max="6149" width="11.44140625" style="151" customWidth="1"/>
    <col min="6150" max="6150" width="9.5546875" style="151" customWidth="1"/>
    <col min="6151" max="6151" width="25.5546875" style="151" customWidth="1"/>
    <col min="6152" max="6152" width="16.6640625" style="151" customWidth="1"/>
    <col min="6153" max="6153" width="8.88671875" style="151"/>
    <col min="6154" max="6154" width="12.5546875" style="151" customWidth="1"/>
    <col min="6155" max="6155" width="12.33203125" style="151" customWidth="1"/>
    <col min="6156" max="6157" width="11.44140625" style="151" bestFit="1" customWidth="1"/>
    <col min="6158" max="6395" width="8.88671875" style="151"/>
    <col min="6396" max="6396" width="7.33203125" style="151" customWidth="1"/>
    <col min="6397" max="6397" width="6.6640625" style="151" customWidth="1"/>
    <col min="6398" max="6398" width="34.6640625" style="151" customWidth="1"/>
    <col min="6399" max="6399" width="8.5546875" style="151" customWidth="1"/>
    <col min="6400" max="6400" width="9.5546875" style="151" customWidth="1"/>
    <col min="6401" max="6401" width="8.88671875" style="151"/>
    <col min="6402" max="6402" width="11" style="151" customWidth="1"/>
    <col min="6403" max="6403" width="11.109375" style="151" customWidth="1"/>
    <col min="6404" max="6404" width="12" style="151" customWidth="1"/>
    <col min="6405" max="6405" width="11.44140625" style="151" customWidth="1"/>
    <col min="6406" max="6406" width="9.5546875" style="151" customWidth="1"/>
    <col min="6407" max="6407" width="25.5546875" style="151" customWidth="1"/>
    <col min="6408" max="6408" width="16.6640625" style="151" customWidth="1"/>
    <col min="6409" max="6409" width="8.88671875" style="151"/>
    <col min="6410" max="6410" width="12.5546875" style="151" customWidth="1"/>
    <col min="6411" max="6411" width="12.33203125" style="151" customWidth="1"/>
    <col min="6412" max="6413" width="11.44140625" style="151" bestFit="1" customWidth="1"/>
    <col min="6414" max="6651" width="8.88671875" style="151"/>
    <col min="6652" max="6652" width="7.33203125" style="151" customWidth="1"/>
    <col min="6653" max="6653" width="6.6640625" style="151" customWidth="1"/>
    <col min="6654" max="6654" width="34.6640625" style="151" customWidth="1"/>
    <col min="6655" max="6655" width="8.5546875" style="151" customWidth="1"/>
    <col min="6656" max="6656" width="9.5546875" style="151" customWidth="1"/>
    <col min="6657" max="6657" width="8.88671875" style="151"/>
    <col min="6658" max="6658" width="11" style="151" customWidth="1"/>
    <col min="6659" max="6659" width="11.109375" style="151" customWidth="1"/>
    <col min="6660" max="6660" width="12" style="151" customWidth="1"/>
    <col min="6661" max="6661" width="11.44140625" style="151" customWidth="1"/>
    <col min="6662" max="6662" width="9.5546875" style="151" customWidth="1"/>
    <col min="6663" max="6663" width="25.5546875" style="151" customWidth="1"/>
    <col min="6664" max="6664" width="16.6640625" style="151" customWidth="1"/>
    <col min="6665" max="6665" width="8.88671875" style="151"/>
    <col min="6666" max="6666" width="12.5546875" style="151" customWidth="1"/>
    <col min="6667" max="6667" width="12.33203125" style="151" customWidth="1"/>
    <col min="6668" max="6669" width="11.44140625" style="151" bestFit="1" customWidth="1"/>
    <col min="6670" max="6907" width="8.88671875" style="151"/>
    <col min="6908" max="6908" width="7.33203125" style="151" customWidth="1"/>
    <col min="6909" max="6909" width="6.6640625" style="151" customWidth="1"/>
    <col min="6910" max="6910" width="34.6640625" style="151" customWidth="1"/>
    <col min="6911" max="6911" width="8.5546875" style="151" customWidth="1"/>
    <col min="6912" max="6912" width="9.5546875" style="151" customWidth="1"/>
    <col min="6913" max="6913" width="8.88671875" style="151"/>
    <col min="6914" max="6914" width="11" style="151" customWidth="1"/>
    <col min="6915" max="6915" width="11.109375" style="151" customWidth="1"/>
    <col min="6916" max="6916" width="12" style="151" customWidth="1"/>
    <col min="6917" max="6917" width="11.44140625" style="151" customWidth="1"/>
    <col min="6918" max="6918" width="9.5546875" style="151" customWidth="1"/>
    <col min="6919" max="6919" width="25.5546875" style="151" customWidth="1"/>
    <col min="6920" max="6920" width="16.6640625" style="151" customWidth="1"/>
    <col min="6921" max="6921" width="8.88671875" style="151"/>
    <col min="6922" max="6922" width="12.5546875" style="151" customWidth="1"/>
    <col min="6923" max="6923" width="12.33203125" style="151" customWidth="1"/>
    <col min="6924" max="6925" width="11.44140625" style="151" bestFit="1" customWidth="1"/>
    <col min="6926" max="7163" width="8.88671875" style="151"/>
    <col min="7164" max="7164" width="7.33203125" style="151" customWidth="1"/>
    <col min="7165" max="7165" width="6.6640625" style="151" customWidth="1"/>
    <col min="7166" max="7166" width="34.6640625" style="151" customWidth="1"/>
    <col min="7167" max="7167" width="8.5546875" style="151" customWidth="1"/>
    <col min="7168" max="7168" width="9.5546875" style="151" customWidth="1"/>
    <col min="7169" max="7169" width="8.88671875" style="151"/>
    <col min="7170" max="7170" width="11" style="151" customWidth="1"/>
    <col min="7171" max="7171" width="11.109375" style="151" customWidth="1"/>
    <col min="7172" max="7172" width="12" style="151" customWidth="1"/>
    <col min="7173" max="7173" width="11.44140625" style="151" customWidth="1"/>
    <col min="7174" max="7174" width="9.5546875" style="151" customWidth="1"/>
    <col min="7175" max="7175" width="25.5546875" style="151" customWidth="1"/>
    <col min="7176" max="7176" width="16.6640625" style="151" customWidth="1"/>
    <col min="7177" max="7177" width="8.88671875" style="151"/>
    <col min="7178" max="7178" width="12.5546875" style="151" customWidth="1"/>
    <col min="7179" max="7179" width="12.33203125" style="151" customWidth="1"/>
    <col min="7180" max="7181" width="11.44140625" style="151" bestFit="1" customWidth="1"/>
    <col min="7182" max="7419" width="8.88671875" style="151"/>
    <col min="7420" max="7420" width="7.33203125" style="151" customWidth="1"/>
    <col min="7421" max="7421" width="6.6640625" style="151" customWidth="1"/>
    <col min="7422" max="7422" width="34.6640625" style="151" customWidth="1"/>
    <col min="7423" max="7423" width="8.5546875" style="151" customWidth="1"/>
    <col min="7424" max="7424" width="9.5546875" style="151" customWidth="1"/>
    <col min="7425" max="7425" width="8.88671875" style="151"/>
    <col min="7426" max="7426" width="11" style="151" customWidth="1"/>
    <col min="7427" max="7427" width="11.109375" style="151" customWidth="1"/>
    <col min="7428" max="7428" width="12" style="151" customWidth="1"/>
    <col min="7429" max="7429" width="11.44140625" style="151" customWidth="1"/>
    <col min="7430" max="7430" width="9.5546875" style="151" customWidth="1"/>
    <col min="7431" max="7431" width="25.5546875" style="151" customWidth="1"/>
    <col min="7432" max="7432" width="16.6640625" style="151" customWidth="1"/>
    <col min="7433" max="7433" width="8.88671875" style="151"/>
    <col min="7434" max="7434" width="12.5546875" style="151" customWidth="1"/>
    <col min="7435" max="7435" width="12.33203125" style="151" customWidth="1"/>
    <col min="7436" max="7437" width="11.44140625" style="151" bestFit="1" customWidth="1"/>
    <col min="7438" max="7675" width="8.88671875" style="151"/>
    <col min="7676" max="7676" width="7.33203125" style="151" customWidth="1"/>
    <col min="7677" max="7677" width="6.6640625" style="151" customWidth="1"/>
    <col min="7678" max="7678" width="34.6640625" style="151" customWidth="1"/>
    <col min="7679" max="7679" width="8.5546875" style="151" customWidth="1"/>
    <col min="7680" max="7680" width="9.5546875" style="151" customWidth="1"/>
    <col min="7681" max="7681" width="8.88671875" style="151"/>
    <col min="7682" max="7682" width="11" style="151" customWidth="1"/>
    <col min="7683" max="7683" width="11.109375" style="151" customWidth="1"/>
    <col min="7684" max="7684" width="12" style="151" customWidth="1"/>
    <col min="7685" max="7685" width="11.44140625" style="151" customWidth="1"/>
    <col min="7686" max="7686" width="9.5546875" style="151" customWidth="1"/>
    <col min="7687" max="7687" width="25.5546875" style="151" customWidth="1"/>
    <col min="7688" max="7688" width="16.6640625" style="151" customWidth="1"/>
    <col min="7689" max="7689" width="8.88671875" style="151"/>
    <col min="7690" max="7690" width="12.5546875" style="151" customWidth="1"/>
    <col min="7691" max="7691" width="12.33203125" style="151" customWidth="1"/>
    <col min="7692" max="7693" width="11.44140625" style="151" bestFit="1" customWidth="1"/>
    <col min="7694" max="7931" width="8.88671875" style="151"/>
    <col min="7932" max="7932" width="7.33203125" style="151" customWidth="1"/>
    <col min="7933" max="7933" width="6.6640625" style="151" customWidth="1"/>
    <col min="7934" max="7934" width="34.6640625" style="151" customWidth="1"/>
    <col min="7935" max="7935" width="8.5546875" style="151" customWidth="1"/>
    <col min="7936" max="7936" width="9.5546875" style="151" customWidth="1"/>
    <col min="7937" max="7937" width="8.88671875" style="151"/>
    <col min="7938" max="7938" width="11" style="151" customWidth="1"/>
    <col min="7939" max="7939" width="11.109375" style="151" customWidth="1"/>
    <col min="7940" max="7940" width="12" style="151" customWidth="1"/>
    <col min="7941" max="7941" width="11.44140625" style="151" customWidth="1"/>
    <col min="7942" max="7942" width="9.5546875" style="151" customWidth="1"/>
    <col min="7943" max="7943" width="25.5546875" style="151" customWidth="1"/>
    <col min="7944" max="7944" width="16.6640625" style="151" customWidth="1"/>
    <col min="7945" max="7945" width="8.88671875" style="151"/>
    <col min="7946" max="7946" width="12.5546875" style="151" customWidth="1"/>
    <col min="7947" max="7947" width="12.33203125" style="151" customWidth="1"/>
    <col min="7948" max="7949" width="11.44140625" style="151" bestFit="1" customWidth="1"/>
    <col min="7950" max="8187" width="8.88671875" style="151"/>
    <col min="8188" max="8188" width="7.33203125" style="151" customWidth="1"/>
    <col min="8189" max="8189" width="6.6640625" style="151" customWidth="1"/>
    <col min="8190" max="8190" width="34.6640625" style="151" customWidth="1"/>
    <col min="8191" max="8191" width="8.5546875" style="151" customWidth="1"/>
    <col min="8192" max="8192" width="9.5546875" style="151" customWidth="1"/>
    <col min="8193" max="8193" width="8.88671875" style="151"/>
    <col min="8194" max="8194" width="11" style="151" customWidth="1"/>
    <col min="8195" max="8195" width="11.109375" style="151" customWidth="1"/>
    <col min="8196" max="8196" width="12" style="151" customWidth="1"/>
    <col min="8197" max="8197" width="11.44140625" style="151" customWidth="1"/>
    <col min="8198" max="8198" width="9.5546875" style="151" customWidth="1"/>
    <col min="8199" max="8199" width="25.5546875" style="151" customWidth="1"/>
    <col min="8200" max="8200" width="16.6640625" style="151" customWidth="1"/>
    <col min="8201" max="8201" width="8.88671875" style="151"/>
    <col min="8202" max="8202" width="12.5546875" style="151" customWidth="1"/>
    <col min="8203" max="8203" width="12.33203125" style="151" customWidth="1"/>
    <col min="8204" max="8205" width="11.44140625" style="151" bestFit="1" customWidth="1"/>
    <col min="8206" max="8443" width="8.88671875" style="151"/>
    <col min="8444" max="8444" width="7.33203125" style="151" customWidth="1"/>
    <col min="8445" max="8445" width="6.6640625" style="151" customWidth="1"/>
    <col min="8446" max="8446" width="34.6640625" style="151" customWidth="1"/>
    <col min="8447" max="8447" width="8.5546875" style="151" customWidth="1"/>
    <col min="8448" max="8448" width="9.5546875" style="151" customWidth="1"/>
    <col min="8449" max="8449" width="8.88671875" style="151"/>
    <col min="8450" max="8450" width="11" style="151" customWidth="1"/>
    <col min="8451" max="8451" width="11.109375" style="151" customWidth="1"/>
    <col min="8452" max="8452" width="12" style="151" customWidth="1"/>
    <col min="8453" max="8453" width="11.44140625" style="151" customWidth="1"/>
    <col min="8454" max="8454" width="9.5546875" style="151" customWidth="1"/>
    <col min="8455" max="8455" width="25.5546875" style="151" customWidth="1"/>
    <col min="8456" max="8456" width="16.6640625" style="151" customWidth="1"/>
    <col min="8457" max="8457" width="8.88671875" style="151"/>
    <col min="8458" max="8458" width="12.5546875" style="151" customWidth="1"/>
    <col min="8459" max="8459" width="12.33203125" style="151" customWidth="1"/>
    <col min="8460" max="8461" width="11.44140625" style="151" bestFit="1" customWidth="1"/>
    <col min="8462" max="8699" width="8.88671875" style="151"/>
    <col min="8700" max="8700" width="7.33203125" style="151" customWidth="1"/>
    <col min="8701" max="8701" width="6.6640625" style="151" customWidth="1"/>
    <col min="8702" max="8702" width="34.6640625" style="151" customWidth="1"/>
    <col min="8703" max="8703" width="8.5546875" style="151" customWidth="1"/>
    <col min="8704" max="8704" width="9.5546875" style="151" customWidth="1"/>
    <col min="8705" max="8705" width="8.88671875" style="151"/>
    <col min="8706" max="8706" width="11" style="151" customWidth="1"/>
    <col min="8707" max="8707" width="11.109375" style="151" customWidth="1"/>
    <col min="8708" max="8708" width="12" style="151" customWidth="1"/>
    <col min="8709" max="8709" width="11.44140625" style="151" customWidth="1"/>
    <col min="8710" max="8710" width="9.5546875" style="151" customWidth="1"/>
    <col min="8711" max="8711" width="25.5546875" style="151" customWidth="1"/>
    <col min="8712" max="8712" width="16.6640625" style="151" customWidth="1"/>
    <col min="8713" max="8713" width="8.88671875" style="151"/>
    <col min="8714" max="8714" width="12.5546875" style="151" customWidth="1"/>
    <col min="8715" max="8715" width="12.33203125" style="151" customWidth="1"/>
    <col min="8716" max="8717" width="11.44140625" style="151" bestFit="1" customWidth="1"/>
    <col min="8718" max="8955" width="8.88671875" style="151"/>
    <col min="8956" max="8956" width="7.33203125" style="151" customWidth="1"/>
    <col min="8957" max="8957" width="6.6640625" style="151" customWidth="1"/>
    <col min="8958" max="8958" width="34.6640625" style="151" customWidth="1"/>
    <col min="8959" max="8959" width="8.5546875" style="151" customWidth="1"/>
    <col min="8960" max="8960" width="9.5546875" style="151" customWidth="1"/>
    <col min="8961" max="8961" width="8.88671875" style="151"/>
    <col min="8962" max="8962" width="11" style="151" customWidth="1"/>
    <col min="8963" max="8963" width="11.109375" style="151" customWidth="1"/>
    <col min="8964" max="8964" width="12" style="151" customWidth="1"/>
    <col min="8965" max="8965" width="11.44140625" style="151" customWidth="1"/>
    <col min="8966" max="8966" width="9.5546875" style="151" customWidth="1"/>
    <col min="8967" max="8967" width="25.5546875" style="151" customWidth="1"/>
    <col min="8968" max="8968" width="16.6640625" style="151" customWidth="1"/>
    <col min="8969" max="8969" width="8.88671875" style="151"/>
    <col min="8970" max="8970" width="12.5546875" style="151" customWidth="1"/>
    <col min="8971" max="8971" width="12.33203125" style="151" customWidth="1"/>
    <col min="8972" max="8973" width="11.44140625" style="151" bestFit="1" customWidth="1"/>
    <col min="8974" max="9211" width="8.88671875" style="151"/>
    <col min="9212" max="9212" width="7.33203125" style="151" customWidth="1"/>
    <col min="9213" max="9213" width="6.6640625" style="151" customWidth="1"/>
    <col min="9214" max="9214" width="34.6640625" style="151" customWidth="1"/>
    <col min="9215" max="9215" width="8.5546875" style="151" customWidth="1"/>
    <col min="9216" max="9216" width="9.5546875" style="151" customWidth="1"/>
    <col min="9217" max="9217" width="8.88671875" style="151"/>
    <col min="9218" max="9218" width="11" style="151" customWidth="1"/>
    <col min="9219" max="9219" width="11.109375" style="151" customWidth="1"/>
    <col min="9220" max="9220" width="12" style="151" customWidth="1"/>
    <col min="9221" max="9221" width="11.44140625" style="151" customWidth="1"/>
    <col min="9222" max="9222" width="9.5546875" style="151" customWidth="1"/>
    <col min="9223" max="9223" width="25.5546875" style="151" customWidth="1"/>
    <col min="9224" max="9224" width="16.6640625" style="151" customWidth="1"/>
    <col min="9225" max="9225" width="8.88671875" style="151"/>
    <col min="9226" max="9226" width="12.5546875" style="151" customWidth="1"/>
    <col min="9227" max="9227" width="12.33203125" style="151" customWidth="1"/>
    <col min="9228" max="9229" width="11.44140625" style="151" bestFit="1" customWidth="1"/>
    <col min="9230" max="9467" width="8.88671875" style="151"/>
    <col min="9468" max="9468" width="7.33203125" style="151" customWidth="1"/>
    <col min="9469" max="9469" width="6.6640625" style="151" customWidth="1"/>
    <col min="9470" max="9470" width="34.6640625" style="151" customWidth="1"/>
    <col min="9471" max="9471" width="8.5546875" style="151" customWidth="1"/>
    <col min="9472" max="9472" width="9.5546875" style="151" customWidth="1"/>
    <col min="9473" max="9473" width="8.88671875" style="151"/>
    <col min="9474" max="9474" width="11" style="151" customWidth="1"/>
    <col min="9475" max="9475" width="11.109375" style="151" customWidth="1"/>
    <col min="9476" max="9476" width="12" style="151" customWidth="1"/>
    <col min="9477" max="9477" width="11.44140625" style="151" customWidth="1"/>
    <col min="9478" max="9478" width="9.5546875" style="151" customWidth="1"/>
    <col min="9479" max="9479" width="25.5546875" style="151" customWidth="1"/>
    <col min="9480" max="9480" width="16.6640625" style="151" customWidth="1"/>
    <col min="9481" max="9481" width="8.88671875" style="151"/>
    <col min="9482" max="9482" width="12.5546875" style="151" customWidth="1"/>
    <col min="9483" max="9483" width="12.33203125" style="151" customWidth="1"/>
    <col min="9484" max="9485" width="11.44140625" style="151" bestFit="1" customWidth="1"/>
    <col min="9486" max="9723" width="8.88671875" style="151"/>
    <col min="9724" max="9724" width="7.33203125" style="151" customWidth="1"/>
    <col min="9725" max="9725" width="6.6640625" style="151" customWidth="1"/>
    <col min="9726" max="9726" width="34.6640625" style="151" customWidth="1"/>
    <col min="9727" max="9727" width="8.5546875" style="151" customWidth="1"/>
    <col min="9728" max="9728" width="9.5546875" style="151" customWidth="1"/>
    <col min="9729" max="9729" width="8.88671875" style="151"/>
    <col min="9730" max="9730" width="11" style="151" customWidth="1"/>
    <col min="9731" max="9731" width="11.109375" style="151" customWidth="1"/>
    <col min="9732" max="9732" width="12" style="151" customWidth="1"/>
    <col min="9733" max="9733" width="11.44140625" style="151" customWidth="1"/>
    <col min="9734" max="9734" width="9.5546875" style="151" customWidth="1"/>
    <col min="9735" max="9735" width="25.5546875" style="151" customWidth="1"/>
    <col min="9736" max="9736" width="16.6640625" style="151" customWidth="1"/>
    <col min="9737" max="9737" width="8.88671875" style="151"/>
    <col min="9738" max="9738" width="12.5546875" style="151" customWidth="1"/>
    <col min="9739" max="9739" width="12.33203125" style="151" customWidth="1"/>
    <col min="9740" max="9741" width="11.44140625" style="151" bestFit="1" customWidth="1"/>
    <col min="9742" max="9979" width="8.88671875" style="151"/>
    <col min="9980" max="9980" width="7.33203125" style="151" customWidth="1"/>
    <col min="9981" max="9981" width="6.6640625" style="151" customWidth="1"/>
    <col min="9982" max="9982" width="34.6640625" style="151" customWidth="1"/>
    <col min="9983" max="9983" width="8.5546875" style="151" customWidth="1"/>
    <col min="9984" max="9984" width="9.5546875" style="151" customWidth="1"/>
    <col min="9985" max="9985" width="8.88671875" style="151"/>
    <col min="9986" max="9986" width="11" style="151" customWidth="1"/>
    <col min="9987" max="9987" width="11.109375" style="151" customWidth="1"/>
    <col min="9988" max="9988" width="12" style="151" customWidth="1"/>
    <col min="9989" max="9989" width="11.44140625" style="151" customWidth="1"/>
    <col min="9990" max="9990" width="9.5546875" style="151" customWidth="1"/>
    <col min="9991" max="9991" width="25.5546875" style="151" customWidth="1"/>
    <col min="9992" max="9992" width="16.6640625" style="151" customWidth="1"/>
    <col min="9993" max="9993" width="8.88671875" style="151"/>
    <col min="9994" max="9994" width="12.5546875" style="151" customWidth="1"/>
    <col min="9995" max="9995" width="12.33203125" style="151" customWidth="1"/>
    <col min="9996" max="9997" width="11.44140625" style="151" bestFit="1" customWidth="1"/>
    <col min="9998" max="10235" width="8.88671875" style="151"/>
    <col min="10236" max="10236" width="7.33203125" style="151" customWidth="1"/>
    <col min="10237" max="10237" width="6.6640625" style="151" customWidth="1"/>
    <col min="10238" max="10238" width="34.6640625" style="151" customWidth="1"/>
    <col min="10239" max="10239" width="8.5546875" style="151" customWidth="1"/>
    <col min="10240" max="10240" width="9.5546875" style="151" customWidth="1"/>
    <col min="10241" max="10241" width="8.88671875" style="151"/>
    <col min="10242" max="10242" width="11" style="151" customWidth="1"/>
    <col min="10243" max="10243" width="11.109375" style="151" customWidth="1"/>
    <col min="10244" max="10244" width="12" style="151" customWidth="1"/>
    <col min="10245" max="10245" width="11.44140625" style="151" customWidth="1"/>
    <col min="10246" max="10246" width="9.5546875" style="151" customWidth="1"/>
    <col min="10247" max="10247" width="25.5546875" style="151" customWidth="1"/>
    <col min="10248" max="10248" width="16.6640625" style="151" customWidth="1"/>
    <col min="10249" max="10249" width="8.88671875" style="151"/>
    <col min="10250" max="10250" width="12.5546875" style="151" customWidth="1"/>
    <col min="10251" max="10251" width="12.33203125" style="151" customWidth="1"/>
    <col min="10252" max="10253" width="11.44140625" style="151" bestFit="1" customWidth="1"/>
    <col min="10254" max="10491" width="8.88671875" style="151"/>
    <col min="10492" max="10492" width="7.33203125" style="151" customWidth="1"/>
    <col min="10493" max="10493" width="6.6640625" style="151" customWidth="1"/>
    <col min="10494" max="10494" width="34.6640625" style="151" customWidth="1"/>
    <col min="10495" max="10495" width="8.5546875" style="151" customWidth="1"/>
    <col min="10496" max="10496" width="9.5546875" style="151" customWidth="1"/>
    <col min="10497" max="10497" width="8.88671875" style="151"/>
    <col min="10498" max="10498" width="11" style="151" customWidth="1"/>
    <col min="10499" max="10499" width="11.109375" style="151" customWidth="1"/>
    <col min="10500" max="10500" width="12" style="151" customWidth="1"/>
    <col min="10501" max="10501" width="11.44140625" style="151" customWidth="1"/>
    <col min="10502" max="10502" width="9.5546875" style="151" customWidth="1"/>
    <col min="10503" max="10503" width="25.5546875" style="151" customWidth="1"/>
    <col min="10504" max="10504" width="16.6640625" style="151" customWidth="1"/>
    <col min="10505" max="10505" width="8.88671875" style="151"/>
    <col min="10506" max="10506" width="12.5546875" style="151" customWidth="1"/>
    <col min="10507" max="10507" width="12.33203125" style="151" customWidth="1"/>
    <col min="10508" max="10509" width="11.44140625" style="151" bestFit="1" customWidth="1"/>
    <col min="10510" max="10747" width="8.88671875" style="151"/>
    <col min="10748" max="10748" width="7.33203125" style="151" customWidth="1"/>
    <col min="10749" max="10749" width="6.6640625" style="151" customWidth="1"/>
    <col min="10750" max="10750" width="34.6640625" style="151" customWidth="1"/>
    <col min="10751" max="10751" width="8.5546875" style="151" customWidth="1"/>
    <col min="10752" max="10752" width="9.5546875" style="151" customWidth="1"/>
    <col min="10753" max="10753" width="8.88671875" style="151"/>
    <col min="10754" max="10754" width="11" style="151" customWidth="1"/>
    <col min="10755" max="10755" width="11.109375" style="151" customWidth="1"/>
    <col min="10756" max="10756" width="12" style="151" customWidth="1"/>
    <col min="10757" max="10757" width="11.44140625" style="151" customWidth="1"/>
    <col min="10758" max="10758" width="9.5546875" style="151" customWidth="1"/>
    <col min="10759" max="10759" width="25.5546875" style="151" customWidth="1"/>
    <col min="10760" max="10760" width="16.6640625" style="151" customWidth="1"/>
    <col min="10761" max="10761" width="8.88671875" style="151"/>
    <col min="10762" max="10762" width="12.5546875" style="151" customWidth="1"/>
    <col min="10763" max="10763" width="12.33203125" style="151" customWidth="1"/>
    <col min="10764" max="10765" width="11.44140625" style="151" bestFit="1" customWidth="1"/>
    <col min="10766" max="11003" width="8.88671875" style="151"/>
    <col min="11004" max="11004" width="7.33203125" style="151" customWidth="1"/>
    <col min="11005" max="11005" width="6.6640625" style="151" customWidth="1"/>
    <col min="11006" max="11006" width="34.6640625" style="151" customWidth="1"/>
    <col min="11007" max="11007" width="8.5546875" style="151" customWidth="1"/>
    <col min="11008" max="11008" width="9.5546875" style="151" customWidth="1"/>
    <col min="11009" max="11009" width="8.88671875" style="151"/>
    <col min="11010" max="11010" width="11" style="151" customWidth="1"/>
    <col min="11011" max="11011" width="11.109375" style="151" customWidth="1"/>
    <col min="11012" max="11012" width="12" style="151" customWidth="1"/>
    <col min="11013" max="11013" width="11.44140625" style="151" customWidth="1"/>
    <col min="11014" max="11014" width="9.5546875" style="151" customWidth="1"/>
    <col min="11015" max="11015" width="25.5546875" style="151" customWidth="1"/>
    <col min="11016" max="11016" width="16.6640625" style="151" customWidth="1"/>
    <col min="11017" max="11017" width="8.88671875" style="151"/>
    <col min="11018" max="11018" width="12.5546875" style="151" customWidth="1"/>
    <col min="11019" max="11019" width="12.33203125" style="151" customWidth="1"/>
    <col min="11020" max="11021" width="11.44140625" style="151" bestFit="1" customWidth="1"/>
    <col min="11022" max="11259" width="8.88671875" style="151"/>
    <col min="11260" max="11260" width="7.33203125" style="151" customWidth="1"/>
    <col min="11261" max="11261" width="6.6640625" style="151" customWidth="1"/>
    <col min="11262" max="11262" width="34.6640625" style="151" customWidth="1"/>
    <col min="11263" max="11263" width="8.5546875" style="151" customWidth="1"/>
    <col min="11264" max="11264" width="9.5546875" style="151" customWidth="1"/>
    <col min="11265" max="11265" width="8.88671875" style="151"/>
    <col min="11266" max="11266" width="11" style="151" customWidth="1"/>
    <col min="11267" max="11267" width="11.109375" style="151" customWidth="1"/>
    <col min="11268" max="11268" width="12" style="151" customWidth="1"/>
    <col min="11269" max="11269" width="11.44140625" style="151" customWidth="1"/>
    <col min="11270" max="11270" width="9.5546875" style="151" customWidth="1"/>
    <col min="11271" max="11271" width="25.5546875" style="151" customWidth="1"/>
    <col min="11272" max="11272" width="16.6640625" style="151" customWidth="1"/>
    <col min="11273" max="11273" width="8.88671875" style="151"/>
    <col min="11274" max="11274" width="12.5546875" style="151" customWidth="1"/>
    <col min="11275" max="11275" width="12.33203125" style="151" customWidth="1"/>
    <col min="11276" max="11277" width="11.44140625" style="151" bestFit="1" customWidth="1"/>
    <col min="11278" max="11515" width="8.88671875" style="151"/>
    <col min="11516" max="11516" width="7.33203125" style="151" customWidth="1"/>
    <col min="11517" max="11517" width="6.6640625" style="151" customWidth="1"/>
    <col min="11518" max="11518" width="34.6640625" style="151" customWidth="1"/>
    <col min="11519" max="11519" width="8.5546875" style="151" customWidth="1"/>
    <col min="11520" max="11520" width="9.5546875" style="151" customWidth="1"/>
    <col min="11521" max="11521" width="8.88671875" style="151"/>
    <col min="11522" max="11522" width="11" style="151" customWidth="1"/>
    <col min="11523" max="11523" width="11.109375" style="151" customWidth="1"/>
    <col min="11524" max="11524" width="12" style="151" customWidth="1"/>
    <col min="11525" max="11525" width="11.44140625" style="151" customWidth="1"/>
    <col min="11526" max="11526" width="9.5546875" style="151" customWidth="1"/>
    <col min="11527" max="11527" width="25.5546875" style="151" customWidth="1"/>
    <col min="11528" max="11528" width="16.6640625" style="151" customWidth="1"/>
    <col min="11529" max="11529" width="8.88671875" style="151"/>
    <col min="11530" max="11530" width="12.5546875" style="151" customWidth="1"/>
    <col min="11531" max="11531" width="12.33203125" style="151" customWidth="1"/>
    <col min="11532" max="11533" width="11.44140625" style="151" bestFit="1" customWidth="1"/>
    <col min="11534" max="11771" width="8.88671875" style="151"/>
    <col min="11772" max="11772" width="7.33203125" style="151" customWidth="1"/>
    <col min="11773" max="11773" width="6.6640625" style="151" customWidth="1"/>
    <col min="11774" max="11774" width="34.6640625" style="151" customWidth="1"/>
    <col min="11775" max="11775" width="8.5546875" style="151" customWidth="1"/>
    <col min="11776" max="11776" width="9.5546875" style="151" customWidth="1"/>
    <col min="11777" max="11777" width="8.88671875" style="151"/>
    <col min="11778" max="11778" width="11" style="151" customWidth="1"/>
    <col min="11779" max="11779" width="11.109375" style="151" customWidth="1"/>
    <col min="11780" max="11780" width="12" style="151" customWidth="1"/>
    <col min="11781" max="11781" width="11.44140625" style="151" customWidth="1"/>
    <col min="11782" max="11782" width="9.5546875" style="151" customWidth="1"/>
    <col min="11783" max="11783" width="25.5546875" style="151" customWidth="1"/>
    <col min="11784" max="11784" width="16.6640625" style="151" customWidth="1"/>
    <col min="11785" max="11785" width="8.88671875" style="151"/>
    <col min="11786" max="11786" width="12.5546875" style="151" customWidth="1"/>
    <col min="11787" max="11787" width="12.33203125" style="151" customWidth="1"/>
    <col min="11788" max="11789" width="11.44140625" style="151" bestFit="1" customWidth="1"/>
    <col min="11790" max="12027" width="8.88671875" style="151"/>
    <col min="12028" max="12028" width="7.33203125" style="151" customWidth="1"/>
    <col min="12029" max="12029" width="6.6640625" style="151" customWidth="1"/>
    <col min="12030" max="12030" width="34.6640625" style="151" customWidth="1"/>
    <col min="12031" max="12031" width="8.5546875" style="151" customWidth="1"/>
    <col min="12032" max="12032" width="9.5546875" style="151" customWidth="1"/>
    <col min="12033" max="12033" width="8.88671875" style="151"/>
    <col min="12034" max="12034" width="11" style="151" customWidth="1"/>
    <col min="12035" max="12035" width="11.109375" style="151" customWidth="1"/>
    <col min="12036" max="12036" width="12" style="151" customWidth="1"/>
    <col min="12037" max="12037" width="11.44140625" style="151" customWidth="1"/>
    <col min="12038" max="12038" width="9.5546875" style="151" customWidth="1"/>
    <col min="12039" max="12039" width="25.5546875" style="151" customWidth="1"/>
    <col min="12040" max="12040" width="16.6640625" style="151" customWidth="1"/>
    <col min="12041" max="12041" width="8.88671875" style="151"/>
    <col min="12042" max="12042" width="12.5546875" style="151" customWidth="1"/>
    <col min="12043" max="12043" width="12.33203125" style="151" customWidth="1"/>
    <col min="12044" max="12045" width="11.44140625" style="151" bestFit="1" customWidth="1"/>
    <col min="12046" max="12283" width="8.88671875" style="151"/>
    <col min="12284" max="12284" width="7.33203125" style="151" customWidth="1"/>
    <col min="12285" max="12285" width="6.6640625" style="151" customWidth="1"/>
    <col min="12286" max="12286" width="34.6640625" style="151" customWidth="1"/>
    <col min="12287" max="12287" width="8.5546875" style="151" customWidth="1"/>
    <col min="12288" max="12288" width="9.5546875" style="151" customWidth="1"/>
    <col min="12289" max="12289" width="8.88671875" style="151"/>
    <col min="12290" max="12290" width="11" style="151" customWidth="1"/>
    <col min="12291" max="12291" width="11.109375" style="151" customWidth="1"/>
    <col min="12292" max="12292" width="12" style="151" customWidth="1"/>
    <col min="12293" max="12293" width="11.44140625" style="151" customWidth="1"/>
    <col min="12294" max="12294" width="9.5546875" style="151" customWidth="1"/>
    <col min="12295" max="12295" width="25.5546875" style="151" customWidth="1"/>
    <col min="12296" max="12296" width="16.6640625" style="151" customWidth="1"/>
    <col min="12297" max="12297" width="8.88671875" style="151"/>
    <col min="12298" max="12298" width="12.5546875" style="151" customWidth="1"/>
    <col min="12299" max="12299" width="12.33203125" style="151" customWidth="1"/>
    <col min="12300" max="12301" width="11.44140625" style="151" bestFit="1" customWidth="1"/>
    <col min="12302" max="12539" width="8.88671875" style="151"/>
    <col min="12540" max="12540" width="7.33203125" style="151" customWidth="1"/>
    <col min="12541" max="12541" width="6.6640625" style="151" customWidth="1"/>
    <col min="12542" max="12542" width="34.6640625" style="151" customWidth="1"/>
    <col min="12543" max="12543" width="8.5546875" style="151" customWidth="1"/>
    <col min="12544" max="12544" width="9.5546875" style="151" customWidth="1"/>
    <col min="12545" max="12545" width="8.88671875" style="151"/>
    <col min="12546" max="12546" width="11" style="151" customWidth="1"/>
    <col min="12547" max="12547" width="11.109375" style="151" customWidth="1"/>
    <col min="12548" max="12548" width="12" style="151" customWidth="1"/>
    <col min="12549" max="12549" width="11.44140625" style="151" customWidth="1"/>
    <col min="12550" max="12550" width="9.5546875" style="151" customWidth="1"/>
    <col min="12551" max="12551" width="25.5546875" style="151" customWidth="1"/>
    <col min="12552" max="12552" width="16.6640625" style="151" customWidth="1"/>
    <col min="12553" max="12553" width="8.88671875" style="151"/>
    <col min="12554" max="12554" width="12.5546875" style="151" customWidth="1"/>
    <col min="12555" max="12555" width="12.33203125" style="151" customWidth="1"/>
    <col min="12556" max="12557" width="11.44140625" style="151" bestFit="1" customWidth="1"/>
    <col min="12558" max="12795" width="8.88671875" style="151"/>
    <col min="12796" max="12796" width="7.33203125" style="151" customWidth="1"/>
    <col min="12797" max="12797" width="6.6640625" style="151" customWidth="1"/>
    <col min="12798" max="12798" width="34.6640625" style="151" customWidth="1"/>
    <col min="12799" max="12799" width="8.5546875" style="151" customWidth="1"/>
    <col min="12800" max="12800" width="9.5546875" style="151" customWidth="1"/>
    <col min="12801" max="12801" width="8.88671875" style="151"/>
    <col min="12802" max="12802" width="11" style="151" customWidth="1"/>
    <col min="12803" max="12803" width="11.109375" style="151" customWidth="1"/>
    <col min="12804" max="12804" width="12" style="151" customWidth="1"/>
    <col min="12805" max="12805" width="11.44140625" style="151" customWidth="1"/>
    <col min="12806" max="12806" width="9.5546875" style="151" customWidth="1"/>
    <col min="12807" max="12807" width="25.5546875" style="151" customWidth="1"/>
    <col min="12808" max="12808" width="16.6640625" style="151" customWidth="1"/>
    <col min="12809" max="12809" width="8.88671875" style="151"/>
    <col min="12810" max="12810" width="12.5546875" style="151" customWidth="1"/>
    <col min="12811" max="12811" width="12.33203125" style="151" customWidth="1"/>
    <col min="12812" max="12813" width="11.44140625" style="151" bestFit="1" customWidth="1"/>
    <col min="12814" max="13051" width="8.88671875" style="151"/>
    <col min="13052" max="13052" width="7.33203125" style="151" customWidth="1"/>
    <col min="13053" max="13053" width="6.6640625" style="151" customWidth="1"/>
    <col min="13054" max="13054" width="34.6640625" style="151" customWidth="1"/>
    <col min="13055" max="13055" width="8.5546875" style="151" customWidth="1"/>
    <col min="13056" max="13056" width="9.5546875" style="151" customWidth="1"/>
    <col min="13057" max="13057" width="8.88671875" style="151"/>
    <col min="13058" max="13058" width="11" style="151" customWidth="1"/>
    <col min="13059" max="13059" width="11.109375" style="151" customWidth="1"/>
    <col min="13060" max="13060" width="12" style="151" customWidth="1"/>
    <col min="13061" max="13061" width="11.44140625" style="151" customWidth="1"/>
    <col min="13062" max="13062" width="9.5546875" style="151" customWidth="1"/>
    <col min="13063" max="13063" width="25.5546875" style="151" customWidth="1"/>
    <col min="13064" max="13064" width="16.6640625" style="151" customWidth="1"/>
    <col min="13065" max="13065" width="8.88671875" style="151"/>
    <col min="13066" max="13066" width="12.5546875" style="151" customWidth="1"/>
    <col min="13067" max="13067" width="12.33203125" style="151" customWidth="1"/>
    <col min="13068" max="13069" width="11.44140625" style="151" bestFit="1" customWidth="1"/>
    <col min="13070" max="13307" width="8.88671875" style="151"/>
    <col min="13308" max="13308" width="7.33203125" style="151" customWidth="1"/>
    <col min="13309" max="13309" width="6.6640625" style="151" customWidth="1"/>
    <col min="13310" max="13310" width="34.6640625" style="151" customWidth="1"/>
    <col min="13311" max="13311" width="8.5546875" style="151" customWidth="1"/>
    <col min="13312" max="13312" width="9.5546875" style="151" customWidth="1"/>
    <col min="13313" max="13313" width="8.88671875" style="151"/>
    <col min="13314" max="13314" width="11" style="151" customWidth="1"/>
    <col min="13315" max="13315" width="11.109375" style="151" customWidth="1"/>
    <col min="13316" max="13316" width="12" style="151" customWidth="1"/>
    <col min="13317" max="13317" width="11.44140625" style="151" customWidth="1"/>
    <col min="13318" max="13318" width="9.5546875" style="151" customWidth="1"/>
    <col min="13319" max="13319" width="25.5546875" style="151" customWidth="1"/>
    <col min="13320" max="13320" width="16.6640625" style="151" customWidth="1"/>
    <col min="13321" max="13321" width="8.88671875" style="151"/>
    <col min="13322" max="13322" width="12.5546875" style="151" customWidth="1"/>
    <col min="13323" max="13323" width="12.33203125" style="151" customWidth="1"/>
    <col min="13324" max="13325" width="11.44140625" style="151" bestFit="1" customWidth="1"/>
    <col min="13326" max="13563" width="8.88671875" style="151"/>
    <col min="13564" max="13564" width="7.33203125" style="151" customWidth="1"/>
    <col min="13565" max="13565" width="6.6640625" style="151" customWidth="1"/>
    <col min="13566" max="13566" width="34.6640625" style="151" customWidth="1"/>
    <col min="13567" max="13567" width="8.5546875" style="151" customWidth="1"/>
    <col min="13568" max="13568" width="9.5546875" style="151" customWidth="1"/>
    <col min="13569" max="13569" width="8.88671875" style="151"/>
    <col min="13570" max="13570" width="11" style="151" customWidth="1"/>
    <col min="13571" max="13571" width="11.109375" style="151" customWidth="1"/>
    <col min="13572" max="13572" width="12" style="151" customWidth="1"/>
    <col min="13573" max="13573" width="11.44140625" style="151" customWidth="1"/>
    <col min="13574" max="13574" width="9.5546875" style="151" customWidth="1"/>
    <col min="13575" max="13575" width="25.5546875" style="151" customWidth="1"/>
    <col min="13576" max="13576" width="16.6640625" style="151" customWidth="1"/>
    <col min="13577" max="13577" width="8.88671875" style="151"/>
    <col min="13578" max="13578" width="12.5546875" style="151" customWidth="1"/>
    <col min="13579" max="13579" width="12.33203125" style="151" customWidth="1"/>
    <col min="13580" max="13581" width="11.44140625" style="151" bestFit="1" customWidth="1"/>
    <col min="13582" max="13819" width="8.88671875" style="151"/>
    <col min="13820" max="13820" width="7.33203125" style="151" customWidth="1"/>
    <col min="13821" max="13821" width="6.6640625" style="151" customWidth="1"/>
    <col min="13822" max="13822" width="34.6640625" style="151" customWidth="1"/>
    <col min="13823" max="13823" width="8.5546875" style="151" customWidth="1"/>
    <col min="13824" max="13824" width="9.5546875" style="151" customWidth="1"/>
    <col min="13825" max="13825" width="8.88671875" style="151"/>
    <col min="13826" max="13826" width="11" style="151" customWidth="1"/>
    <col min="13827" max="13827" width="11.109375" style="151" customWidth="1"/>
    <col min="13828" max="13828" width="12" style="151" customWidth="1"/>
    <col min="13829" max="13829" width="11.44140625" style="151" customWidth="1"/>
    <col min="13830" max="13830" width="9.5546875" style="151" customWidth="1"/>
    <col min="13831" max="13831" width="25.5546875" style="151" customWidth="1"/>
    <col min="13832" max="13832" width="16.6640625" style="151" customWidth="1"/>
    <col min="13833" max="13833" width="8.88671875" style="151"/>
    <col min="13834" max="13834" width="12.5546875" style="151" customWidth="1"/>
    <col min="13835" max="13835" width="12.33203125" style="151" customWidth="1"/>
    <col min="13836" max="13837" width="11.44140625" style="151" bestFit="1" customWidth="1"/>
    <col min="13838" max="14075" width="8.88671875" style="151"/>
    <col min="14076" max="14076" width="7.33203125" style="151" customWidth="1"/>
    <col min="14077" max="14077" width="6.6640625" style="151" customWidth="1"/>
    <col min="14078" max="14078" width="34.6640625" style="151" customWidth="1"/>
    <col min="14079" max="14079" width="8.5546875" style="151" customWidth="1"/>
    <col min="14080" max="14080" width="9.5546875" style="151" customWidth="1"/>
    <col min="14081" max="14081" width="8.88671875" style="151"/>
    <col min="14082" max="14082" width="11" style="151" customWidth="1"/>
    <col min="14083" max="14083" width="11.109375" style="151" customWidth="1"/>
    <col min="14084" max="14084" width="12" style="151" customWidth="1"/>
    <col min="14085" max="14085" width="11.44140625" style="151" customWidth="1"/>
    <col min="14086" max="14086" width="9.5546875" style="151" customWidth="1"/>
    <col min="14087" max="14087" width="25.5546875" style="151" customWidth="1"/>
    <col min="14088" max="14088" width="16.6640625" style="151" customWidth="1"/>
    <col min="14089" max="14089" width="8.88671875" style="151"/>
    <col min="14090" max="14090" width="12.5546875" style="151" customWidth="1"/>
    <col min="14091" max="14091" width="12.33203125" style="151" customWidth="1"/>
    <col min="14092" max="14093" width="11.44140625" style="151" bestFit="1" customWidth="1"/>
    <col min="14094" max="14331" width="8.88671875" style="151"/>
    <col min="14332" max="14332" width="7.33203125" style="151" customWidth="1"/>
    <col min="14333" max="14333" width="6.6640625" style="151" customWidth="1"/>
    <col min="14334" max="14334" width="34.6640625" style="151" customWidth="1"/>
    <col min="14335" max="14335" width="8.5546875" style="151" customWidth="1"/>
    <col min="14336" max="14336" width="9.5546875" style="151" customWidth="1"/>
    <col min="14337" max="14337" width="8.88671875" style="151"/>
    <col min="14338" max="14338" width="11" style="151" customWidth="1"/>
    <col min="14339" max="14339" width="11.109375" style="151" customWidth="1"/>
    <col min="14340" max="14340" width="12" style="151" customWidth="1"/>
    <col min="14341" max="14341" width="11.44140625" style="151" customWidth="1"/>
    <col min="14342" max="14342" width="9.5546875" style="151" customWidth="1"/>
    <col min="14343" max="14343" width="25.5546875" style="151" customWidth="1"/>
    <col min="14344" max="14344" width="16.6640625" style="151" customWidth="1"/>
    <col min="14345" max="14345" width="8.88671875" style="151"/>
    <col min="14346" max="14346" width="12.5546875" style="151" customWidth="1"/>
    <col min="14347" max="14347" width="12.33203125" style="151" customWidth="1"/>
    <col min="14348" max="14349" width="11.44140625" style="151" bestFit="1" customWidth="1"/>
    <col min="14350" max="14587" width="8.88671875" style="151"/>
    <col min="14588" max="14588" width="7.33203125" style="151" customWidth="1"/>
    <col min="14589" max="14589" width="6.6640625" style="151" customWidth="1"/>
    <col min="14590" max="14590" width="34.6640625" style="151" customWidth="1"/>
    <col min="14591" max="14591" width="8.5546875" style="151" customWidth="1"/>
    <col min="14592" max="14592" width="9.5546875" style="151" customWidth="1"/>
    <col min="14593" max="14593" width="8.88671875" style="151"/>
    <col min="14594" max="14594" width="11" style="151" customWidth="1"/>
    <col min="14595" max="14595" width="11.109375" style="151" customWidth="1"/>
    <col min="14596" max="14596" width="12" style="151" customWidth="1"/>
    <col min="14597" max="14597" width="11.44140625" style="151" customWidth="1"/>
    <col min="14598" max="14598" width="9.5546875" style="151" customWidth="1"/>
    <col min="14599" max="14599" width="25.5546875" style="151" customWidth="1"/>
    <col min="14600" max="14600" width="16.6640625" style="151" customWidth="1"/>
    <col min="14601" max="14601" width="8.88671875" style="151"/>
    <col min="14602" max="14602" width="12.5546875" style="151" customWidth="1"/>
    <col min="14603" max="14603" width="12.33203125" style="151" customWidth="1"/>
    <col min="14604" max="14605" width="11.44140625" style="151" bestFit="1" customWidth="1"/>
    <col min="14606" max="14843" width="8.88671875" style="151"/>
    <col min="14844" max="14844" width="7.33203125" style="151" customWidth="1"/>
    <col min="14845" max="14845" width="6.6640625" style="151" customWidth="1"/>
    <col min="14846" max="14846" width="34.6640625" style="151" customWidth="1"/>
    <col min="14847" max="14847" width="8.5546875" style="151" customWidth="1"/>
    <col min="14848" max="14848" width="9.5546875" style="151" customWidth="1"/>
    <col min="14849" max="14849" width="8.88671875" style="151"/>
    <col min="14850" max="14850" width="11" style="151" customWidth="1"/>
    <col min="14851" max="14851" width="11.109375" style="151" customWidth="1"/>
    <col min="14852" max="14852" width="12" style="151" customWidth="1"/>
    <col min="14853" max="14853" width="11.44140625" style="151" customWidth="1"/>
    <col min="14854" max="14854" width="9.5546875" style="151" customWidth="1"/>
    <col min="14855" max="14855" width="25.5546875" style="151" customWidth="1"/>
    <col min="14856" max="14856" width="16.6640625" style="151" customWidth="1"/>
    <col min="14857" max="14857" width="8.88671875" style="151"/>
    <col min="14858" max="14858" width="12.5546875" style="151" customWidth="1"/>
    <col min="14859" max="14859" width="12.33203125" style="151" customWidth="1"/>
    <col min="14860" max="14861" width="11.44140625" style="151" bestFit="1" customWidth="1"/>
    <col min="14862" max="15099" width="8.88671875" style="151"/>
    <col min="15100" max="15100" width="7.33203125" style="151" customWidth="1"/>
    <col min="15101" max="15101" width="6.6640625" style="151" customWidth="1"/>
    <col min="15102" max="15102" width="34.6640625" style="151" customWidth="1"/>
    <col min="15103" max="15103" width="8.5546875" style="151" customWidth="1"/>
    <col min="15104" max="15104" width="9.5546875" style="151" customWidth="1"/>
    <col min="15105" max="15105" width="8.88671875" style="151"/>
    <col min="15106" max="15106" width="11" style="151" customWidth="1"/>
    <col min="15107" max="15107" width="11.109375" style="151" customWidth="1"/>
    <col min="15108" max="15108" width="12" style="151" customWidth="1"/>
    <col min="15109" max="15109" width="11.44140625" style="151" customWidth="1"/>
    <col min="15110" max="15110" width="9.5546875" style="151" customWidth="1"/>
    <col min="15111" max="15111" width="25.5546875" style="151" customWidth="1"/>
    <col min="15112" max="15112" width="16.6640625" style="151" customWidth="1"/>
    <col min="15113" max="15113" width="8.88671875" style="151"/>
    <col min="15114" max="15114" width="12.5546875" style="151" customWidth="1"/>
    <col min="15115" max="15115" width="12.33203125" style="151" customWidth="1"/>
    <col min="15116" max="15117" width="11.44140625" style="151" bestFit="1" customWidth="1"/>
    <col min="15118" max="15355" width="8.88671875" style="151"/>
    <col min="15356" max="15356" width="7.33203125" style="151" customWidth="1"/>
    <col min="15357" max="15357" width="6.6640625" style="151" customWidth="1"/>
    <col min="15358" max="15358" width="34.6640625" style="151" customWidth="1"/>
    <col min="15359" max="15359" width="8.5546875" style="151" customWidth="1"/>
    <col min="15360" max="15360" width="9.5546875" style="151" customWidth="1"/>
    <col min="15361" max="15361" width="8.88671875" style="151"/>
    <col min="15362" max="15362" width="11" style="151" customWidth="1"/>
    <col min="15363" max="15363" width="11.109375" style="151" customWidth="1"/>
    <col min="15364" max="15364" width="12" style="151" customWidth="1"/>
    <col min="15365" max="15365" width="11.44140625" style="151" customWidth="1"/>
    <col min="15366" max="15366" width="9.5546875" style="151" customWidth="1"/>
    <col min="15367" max="15367" width="25.5546875" style="151" customWidth="1"/>
    <col min="15368" max="15368" width="16.6640625" style="151" customWidth="1"/>
    <col min="15369" max="15369" width="8.88671875" style="151"/>
    <col min="15370" max="15370" width="12.5546875" style="151" customWidth="1"/>
    <col min="15371" max="15371" width="12.33203125" style="151" customWidth="1"/>
    <col min="15372" max="15373" width="11.44140625" style="151" bestFit="1" customWidth="1"/>
    <col min="15374" max="15611" width="8.88671875" style="151"/>
    <col min="15612" max="15612" width="7.33203125" style="151" customWidth="1"/>
    <col min="15613" max="15613" width="6.6640625" style="151" customWidth="1"/>
    <col min="15614" max="15614" width="34.6640625" style="151" customWidth="1"/>
    <col min="15615" max="15615" width="8.5546875" style="151" customWidth="1"/>
    <col min="15616" max="15616" width="9.5546875" style="151" customWidth="1"/>
    <col min="15617" max="15617" width="8.88671875" style="151"/>
    <col min="15618" max="15618" width="11" style="151" customWidth="1"/>
    <col min="15619" max="15619" width="11.109375" style="151" customWidth="1"/>
    <col min="15620" max="15620" width="12" style="151" customWidth="1"/>
    <col min="15621" max="15621" width="11.44140625" style="151" customWidth="1"/>
    <col min="15622" max="15622" width="9.5546875" style="151" customWidth="1"/>
    <col min="15623" max="15623" width="25.5546875" style="151" customWidth="1"/>
    <col min="15624" max="15624" width="16.6640625" style="151" customWidth="1"/>
    <col min="15625" max="15625" width="8.88671875" style="151"/>
    <col min="15626" max="15626" width="12.5546875" style="151" customWidth="1"/>
    <col min="15627" max="15627" width="12.33203125" style="151" customWidth="1"/>
    <col min="15628" max="15629" width="11.44140625" style="151" bestFit="1" customWidth="1"/>
    <col min="15630" max="15867" width="8.88671875" style="151"/>
    <col min="15868" max="15868" width="7.33203125" style="151" customWidth="1"/>
    <col min="15869" max="15869" width="6.6640625" style="151" customWidth="1"/>
    <col min="15870" max="15870" width="34.6640625" style="151" customWidth="1"/>
    <col min="15871" max="15871" width="8.5546875" style="151" customWidth="1"/>
    <col min="15872" max="15872" width="9.5546875" style="151" customWidth="1"/>
    <col min="15873" max="15873" width="8.88671875" style="151"/>
    <col min="15874" max="15874" width="11" style="151" customWidth="1"/>
    <col min="15875" max="15875" width="11.109375" style="151" customWidth="1"/>
    <col min="15876" max="15876" width="12" style="151" customWidth="1"/>
    <col min="15877" max="15877" width="11.44140625" style="151" customWidth="1"/>
    <col min="15878" max="15878" width="9.5546875" style="151" customWidth="1"/>
    <col min="15879" max="15879" width="25.5546875" style="151" customWidth="1"/>
    <col min="15880" max="15880" width="16.6640625" style="151" customWidth="1"/>
    <col min="15881" max="15881" width="8.88671875" style="151"/>
    <col min="15882" max="15882" width="12.5546875" style="151" customWidth="1"/>
    <col min="15883" max="15883" width="12.33203125" style="151" customWidth="1"/>
    <col min="15884" max="15885" width="11.44140625" style="151" bestFit="1" customWidth="1"/>
    <col min="15886" max="16123" width="8.88671875" style="151"/>
    <col min="16124" max="16124" width="7.33203125" style="151" customWidth="1"/>
    <col min="16125" max="16125" width="6.6640625" style="151" customWidth="1"/>
    <col min="16126" max="16126" width="34.6640625" style="151" customWidth="1"/>
    <col min="16127" max="16127" width="8.5546875" style="151" customWidth="1"/>
    <col min="16128" max="16128" width="9.5546875" style="151" customWidth="1"/>
    <col min="16129" max="16129" width="8.88671875" style="151"/>
    <col min="16130" max="16130" width="11" style="151" customWidth="1"/>
    <col min="16131" max="16131" width="11.109375" style="151" customWidth="1"/>
    <col min="16132" max="16132" width="12" style="151" customWidth="1"/>
    <col min="16133" max="16133" width="11.44140625" style="151" customWidth="1"/>
    <col min="16134" max="16134" width="9.5546875" style="151" customWidth="1"/>
    <col min="16135" max="16135" width="25.5546875" style="151" customWidth="1"/>
    <col min="16136" max="16136" width="16.6640625" style="151" customWidth="1"/>
    <col min="16137" max="16137" width="8.88671875" style="151"/>
    <col min="16138" max="16138" width="12.5546875" style="151" customWidth="1"/>
    <col min="16139" max="16139" width="12.33203125" style="151" customWidth="1"/>
    <col min="16140" max="16141" width="11.44140625" style="151" bestFit="1" customWidth="1"/>
    <col min="16142" max="16384" width="8.88671875" style="151"/>
  </cols>
  <sheetData>
    <row r="1" spans="1:256" customFormat="1" ht="30" customHeight="1" x14ac:dyDescent="0.3">
      <c r="A1" s="507"/>
      <c r="B1" s="507"/>
      <c r="C1" s="507"/>
      <c r="D1" s="507"/>
      <c r="E1" s="507"/>
      <c r="F1" s="507"/>
      <c r="G1" s="191"/>
      <c r="H1" s="127"/>
      <c r="I1" s="127"/>
      <c r="J1" s="127"/>
      <c r="K1" s="127"/>
    </row>
    <row r="2" spans="1:256" customFormat="1" ht="13.5" customHeight="1" x14ac:dyDescent="0.3">
      <c r="A2" s="497"/>
      <c r="B2" s="497"/>
      <c r="C2" s="497"/>
      <c r="D2" s="497"/>
      <c r="E2" s="497"/>
      <c r="F2" s="497"/>
      <c r="G2" s="191"/>
      <c r="H2" s="127"/>
      <c r="I2" s="127"/>
      <c r="J2" s="127"/>
      <c r="K2" s="127"/>
    </row>
    <row r="3" spans="1:256" customFormat="1" ht="27.75" customHeight="1" x14ac:dyDescent="0.3">
      <c r="A3" s="496"/>
      <c r="B3" s="496"/>
      <c r="C3" s="496"/>
      <c r="D3" s="496"/>
      <c r="E3" s="496"/>
      <c r="F3" s="496"/>
      <c r="G3" s="192"/>
      <c r="H3" s="127"/>
      <c r="I3" s="127"/>
      <c r="J3" s="127"/>
      <c r="K3" s="127"/>
    </row>
    <row r="4" spans="1:256" customFormat="1" ht="14.25" customHeight="1" x14ac:dyDescent="0.3">
      <c r="A4" s="29"/>
      <c r="B4" s="29"/>
      <c r="C4" s="29"/>
      <c r="D4" s="126"/>
      <c r="E4" s="29"/>
      <c r="F4" s="29"/>
      <c r="G4" s="29"/>
      <c r="H4" s="29"/>
      <c r="I4" s="29"/>
      <c r="J4" s="127"/>
      <c r="K4" s="127"/>
    </row>
    <row r="5" spans="1:256" x14ac:dyDescent="0.25">
      <c r="A5" s="537" t="s">
        <v>0</v>
      </c>
      <c r="B5" s="537"/>
      <c r="C5" s="537"/>
      <c r="D5" s="537"/>
      <c r="E5" s="537" t="s">
        <v>1</v>
      </c>
      <c r="F5" s="537"/>
      <c r="G5" s="537"/>
      <c r="H5" s="537"/>
      <c r="I5" s="537"/>
      <c r="J5" s="313"/>
      <c r="K5" s="314"/>
    </row>
    <row r="6" spans="1:256" ht="28.95" customHeight="1" x14ac:dyDescent="0.25">
      <c r="A6" s="538" t="str">
        <f>DADOS!B4</f>
        <v>PREFEITURA MUNICIPAL DE SÃO FELIPE/BA</v>
      </c>
      <c r="B6" s="538"/>
      <c r="C6" s="538"/>
      <c r="D6" s="538"/>
      <c r="E6" s="539" t="str">
        <f>DADOS!B8</f>
        <v>PAVIMENTAÇÃO ASFÁLTICA DIVERSAS RUAS, NO MUNICÍPIO DE SÃO FELIPE/BA</v>
      </c>
      <c r="F6" s="539"/>
      <c r="G6" s="539"/>
      <c r="H6" s="539"/>
      <c r="I6" s="539"/>
      <c r="J6" s="539"/>
      <c r="K6" s="151"/>
    </row>
    <row r="7" spans="1:256" x14ac:dyDescent="0.25">
      <c r="A7" s="537" t="s">
        <v>15</v>
      </c>
      <c r="B7" s="537"/>
      <c r="C7" s="537"/>
      <c r="D7" s="537"/>
      <c r="E7" s="537" t="s">
        <v>16</v>
      </c>
      <c r="F7" s="537"/>
      <c r="G7" s="537" t="s">
        <v>17</v>
      </c>
      <c r="H7" s="537"/>
      <c r="I7" s="537" t="s">
        <v>18</v>
      </c>
      <c r="J7" s="537"/>
      <c r="K7" s="314"/>
    </row>
    <row r="8" spans="1:256" ht="39" customHeight="1" x14ac:dyDescent="0.25">
      <c r="A8" s="538" t="str">
        <f>DADOS!B5</f>
        <v>SÃO FELIPE/BA</v>
      </c>
      <c r="B8" s="538"/>
      <c r="C8" s="538"/>
      <c r="D8" s="538"/>
      <c r="E8" s="540">
        <f ca="1">DADOS!B18</f>
        <v>45812</v>
      </c>
      <c r="F8" s="540"/>
      <c r="G8" s="541" t="str">
        <f>[5]DADOS!B10</f>
        <v>SINAPI - 04/2025 - Bahia
SICRO3 - 01/2025 - Bahia
ORSE - 02/2025 - Sergipe</v>
      </c>
      <c r="H8" s="541"/>
      <c r="I8" s="542">
        <f>DADOS!B11</f>
        <v>0.2009</v>
      </c>
      <c r="J8" s="542"/>
      <c r="K8" s="151"/>
    </row>
    <row r="9" spans="1:256" ht="13.2" customHeight="1" x14ac:dyDescent="0.25">
      <c r="A9" s="315"/>
      <c r="B9" s="315"/>
      <c r="C9" s="315"/>
      <c r="D9" s="315"/>
      <c r="E9" s="316"/>
      <c r="F9" s="316"/>
      <c r="G9" s="317"/>
      <c r="H9" s="317"/>
      <c r="I9" s="318"/>
      <c r="J9" s="318"/>
      <c r="K9" s="151"/>
    </row>
    <row r="10" spans="1:256" ht="13.8" x14ac:dyDescent="0.25">
      <c r="A10" s="543" t="s">
        <v>403</v>
      </c>
      <c r="B10" s="543"/>
      <c r="C10" s="543"/>
      <c r="D10" s="543"/>
      <c r="E10" s="543"/>
      <c r="F10" s="543"/>
      <c r="G10" s="543"/>
      <c r="H10" s="543"/>
      <c r="I10" s="543"/>
      <c r="J10" s="543"/>
      <c r="K10" s="543"/>
    </row>
    <row r="11" spans="1:256" ht="13.8" thickBot="1" x14ac:dyDescent="0.3">
      <c r="A11" s="319"/>
      <c r="B11" s="320"/>
      <c r="C11" s="319"/>
      <c r="D11" s="321"/>
      <c r="E11" s="319"/>
      <c r="F11" s="322"/>
      <c r="G11" s="319"/>
      <c r="H11" s="323"/>
      <c r="I11" s="323"/>
      <c r="J11" s="323"/>
      <c r="K11" s="314"/>
    </row>
    <row r="12" spans="1:256" ht="20.399999999999999" customHeight="1" thickBot="1" x14ac:dyDescent="0.3">
      <c r="A12" s="447" t="s">
        <v>123</v>
      </c>
      <c r="B12" s="448" t="s">
        <v>122</v>
      </c>
      <c r="C12" s="448" t="s">
        <v>121</v>
      </c>
      <c r="D12" s="448" t="s">
        <v>120</v>
      </c>
      <c r="E12" s="559" t="s">
        <v>119</v>
      </c>
      <c r="F12" s="559"/>
      <c r="G12" s="559"/>
      <c r="H12" s="559"/>
      <c r="I12" s="559"/>
      <c r="J12" s="559"/>
      <c r="K12" s="559"/>
      <c r="L12" s="449" t="s">
        <v>396</v>
      </c>
      <c r="M12" s="324"/>
      <c r="N12" s="325"/>
      <c r="O12" s="324"/>
    </row>
    <row r="13" spans="1:256" ht="13.95" customHeight="1" thickBot="1" x14ac:dyDescent="0.3">
      <c r="A13" s="531" t="s">
        <v>310</v>
      </c>
      <c r="B13" s="532"/>
      <c r="C13" s="532"/>
      <c r="D13" s="532"/>
      <c r="E13" s="532"/>
      <c r="F13" s="532"/>
      <c r="G13" s="532"/>
      <c r="H13" s="532"/>
      <c r="I13" s="532"/>
      <c r="J13" s="532"/>
      <c r="K13" s="532"/>
      <c r="L13" s="533"/>
    </row>
    <row r="14" spans="1:256" customFormat="1" ht="14.4" x14ac:dyDescent="0.3">
      <c r="A14" s="375">
        <v>90776</v>
      </c>
      <c r="B14" s="376" t="s">
        <v>107</v>
      </c>
      <c r="C14" s="377" t="s">
        <v>397</v>
      </c>
      <c r="D14" s="378" t="s">
        <v>251</v>
      </c>
      <c r="E14" s="379" t="s">
        <v>118</v>
      </c>
      <c r="F14" s="380" t="s">
        <v>311</v>
      </c>
      <c r="G14" s="380" t="s">
        <v>312</v>
      </c>
      <c r="H14" s="381" t="s">
        <v>313</v>
      </c>
      <c r="I14" s="380" t="s">
        <v>114</v>
      </c>
      <c r="J14" s="380" t="s">
        <v>113</v>
      </c>
      <c r="K14" s="352" t="s">
        <v>10</v>
      </c>
      <c r="L14" s="535"/>
      <c r="M14" s="151"/>
      <c r="N14" s="114"/>
      <c r="V14" s="151"/>
      <c r="W14" s="151"/>
      <c r="X14" s="151"/>
      <c r="Y14" s="151"/>
      <c r="Z14" s="151"/>
      <c r="AA14" s="151"/>
      <c r="AB14" s="151"/>
      <c r="AC14" s="151"/>
      <c r="AD14" s="151"/>
      <c r="AE14" s="151"/>
      <c r="AF14" s="151"/>
      <c r="AG14" s="151"/>
      <c r="AH14" s="151"/>
      <c r="AI14" s="151"/>
      <c r="AJ14" s="151"/>
      <c r="AK14" s="151"/>
      <c r="AL14" s="151"/>
      <c r="AM14" s="151"/>
      <c r="AN14" s="151"/>
      <c r="AO14" s="151"/>
      <c r="AP14" s="151"/>
      <c r="AQ14" s="151"/>
      <c r="AR14" s="151"/>
      <c r="AS14" s="151"/>
      <c r="AT14" s="151"/>
      <c r="AU14" s="151"/>
      <c r="AV14" s="151"/>
      <c r="AW14" s="151"/>
      <c r="AX14" s="151"/>
      <c r="AY14" s="151"/>
      <c r="AZ14" s="151"/>
      <c r="BA14" s="151"/>
      <c r="BB14" s="151"/>
      <c r="BC14" s="151"/>
      <c r="BD14" s="151"/>
      <c r="BE14" s="151"/>
      <c r="BF14" s="151"/>
      <c r="BG14" s="151"/>
      <c r="BH14" s="151"/>
      <c r="BI14" s="151"/>
      <c r="BJ14" s="151"/>
      <c r="BK14" s="151"/>
      <c r="BL14" s="151"/>
      <c r="BM14" s="151"/>
      <c r="BN14" s="151"/>
      <c r="BO14" s="151"/>
      <c r="BP14" s="151"/>
      <c r="BQ14" s="151"/>
      <c r="BR14" s="151"/>
      <c r="BS14" s="151"/>
      <c r="BT14" s="151"/>
      <c r="BU14" s="151"/>
      <c r="BV14" s="151"/>
      <c r="BW14" s="151"/>
      <c r="BX14" s="151"/>
      <c r="BY14" s="151"/>
      <c r="BZ14" s="151"/>
      <c r="CA14" s="151"/>
      <c r="CB14" s="151"/>
      <c r="CC14" s="151"/>
      <c r="CD14" s="151"/>
      <c r="CE14" s="151"/>
      <c r="CF14" s="151"/>
      <c r="CG14" s="151"/>
      <c r="CH14" s="151"/>
      <c r="CI14" s="151"/>
      <c r="CJ14" s="151"/>
      <c r="CK14" s="151"/>
      <c r="CL14" s="151"/>
      <c r="CM14" s="151"/>
      <c r="CN14" s="151"/>
      <c r="CO14" s="151"/>
      <c r="CP14" s="151"/>
      <c r="CQ14" s="151"/>
      <c r="CR14" s="151"/>
      <c r="CS14" s="151"/>
      <c r="CT14" s="151"/>
      <c r="CU14" s="151"/>
      <c r="CV14" s="151"/>
      <c r="CW14" s="151"/>
      <c r="CX14" s="151"/>
      <c r="CY14" s="151"/>
      <c r="CZ14" s="151"/>
      <c r="DA14" s="151"/>
      <c r="DB14" s="151"/>
      <c r="DC14" s="151"/>
      <c r="DD14" s="151"/>
      <c r="DE14" s="151"/>
      <c r="DF14" s="151"/>
      <c r="DG14" s="151"/>
      <c r="DH14" s="151"/>
      <c r="DI14" s="151"/>
      <c r="DJ14" s="151"/>
      <c r="DK14" s="151"/>
      <c r="DL14" s="151"/>
      <c r="DM14" s="151"/>
      <c r="DN14" s="151"/>
      <c r="DO14" s="151"/>
      <c r="DP14" s="151"/>
      <c r="DQ14" s="151"/>
      <c r="DR14" s="151"/>
      <c r="DS14" s="151"/>
      <c r="DT14" s="151"/>
      <c r="DU14" s="151"/>
      <c r="DV14" s="151"/>
      <c r="DW14" s="151"/>
      <c r="DX14" s="151"/>
      <c r="DY14" s="151"/>
      <c r="DZ14" s="151"/>
      <c r="EA14" s="151"/>
      <c r="EB14" s="151"/>
      <c r="EC14" s="151"/>
      <c r="ED14" s="151"/>
      <c r="EE14" s="151"/>
      <c r="EF14" s="151"/>
      <c r="EG14" s="151"/>
      <c r="EH14" s="151"/>
      <c r="EI14" s="151"/>
      <c r="EJ14" s="151"/>
      <c r="EK14" s="151"/>
      <c r="EL14" s="151"/>
      <c r="EM14" s="151"/>
      <c r="EN14" s="151"/>
      <c r="EO14" s="151"/>
      <c r="EP14" s="151"/>
      <c r="EQ14" s="151"/>
      <c r="ER14" s="151"/>
      <c r="ES14" s="151"/>
      <c r="ET14" s="151"/>
      <c r="EU14" s="151"/>
      <c r="EV14" s="151"/>
      <c r="EW14" s="151"/>
      <c r="EX14" s="151"/>
      <c r="EY14" s="151"/>
      <c r="EZ14" s="151"/>
      <c r="FA14" s="151"/>
      <c r="FB14" s="151"/>
      <c r="FC14" s="151"/>
      <c r="FD14" s="151"/>
      <c r="FE14" s="151"/>
      <c r="FF14" s="151"/>
      <c r="FG14" s="151"/>
      <c r="FH14" s="151"/>
      <c r="FI14" s="151"/>
      <c r="FJ14" s="151"/>
      <c r="FK14" s="151"/>
      <c r="FL14" s="151"/>
      <c r="FM14" s="151"/>
      <c r="FN14" s="151"/>
      <c r="FO14" s="151"/>
      <c r="FP14" s="151"/>
      <c r="FQ14" s="151"/>
      <c r="FR14" s="151"/>
      <c r="FS14" s="151"/>
      <c r="FT14" s="151"/>
      <c r="FU14" s="151"/>
      <c r="FV14" s="151"/>
      <c r="FW14" s="151"/>
      <c r="FX14" s="151"/>
      <c r="FY14" s="151"/>
      <c r="FZ14" s="151"/>
      <c r="GA14" s="151"/>
      <c r="GB14" s="151"/>
      <c r="GC14" s="151"/>
      <c r="GD14" s="151"/>
      <c r="GE14" s="151"/>
      <c r="GF14" s="151"/>
      <c r="GG14" s="151"/>
      <c r="GH14" s="151"/>
      <c r="GI14" s="151"/>
      <c r="GJ14" s="151"/>
      <c r="GK14" s="151"/>
      <c r="GL14" s="151"/>
      <c r="GM14" s="151"/>
      <c r="GN14" s="151"/>
      <c r="GO14" s="151"/>
      <c r="GP14" s="151"/>
      <c r="GQ14" s="151"/>
      <c r="GR14" s="151"/>
      <c r="GS14" s="151"/>
      <c r="GT14" s="151"/>
      <c r="GU14" s="151"/>
      <c r="GV14" s="151"/>
      <c r="GW14" s="151"/>
      <c r="GX14" s="151"/>
      <c r="GY14" s="151"/>
      <c r="GZ14" s="151"/>
      <c r="HA14" s="151"/>
      <c r="HB14" s="151"/>
      <c r="HC14" s="151"/>
      <c r="HD14" s="151"/>
      <c r="HE14" s="151"/>
      <c r="HF14" s="151"/>
      <c r="HG14" s="151"/>
      <c r="HH14" s="151"/>
      <c r="HI14" s="151"/>
      <c r="HJ14" s="151"/>
      <c r="HK14" s="151"/>
      <c r="HL14" s="151"/>
      <c r="HM14" s="151"/>
      <c r="HN14" s="151"/>
      <c r="HO14" s="151"/>
      <c r="HP14" s="151"/>
      <c r="HQ14" s="151"/>
      <c r="HR14" s="151"/>
      <c r="HS14" s="151"/>
      <c r="HT14" s="151"/>
      <c r="HU14" s="151"/>
      <c r="HV14" s="151"/>
      <c r="HW14" s="151"/>
      <c r="HX14" s="151"/>
      <c r="HY14" s="151"/>
      <c r="HZ14" s="151"/>
      <c r="IA14" s="151"/>
      <c r="IB14" s="151"/>
      <c r="IC14" s="151"/>
      <c r="ID14" s="151"/>
      <c r="IE14" s="151"/>
      <c r="IF14" s="151"/>
      <c r="IG14" s="151"/>
      <c r="IH14" s="151"/>
      <c r="II14" s="151"/>
      <c r="IJ14" s="151"/>
      <c r="IK14" s="151"/>
      <c r="IL14" s="151"/>
      <c r="IM14" s="151"/>
      <c r="IN14" s="151"/>
      <c r="IO14" s="151"/>
      <c r="IP14" s="151"/>
      <c r="IQ14" s="151"/>
      <c r="IR14" s="151"/>
      <c r="IS14" s="151"/>
      <c r="IT14" s="151"/>
      <c r="IU14" s="151"/>
      <c r="IV14" s="151"/>
    </row>
    <row r="15" spans="1:256" ht="14.4" customHeight="1" x14ac:dyDescent="0.25">
      <c r="A15" s="117"/>
      <c r="B15" s="116"/>
      <c r="C15" s="311"/>
      <c r="D15" s="116"/>
      <c r="E15" s="116"/>
      <c r="F15" s="329">
        <f>F18</f>
        <v>12</v>
      </c>
      <c r="G15" s="329">
        <v>30</v>
      </c>
      <c r="H15" s="329">
        <v>6</v>
      </c>
      <c r="I15" s="329"/>
      <c r="J15" s="329"/>
      <c r="K15" s="330">
        <f>ROUND(F15*G15*H15,2)</f>
        <v>2160</v>
      </c>
      <c r="L15" s="535"/>
    </row>
    <row r="16" spans="1:256" ht="15" customHeight="1" thickBot="1" x14ac:dyDescent="0.3">
      <c r="A16" s="528"/>
      <c r="B16" s="529"/>
      <c r="C16" s="530"/>
      <c r="D16" s="119"/>
      <c r="E16" s="119"/>
      <c r="F16" s="331"/>
      <c r="G16" s="331"/>
      <c r="H16" s="332"/>
      <c r="I16" s="333"/>
      <c r="J16" s="333">
        <f>SUM(K15:K15)</f>
        <v>2160</v>
      </c>
      <c r="K16" s="334" t="str">
        <f>D14</f>
        <v>H</v>
      </c>
      <c r="L16" s="536"/>
      <c r="P16" s="151">
        <f>6500*3</f>
        <v>19500</v>
      </c>
    </row>
    <row r="17" spans="1:256" customFormat="1" ht="21" customHeight="1" x14ac:dyDescent="0.3">
      <c r="A17" s="375" t="s">
        <v>314</v>
      </c>
      <c r="B17" s="376" t="s">
        <v>107</v>
      </c>
      <c r="C17" s="377" t="s">
        <v>108</v>
      </c>
      <c r="D17" s="378" t="s">
        <v>251</v>
      </c>
      <c r="E17" s="379" t="s">
        <v>118</v>
      </c>
      <c r="F17" s="380" t="s">
        <v>311</v>
      </c>
      <c r="G17" s="380" t="s">
        <v>312</v>
      </c>
      <c r="H17" s="381" t="s">
        <v>313</v>
      </c>
      <c r="I17" s="380" t="s">
        <v>114</v>
      </c>
      <c r="J17" s="380" t="s">
        <v>113</v>
      </c>
      <c r="K17" s="352" t="s">
        <v>10</v>
      </c>
      <c r="L17" s="535"/>
      <c r="M17" s="151"/>
      <c r="N17" s="114"/>
      <c r="V17" s="151"/>
      <c r="W17" s="151"/>
      <c r="X17" s="151"/>
      <c r="Y17" s="151"/>
      <c r="Z17" s="151"/>
      <c r="AA17" s="151"/>
      <c r="AB17" s="151"/>
      <c r="AC17" s="151"/>
      <c r="AD17" s="151"/>
      <c r="AE17" s="151"/>
      <c r="AF17" s="151"/>
      <c r="AG17" s="151"/>
      <c r="AH17" s="151"/>
      <c r="AI17" s="151"/>
      <c r="AJ17" s="151"/>
      <c r="AK17" s="151"/>
      <c r="AL17" s="151"/>
      <c r="AM17" s="151"/>
      <c r="AN17" s="151"/>
      <c r="AO17" s="151"/>
      <c r="AP17" s="151"/>
      <c r="AQ17" s="151"/>
      <c r="AR17" s="151"/>
      <c r="AS17" s="151"/>
      <c r="AT17" s="151"/>
      <c r="AU17" s="151"/>
      <c r="AV17" s="151"/>
      <c r="AW17" s="151"/>
      <c r="AX17" s="151"/>
      <c r="AY17" s="151"/>
      <c r="AZ17" s="151"/>
      <c r="BA17" s="151"/>
      <c r="BB17" s="151"/>
      <c r="BC17" s="151"/>
      <c r="BD17" s="151"/>
      <c r="BE17" s="151"/>
      <c r="BF17" s="151"/>
      <c r="BG17" s="151"/>
      <c r="BH17" s="151"/>
      <c r="BI17" s="151"/>
      <c r="BJ17" s="151"/>
      <c r="BK17" s="151"/>
      <c r="BL17" s="151"/>
      <c r="BM17" s="151"/>
      <c r="BN17" s="151"/>
      <c r="BO17" s="151"/>
      <c r="BP17" s="151"/>
      <c r="BQ17" s="151"/>
      <c r="BR17" s="151"/>
      <c r="BS17" s="151"/>
      <c r="BT17" s="151"/>
      <c r="BU17" s="151"/>
      <c r="BV17" s="151"/>
      <c r="BW17" s="151"/>
      <c r="BX17" s="151"/>
      <c r="BY17" s="151"/>
      <c r="BZ17" s="151"/>
      <c r="CA17" s="151"/>
      <c r="CB17" s="151"/>
      <c r="CC17" s="151"/>
      <c r="CD17" s="151"/>
      <c r="CE17" s="151"/>
      <c r="CF17" s="151"/>
      <c r="CG17" s="151"/>
      <c r="CH17" s="151"/>
      <c r="CI17" s="151"/>
      <c r="CJ17" s="151"/>
      <c r="CK17" s="151"/>
      <c r="CL17" s="151"/>
      <c r="CM17" s="151"/>
      <c r="CN17" s="151"/>
      <c r="CO17" s="151"/>
      <c r="CP17" s="151"/>
      <c r="CQ17" s="151"/>
      <c r="CR17" s="151"/>
      <c r="CS17" s="151"/>
      <c r="CT17" s="151"/>
      <c r="CU17" s="151"/>
      <c r="CV17" s="151"/>
      <c r="CW17" s="151"/>
      <c r="CX17" s="151"/>
      <c r="CY17" s="151"/>
      <c r="CZ17" s="151"/>
      <c r="DA17" s="151"/>
      <c r="DB17" s="151"/>
      <c r="DC17" s="151"/>
      <c r="DD17" s="151"/>
      <c r="DE17" s="151"/>
      <c r="DF17" s="151"/>
      <c r="DG17" s="151"/>
      <c r="DH17" s="151"/>
      <c r="DI17" s="151"/>
      <c r="DJ17" s="151"/>
      <c r="DK17" s="151"/>
      <c r="DL17" s="151"/>
      <c r="DM17" s="151"/>
      <c r="DN17" s="151"/>
      <c r="DO17" s="151"/>
      <c r="DP17" s="151"/>
      <c r="DQ17" s="151"/>
      <c r="DR17" s="151"/>
      <c r="DS17" s="151"/>
      <c r="DT17" s="151"/>
      <c r="DU17" s="151"/>
      <c r="DV17" s="151"/>
      <c r="DW17" s="151"/>
      <c r="DX17" s="151"/>
      <c r="DY17" s="151"/>
      <c r="DZ17" s="151"/>
      <c r="EA17" s="151"/>
      <c r="EB17" s="151"/>
      <c r="EC17" s="151"/>
      <c r="ED17" s="151"/>
      <c r="EE17" s="151"/>
      <c r="EF17" s="151"/>
      <c r="EG17" s="151"/>
      <c r="EH17" s="151"/>
      <c r="EI17" s="151"/>
      <c r="EJ17" s="151"/>
      <c r="EK17" s="151"/>
      <c r="EL17" s="151"/>
      <c r="EM17" s="151"/>
      <c r="EN17" s="151"/>
      <c r="EO17" s="151"/>
      <c r="EP17" s="151"/>
      <c r="EQ17" s="151"/>
      <c r="ER17" s="151"/>
      <c r="ES17" s="151"/>
      <c r="ET17" s="151"/>
      <c r="EU17" s="151"/>
      <c r="EV17" s="151"/>
      <c r="EW17" s="151"/>
      <c r="EX17" s="151"/>
      <c r="EY17" s="151"/>
      <c r="EZ17" s="151"/>
      <c r="FA17" s="151"/>
      <c r="FB17" s="151"/>
      <c r="FC17" s="151"/>
      <c r="FD17" s="151"/>
      <c r="FE17" s="151"/>
      <c r="FF17" s="151"/>
      <c r="FG17" s="151"/>
      <c r="FH17" s="151"/>
      <c r="FI17" s="151"/>
      <c r="FJ17" s="151"/>
      <c r="FK17" s="151"/>
      <c r="FL17" s="151"/>
      <c r="FM17" s="151"/>
      <c r="FN17" s="151"/>
      <c r="FO17" s="151"/>
      <c r="FP17" s="151"/>
      <c r="FQ17" s="151"/>
      <c r="FR17" s="151"/>
      <c r="FS17" s="151"/>
      <c r="FT17" s="151"/>
      <c r="FU17" s="151"/>
      <c r="FV17" s="151"/>
      <c r="FW17" s="151"/>
      <c r="FX17" s="151"/>
      <c r="FY17" s="151"/>
      <c r="FZ17" s="151"/>
      <c r="GA17" s="151"/>
      <c r="GB17" s="151"/>
      <c r="GC17" s="151"/>
      <c r="GD17" s="151"/>
      <c r="GE17" s="151"/>
      <c r="GF17" s="151"/>
      <c r="GG17" s="151"/>
      <c r="GH17" s="151"/>
      <c r="GI17" s="151"/>
      <c r="GJ17" s="151"/>
      <c r="GK17" s="151"/>
      <c r="GL17" s="151"/>
      <c r="GM17" s="151"/>
      <c r="GN17" s="151"/>
      <c r="GO17" s="151"/>
      <c r="GP17" s="151"/>
      <c r="GQ17" s="151"/>
      <c r="GR17" s="151"/>
      <c r="GS17" s="151"/>
      <c r="GT17" s="151"/>
      <c r="GU17" s="151"/>
      <c r="GV17" s="151"/>
      <c r="GW17" s="151"/>
      <c r="GX17" s="151"/>
      <c r="GY17" s="151"/>
      <c r="GZ17" s="151"/>
      <c r="HA17" s="151"/>
      <c r="HB17" s="151"/>
      <c r="HC17" s="151"/>
      <c r="HD17" s="151"/>
      <c r="HE17" s="151"/>
      <c r="HF17" s="151"/>
      <c r="HG17" s="151"/>
      <c r="HH17" s="151"/>
      <c r="HI17" s="151"/>
      <c r="HJ17" s="151"/>
      <c r="HK17" s="151"/>
      <c r="HL17" s="151"/>
      <c r="HM17" s="151"/>
      <c r="HN17" s="151"/>
      <c r="HO17" s="151"/>
      <c r="HP17" s="151"/>
      <c r="HQ17" s="151"/>
      <c r="HR17" s="151"/>
      <c r="HS17" s="151"/>
      <c r="HT17" s="151"/>
      <c r="HU17" s="151"/>
      <c r="HV17" s="151"/>
      <c r="HW17" s="151"/>
      <c r="HX17" s="151"/>
      <c r="HY17" s="151"/>
      <c r="HZ17" s="151"/>
      <c r="IA17" s="151"/>
      <c r="IB17" s="151"/>
      <c r="IC17" s="151"/>
      <c r="ID17" s="151"/>
      <c r="IE17" s="151"/>
      <c r="IF17" s="151"/>
      <c r="IG17" s="151"/>
      <c r="IH17" s="151"/>
      <c r="II17" s="151"/>
      <c r="IJ17" s="151"/>
      <c r="IK17" s="151"/>
      <c r="IL17" s="151"/>
      <c r="IM17" s="151"/>
      <c r="IN17" s="151"/>
      <c r="IO17" s="151"/>
      <c r="IP17" s="151"/>
      <c r="IQ17" s="151"/>
      <c r="IR17" s="151"/>
      <c r="IS17" s="151"/>
      <c r="IT17" s="151"/>
      <c r="IU17" s="151"/>
      <c r="IV17" s="151"/>
    </row>
    <row r="18" spans="1:256" ht="14.4" customHeight="1" x14ac:dyDescent="0.25">
      <c r="A18" s="117"/>
      <c r="B18" s="116"/>
      <c r="C18" s="311"/>
      <c r="D18" s="116"/>
      <c r="E18" s="116"/>
      <c r="F18" s="329">
        <v>12</v>
      </c>
      <c r="G18" s="329">
        <v>30</v>
      </c>
      <c r="H18" s="329">
        <v>2</v>
      </c>
      <c r="I18" s="329"/>
      <c r="J18" s="329"/>
      <c r="K18" s="330">
        <f>ROUND(F18*G18*H18,2)</f>
        <v>720</v>
      </c>
      <c r="L18" s="535"/>
    </row>
    <row r="19" spans="1:256" ht="15" customHeight="1" thickBot="1" x14ac:dyDescent="0.3">
      <c r="A19" s="528"/>
      <c r="B19" s="529"/>
      <c r="C19" s="530"/>
      <c r="D19" s="119"/>
      <c r="E19" s="119"/>
      <c r="F19" s="331"/>
      <c r="G19" s="331"/>
      <c r="H19" s="332"/>
      <c r="I19" s="333"/>
      <c r="J19" s="333">
        <f>SUM(K18:K18)</f>
        <v>720</v>
      </c>
      <c r="K19" s="334" t="str">
        <f>D17</f>
        <v>H</v>
      </c>
      <c r="L19" s="536"/>
    </row>
    <row r="20" spans="1:256" ht="13.95" customHeight="1" thickBot="1" x14ac:dyDescent="0.3">
      <c r="A20" s="531" t="s">
        <v>11</v>
      </c>
      <c r="B20" s="532"/>
      <c r="C20" s="532"/>
      <c r="D20" s="532"/>
      <c r="E20" s="532"/>
      <c r="F20" s="532"/>
      <c r="G20" s="532"/>
      <c r="H20" s="532"/>
      <c r="I20" s="532"/>
      <c r="J20" s="532"/>
      <c r="K20" s="532"/>
      <c r="L20" s="533"/>
    </row>
    <row r="21" spans="1:256" x14ac:dyDescent="0.25">
      <c r="A21" s="444" t="s">
        <v>430</v>
      </c>
      <c r="B21" s="364" t="s">
        <v>210</v>
      </c>
      <c r="C21" s="122" t="s">
        <v>416</v>
      </c>
      <c r="D21" s="312" t="s">
        <v>205</v>
      </c>
      <c r="E21" s="121" t="s">
        <v>118</v>
      </c>
      <c r="F21" s="326" t="s">
        <v>117</v>
      </c>
      <c r="G21" s="326" t="s">
        <v>116</v>
      </c>
      <c r="H21" s="327" t="s">
        <v>115</v>
      </c>
      <c r="I21" s="326" t="s">
        <v>114</v>
      </c>
      <c r="J21" s="326" t="s">
        <v>113</v>
      </c>
      <c r="K21" s="328" t="s">
        <v>10</v>
      </c>
      <c r="L21" s="534"/>
    </row>
    <row r="22" spans="1:256" x14ac:dyDescent="0.25">
      <c r="A22" s="117"/>
      <c r="B22" s="116"/>
      <c r="C22" s="311"/>
      <c r="D22" s="116"/>
      <c r="E22" s="116">
        <v>8</v>
      </c>
      <c r="F22" s="329"/>
      <c r="G22" s="329"/>
      <c r="H22" s="329">
        <v>3</v>
      </c>
      <c r="I22" s="329">
        <v>1.5</v>
      </c>
      <c r="J22" s="329"/>
      <c r="K22" s="330">
        <f>ROUND(H22*I22*E22,2)</f>
        <v>36</v>
      </c>
      <c r="L22" s="535"/>
    </row>
    <row r="23" spans="1:256" ht="13.8" thickBot="1" x14ac:dyDescent="0.3">
      <c r="A23" s="528"/>
      <c r="B23" s="529"/>
      <c r="C23" s="530"/>
      <c r="D23" s="119"/>
      <c r="E23" s="119"/>
      <c r="F23" s="331"/>
      <c r="G23" s="331"/>
      <c r="H23" s="332"/>
      <c r="I23" s="333"/>
      <c r="J23" s="333">
        <f>SUM(K22:K22)</f>
        <v>36</v>
      </c>
      <c r="K23" s="334" t="str">
        <f>D21</f>
        <v>m²</v>
      </c>
      <c r="L23" s="536"/>
    </row>
    <row r="24" spans="1:256" ht="20.399999999999999" x14ac:dyDescent="0.25">
      <c r="A24" s="444" t="s">
        <v>212</v>
      </c>
      <c r="B24" s="364" t="s">
        <v>107</v>
      </c>
      <c r="C24" s="122" t="s">
        <v>213</v>
      </c>
      <c r="D24" s="312" t="s">
        <v>205</v>
      </c>
      <c r="E24" s="121" t="s">
        <v>118</v>
      </c>
      <c r="F24" s="326" t="s">
        <v>117</v>
      </c>
      <c r="G24" s="326" t="s">
        <v>116</v>
      </c>
      <c r="H24" s="327" t="s">
        <v>115</v>
      </c>
      <c r="I24" s="326" t="s">
        <v>114</v>
      </c>
      <c r="J24" s="326" t="s">
        <v>113</v>
      </c>
      <c r="K24" s="328" t="s">
        <v>10</v>
      </c>
      <c r="L24" s="534"/>
    </row>
    <row r="25" spans="1:256" x14ac:dyDescent="0.25">
      <c r="A25" s="117"/>
      <c r="B25" s="116"/>
      <c r="C25" s="311"/>
      <c r="D25" s="116"/>
      <c r="E25" s="116">
        <v>2</v>
      </c>
      <c r="F25" s="329"/>
      <c r="G25" s="329">
        <v>5</v>
      </c>
      <c r="H25" s="329">
        <v>2</v>
      </c>
      <c r="I25" s="329"/>
      <c r="J25" s="329"/>
      <c r="K25" s="330">
        <f>ROUND(G25*H25*E25,2)</f>
        <v>20</v>
      </c>
      <c r="L25" s="535"/>
    </row>
    <row r="26" spans="1:256" ht="13.8" thickBot="1" x14ac:dyDescent="0.3">
      <c r="A26" s="528"/>
      <c r="B26" s="529"/>
      <c r="C26" s="530"/>
      <c r="D26" s="119"/>
      <c r="E26" s="119"/>
      <c r="F26" s="331"/>
      <c r="G26" s="331"/>
      <c r="H26" s="332"/>
      <c r="I26" s="333"/>
      <c r="J26" s="333">
        <f>SUM(K25)</f>
        <v>20</v>
      </c>
      <c r="K26" s="334" t="str">
        <f>D24</f>
        <v>m²</v>
      </c>
      <c r="L26" s="536"/>
    </row>
    <row r="27" spans="1:256" ht="26.4" x14ac:dyDescent="0.25">
      <c r="A27" s="445" t="s">
        <v>512</v>
      </c>
      <c r="B27" s="446" t="s">
        <v>210</v>
      </c>
      <c r="C27" s="122" t="s">
        <v>513</v>
      </c>
      <c r="D27" s="312" t="s">
        <v>226</v>
      </c>
      <c r="E27" s="335" t="s">
        <v>420</v>
      </c>
      <c r="F27" s="335" t="s">
        <v>421</v>
      </c>
      <c r="G27" s="335" t="s">
        <v>422</v>
      </c>
      <c r="H27" s="335" t="s">
        <v>421</v>
      </c>
      <c r="I27" s="373" t="s">
        <v>115</v>
      </c>
      <c r="J27" s="326" t="s">
        <v>113</v>
      </c>
      <c r="K27" s="328" t="s">
        <v>10</v>
      </c>
      <c r="L27" s="534"/>
      <c r="N27" s="420" t="s">
        <v>316</v>
      </c>
    </row>
    <row r="28" spans="1:256" x14ac:dyDescent="0.25">
      <c r="A28" s="117"/>
      <c r="B28" s="116"/>
      <c r="C28" s="311" t="s">
        <v>504</v>
      </c>
      <c r="D28" s="371"/>
      <c r="E28" s="116"/>
      <c r="F28" s="329"/>
      <c r="G28" s="329"/>
      <c r="H28" s="329"/>
      <c r="I28" s="429">
        <v>13160</v>
      </c>
      <c r="J28" s="329"/>
      <c r="K28" s="329">
        <f>ROUND(I28,2)</f>
        <v>13160</v>
      </c>
      <c r="L28" s="535"/>
      <c r="N28" s="419">
        <f>ROUND(6946.54-874.82,2)</f>
        <v>6071.72</v>
      </c>
    </row>
    <row r="29" spans="1:256" ht="13.8" thickBot="1" x14ac:dyDescent="0.3">
      <c r="A29" s="528"/>
      <c r="B29" s="529"/>
      <c r="C29" s="530"/>
      <c r="D29" s="119"/>
      <c r="E29" s="119"/>
      <c r="F29" s="331"/>
      <c r="G29" s="331"/>
      <c r="H29" s="332"/>
      <c r="I29" s="333"/>
      <c r="J29" s="333">
        <f>SUM(K28:L28)</f>
        <v>13160</v>
      </c>
      <c r="K29" s="334" t="str">
        <f>D27</f>
        <v>M</v>
      </c>
      <c r="L29" s="536"/>
      <c r="S29" s="151">
        <v>188</v>
      </c>
    </row>
    <row r="30" spans="1:256" ht="20.399999999999999" x14ac:dyDescent="0.25">
      <c r="A30" s="123" t="s">
        <v>514</v>
      </c>
      <c r="B30" s="120" t="s">
        <v>210</v>
      </c>
      <c r="C30" s="122" t="s">
        <v>515</v>
      </c>
      <c r="D30" s="312" t="s">
        <v>205</v>
      </c>
      <c r="E30" s="335" t="s">
        <v>420</v>
      </c>
      <c r="F30" s="335" t="s">
        <v>421</v>
      </c>
      <c r="G30" s="326" t="s">
        <v>398</v>
      </c>
      <c r="H30" s="335" t="s">
        <v>421</v>
      </c>
      <c r="I30" s="373" t="s">
        <v>115</v>
      </c>
      <c r="J30" s="326" t="s">
        <v>113</v>
      </c>
      <c r="K30" s="328" t="s">
        <v>10</v>
      </c>
      <c r="L30" s="450"/>
    </row>
    <row r="31" spans="1:256" x14ac:dyDescent="0.25">
      <c r="A31" s="117"/>
      <c r="B31" s="116"/>
      <c r="C31" s="311" t="s">
        <v>504</v>
      </c>
      <c r="D31" s="371"/>
      <c r="E31" s="116"/>
      <c r="F31" s="329"/>
      <c r="G31" s="329">
        <v>7</v>
      </c>
      <c r="H31" s="329"/>
      <c r="I31" s="329">
        <f>I28</f>
        <v>13160</v>
      </c>
      <c r="J31" s="329"/>
      <c r="K31" s="329">
        <f>ROUND(I31*G31,2)</f>
        <v>92120</v>
      </c>
      <c r="L31" s="450"/>
    </row>
    <row r="32" spans="1:256" ht="13.8" thickBot="1" x14ac:dyDescent="0.3">
      <c r="A32" s="528"/>
      <c r="B32" s="529"/>
      <c r="C32" s="530"/>
      <c r="D32" s="119"/>
      <c r="E32" s="119"/>
      <c r="F32" s="331"/>
      <c r="G32" s="331"/>
      <c r="H32" s="332"/>
      <c r="I32" s="333"/>
      <c r="J32" s="333">
        <f>SUM(K31:L31)</f>
        <v>92120</v>
      </c>
      <c r="K32" s="334" t="str">
        <f>D30</f>
        <v>m²</v>
      </c>
      <c r="L32" s="450"/>
    </row>
    <row r="33" spans="1:22" ht="22.95" customHeight="1" x14ac:dyDescent="0.25">
      <c r="A33" s="123">
        <v>4011212</v>
      </c>
      <c r="B33" s="364" t="s">
        <v>376</v>
      </c>
      <c r="C33" s="122" t="s">
        <v>375</v>
      </c>
      <c r="D33" s="312" t="s">
        <v>205</v>
      </c>
      <c r="E33" s="121" t="s">
        <v>118</v>
      </c>
      <c r="F33" s="326" t="s">
        <v>117</v>
      </c>
      <c r="G33" s="326" t="s">
        <v>398</v>
      </c>
      <c r="H33" s="326" t="s">
        <v>115</v>
      </c>
      <c r="I33" s="335" t="s">
        <v>423</v>
      </c>
      <c r="J33" s="326" t="s">
        <v>113</v>
      </c>
      <c r="K33" s="328" t="s">
        <v>10</v>
      </c>
      <c r="L33" s="525" t="s">
        <v>369</v>
      </c>
      <c r="N33" s="358" t="s">
        <v>316</v>
      </c>
      <c r="O33" s="358" t="s">
        <v>317</v>
      </c>
      <c r="P33" s="358" t="s">
        <v>279</v>
      </c>
      <c r="Q33" s="358" t="s">
        <v>280</v>
      </c>
      <c r="R33" s="358" t="s">
        <v>281</v>
      </c>
      <c r="V33" s="329">
        <v>5870.99</v>
      </c>
    </row>
    <row r="34" spans="1:22" x14ac:dyDescent="0.25">
      <c r="A34" s="117"/>
      <c r="B34" s="116"/>
      <c r="C34" s="311" t="str">
        <f>C28</f>
        <v>TRECHOS DE VIAS</v>
      </c>
      <c r="D34" s="116"/>
      <c r="E34" s="116"/>
      <c r="F34" s="329"/>
      <c r="G34" s="329">
        <f>G31</f>
        <v>7</v>
      </c>
      <c r="H34" s="329">
        <f>K28</f>
        <v>13160</v>
      </c>
      <c r="I34" s="411"/>
      <c r="J34" s="329"/>
      <c r="K34" s="330">
        <f>ROUND((G34*H34)+I34,2)</f>
        <v>92120</v>
      </c>
      <c r="L34" s="526"/>
      <c r="N34" s="374">
        <f>N28</f>
        <v>6071.72</v>
      </c>
      <c r="O34" s="151">
        <f>ROUND(N34/K28,2)</f>
        <v>0.46</v>
      </c>
      <c r="P34" s="382">
        <v>10</v>
      </c>
      <c r="Q34" s="374">
        <f>ROUND(P34*K28,2)</f>
        <v>131600</v>
      </c>
      <c r="R34" s="374">
        <f>ROUND(N34-Q34,2)</f>
        <v>-125528.28</v>
      </c>
      <c r="V34" s="329">
        <f>ROUND(4718.87,2)</f>
        <v>4718.87</v>
      </c>
    </row>
    <row r="35" spans="1:22" hidden="1" x14ac:dyDescent="0.25">
      <c r="A35" s="117"/>
      <c r="B35" s="116"/>
      <c r="C35" s="311" t="e">
        <f>#REF!</f>
        <v>#REF!</v>
      </c>
      <c r="D35" s="116"/>
      <c r="E35" s="116"/>
      <c r="F35" s="329"/>
      <c r="G35" s="329"/>
      <c r="H35" s="329" t="e">
        <f>#REF!</f>
        <v>#REF!</v>
      </c>
      <c r="I35" s="411"/>
      <c r="J35" s="329"/>
      <c r="K35" s="330" t="e">
        <f>ROUND((G35*H35)+I35,2)</f>
        <v>#REF!</v>
      </c>
      <c r="L35" s="526"/>
      <c r="N35" s="374" t="e">
        <f>#REF!</f>
        <v>#REF!</v>
      </c>
      <c r="O35" s="151" t="e">
        <f>ROUND(N35/#REF!,2)</f>
        <v>#REF!</v>
      </c>
      <c r="P35" s="382">
        <v>8</v>
      </c>
      <c r="Q35" s="374" t="e">
        <f>ROUND(P35*#REF!,2)</f>
        <v>#REF!</v>
      </c>
      <c r="R35" s="374" t="e">
        <f>ROUND(N35-Q35,2)</f>
        <v>#REF!</v>
      </c>
      <c r="V35" s="329">
        <f>ROUND(4718.87,2)</f>
        <v>4718.87</v>
      </c>
    </row>
    <row r="36" spans="1:22" hidden="1" x14ac:dyDescent="0.25">
      <c r="A36" s="117"/>
      <c r="B36" s="116"/>
      <c r="C36" s="311" t="e">
        <f>#REF!</f>
        <v>#REF!</v>
      </c>
      <c r="D36" s="116"/>
      <c r="E36" s="116"/>
      <c r="F36" s="329"/>
      <c r="G36" s="329"/>
      <c r="H36" s="329" t="e">
        <f>#REF!</f>
        <v>#REF!</v>
      </c>
      <c r="I36" s="411"/>
      <c r="J36" s="329"/>
      <c r="K36" s="330" t="e">
        <f t="shared" ref="K36:K44" si="0">ROUND((G36*H36)+I36,2)</f>
        <v>#REF!</v>
      </c>
      <c r="L36" s="526"/>
      <c r="N36" s="374" t="e">
        <f>#REF!</f>
        <v>#REF!</v>
      </c>
      <c r="O36" s="151" t="str">
        <f>IFERROR(ROUND(N36/#REF!,2),"")</f>
        <v/>
      </c>
      <c r="P36" s="382">
        <v>9</v>
      </c>
      <c r="Q36" s="374" t="e">
        <f>ROUND(P36*#REF!,2)</f>
        <v>#REF!</v>
      </c>
      <c r="R36" s="374" t="e">
        <f t="shared" ref="R36:R44" si="1">ROUND(N36-Q36,2)</f>
        <v>#REF!</v>
      </c>
      <c r="V36" s="329">
        <f>ROUND(1163.13,2)</f>
        <v>1163.1300000000001</v>
      </c>
    </row>
    <row r="37" spans="1:22" hidden="1" x14ac:dyDescent="0.25">
      <c r="A37" s="117"/>
      <c r="B37" s="116"/>
      <c r="C37" s="311" t="e">
        <f>#REF!</f>
        <v>#REF!</v>
      </c>
      <c r="D37" s="116"/>
      <c r="E37" s="116"/>
      <c r="F37" s="329"/>
      <c r="G37" s="329"/>
      <c r="H37" s="329" t="e">
        <f>#REF!</f>
        <v>#REF!</v>
      </c>
      <c r="I37" s="411"/>
      <c r="J37" s="329"/>
      <c r="K37" s="330" t="e">
        <f t="shared" si="0"/>
        <v>#REF!</v>
      </c>
      <c r="L37" s="526"/>
      <c r="N37" s="374" t="e">
        <f>#REF!</f>
        <v>#REF!</v>
      </c>
      <c r="O37" s="151" t="str">
        <f>IFERROR(ROUND(N37/#REF!,2),"")</f>
        <v/>
      </c>
      <c r="P37" s="382">
        <v>6</v>
      </c>
      <c r="Q37" s="374" t="e">
        <f>ROUND(P37*#REF!,2)</f>
        <v>#REF!</v>
      </c>
      <c r="R37" s="374" t="e">
        <f t="shared" si="1"/>
        <v>#REF!</v>
      </c>
      <c r="V37" s="411">
        <v>1488.1</v>
      </c>
    </row>
    <row r="38" spans="1:22" hidden="1" x14ac:dyDescent="0.25">
      <c r="A38" s="117"/>
      <c r="B38" s="116"/>
      <c r="C38" s="311" t="e">
        <f>#REF!</f>
        <v>#REF!</v>
      </c>
      <c r="D38" s="410"/>
      <c r="E38" s="410"/>
      <c r="F38" s="411"/>
      <c r="G38" s="329"/>
      <c r="H38" s="329" t="e">
        <f>#REF!</f>
        <v>#REF!</v>
      </c>
      <c r="I38" s="411"/>
      <c r="J38" s="329"/>
      <c r="K38" s="330" t="e">
        <f t="shared" si="0"/>
        <v>#REF!</v>
      </c>
      <c r="L38" s="526"/>
      <c r="N38" s="374" t="e">
        <f>#REF!</f>
        <v>#REF!</v>
      </c>
      <c r="O38" s="151" t="str">
        <f>IFERROR(ROUND(N38/#REF!,2),"")</f>
        <v/>
      </c>
      <c r="P38" s="382">
        <v>7</v>
      </c>
      <c r="Q38" s="374" t="e">
        <f>ROUND(P38*#REF!,2)</f>
        <v>#REF!</v>
      </c>
      <c r="R38" s="374" t="e">
        <f t="shared" si="1"/>
        <v>#REF!</v>
      </c>
      <c r="S38" s="374"/>
      <c r="V38" s="411">
        <v>555.21</v>
      </c>
    </row>
    <row r="39" spans="1:22" hidden="1" x14ac:dyDescent="0.25">
      <c r="A39" s="117"/>
      <c r="B39" s="116"/>
      <c r="C39" s="311" t="e">
        <f>#REF!</f>
        <v>#REF!</v>
      </c>
      <c r="D39" s="410"/>
      <c r="E39" s="410"/>
      <c r="F39" s="411"/>
      <c r="G39" s="329"/>
      <c r="H39" s="329" t="e">
        <f>#REF!</f>
        <v>#REF!</v>
      </c>
      <c r="I39" s="411"/>
      <c r="J39" s="329"/>
      <c r="K39" s="330" t="e">
        <f t="shared" si="0"/>
        <v>#REF!</v>
      </c>
      <c r="L39" s="526"/>
      <c r="N39" s="374" t="e">
        <f>#REF!</f>
        <v>#REF!</v>
      </c>
      <c r="O39" s="151" t="str">
        <f>IFERROR(ROUND(N39/#REF!,2),"")</f>
        <v/>
      </c>
      <c r="P39" s="382">
        <v>7</v>
      </c>
      <c r="Q39" s="374" t="e">
        <f>ROUND(P39*#REF!,2)</f>
        <v>#REF!</v>
      </c>
      <c r="R39" s="374" t="e">
        <f t="shared" si="1"/>
        <v>#REF!</v>
      </c>
      <c r="S39" s="374"/>
      <c r="V39" s="411">
        <v>857.11</v>
      </c>
    </row>
    <row r="40" spans="1:22" hidden="1" x14ac:dyDescent="0.25">
      <c r="A40" s="117"/>
      <c r="B40" s="116"/>
      <c r="C40" s="311" t="e">
        <f>#REF!</f>
        <v>#REF!</v>
      </c>
      <c r="D40" s="410"/>
      <c r="E40" s="410"/>
      <c r="F40" s="411"/>
      <c r="G40" s="329"/>
      <c r="H40" s="329" t="e">
        <f>#REF!</f>
        <v>#REF!</v>
      </c>
      <c r="I40" s="411"/>
      <c r="J40" s="329"/>
      <c r="K40" s="330" t="e">
        <f t="shared" si="0"/>
        <v>#REF!</v>
      </c>
      <c r="L40" s="526"/>
      <c r="N40" s="374" t="e">
        <f>#REF!</f>
        <v>#REF!</v>
      </c>
      <c r="O40" s="151" t="str">
        <f>IFERROR(ROUND(N40/#REF!,2),"")</f>
        <v/>
      </c>
      <c r="P40" s="382">
        <v>5</v>
      </c>
      <c r="Q40" s="374" t="e">
        <f>ROUND(P40*#REF!,2)</f>
        <v>#REF!</v>
      </c>
      <c r="R40" s="374" t="e">
        <f t="shared" si="1"/>
        <v>#REF!</v>
      </c>
      <c r="S40" s="374"/>
      <c r="V40" s="411">
        <f>17947.56-6486-810</f>
        <v>10651.560000000001</v>
      </c>
    </row>
    <row r="41" spans="1:22" hidden="1" x14ac:dyDescent="0.25">
      <c r="A41" s="117"/>
      <c r="B41" s="116"/>
      <c r="C41" s="311" t="e">
        <f>#REF!</f>
        <v>#REF!</v>
      </c>
      <c r="D41" s="410"/>
      <c r="E41" s="410"/>
      <c r="F41" s="411"/>
      <c r="G41" s="329"/>
      <c r="H41" s="329" t="e">
        <f>#REF!</f>
        <v>#REF!</v>
      </c>
      <c r="I41" s="411"/>
      <c r="J41" s="329"/>
      <c r="K41" s="330" t="e">
        <f t="shared" si="0"/>
        <v>#REF!</v>
      </c>
      <c r="L41" s="526"/>
      <c r="N41" s="374" t="e">
        <f>#REF!</f>
        <v>#REF!</v>
      </c>
      <c r="O41" s="151" t="str">
        <f>IFERROR(ROUND(N41/#REF!,2),"")</f>
        <v/>
      </c>
      <c r="P41" s="382">
        <v>9</v>
      </c>
      <c r="Q41" s="374" t="e">
        <f>ROUND(P41*#REF!,2)</f>
        <v>#REF!</v>
      </c>
      <c r="R41" s="374" t="e">
        <f t="shared" si="1"/>
        <v>#REF!</v>
      </c>
      <c r="S41" s="374"/>
      <c r="V41" s="411">
        <v>2427.1799999999998</v>
      </c>
    </row>
    <row r="42" spans="1:22" hidden="1" x14ac:dyDescent="0.25">
      <c r="A42" s="117"/>
      <c r="B42" s="116"/>
      <c r="C42" s="311" t="e">
        <f>#REF!</f>
        <v>#REF!</v>
      </c>
      <c r="D42" s="410"/>
      <c r="E42" s="410"/>
      <c r="F42" s="411"/>
      <c r="G42" s="329"/>
      <c r="H42" s="329"/>
      <c r="I42" s="411"/>
      <c r="J42" s="329"/>
      <c r="K42" s="330">
        <f t="shared" si="0"/>
        <v>0</v>
      </c>
      <c r="L42" s="526"/>
      <c r="N42" s="374" t="e">
        <f>#REF!</f>
        <v>#REF!</v>
      </c>
      <c r="O42" s="151" t="str">
        <f>IFERROR(ROUND(N42/#REF!,2),"")</f>
        <v/>
      </c>
      <c r="P42" s="382">
        <v>11</v>
      </c>
      <c r="Q42" s="374" t="e">
        <f>ROUND(P42*#REF!,2)</f>
        <v>#REF!</v>
      </c>
      <c r="R42" s="374" t="e">
        <f t="shared" si="1"/>
        <v>#REF!</v>
      </c>
      <c r="S42" s="374"/>
      <c r="V42" s="411">
        <v>0</v>
      </c>
    </row>
    <row r="43" spans="1:22" hidden="1" x14ac:dyDescent="0.25">
      <c r="A43" s="117"/>
      <c r="B43" s="116"/>
      <c r="C43" s="311" t="e">
        <f>#REF!</f>
        <v>#REF!</v>
      </c>
      <c r="D43" s="410"/>
      <c r="E43" s="410"/>
      <c r="F43" s="411"/>
      <c r="G43" s="329"/>
      <c r="H43" s="329"/>
      <c r="I43" s="411"/>
      <c r="J43" s="329"/>
      <c r="K43" s="330"/>
      <c r="L43" s="526"/>
      <c r="N43" s="374" t="e">
        <f>#REF!</f>
        <v>#REF!</v>
      </c>
      <c r="O43" s="151" t="str">
        <f>IFERROR(ROUND(N43/#REF!,2),"")</f>
        <v/>
      </c>
      <c r="P43" s="382">
        <v>14</v>
      </c>
      <c r="Q43" s="374" t="e">
        <f>ROUND(P43*#REF!,2)</f>
        <v>#REF!</v>
      </c>
      <c r="R43" s="374" t="e">
        <f t="shared" si="1"/>
        <v>#REF!</v>
      </c>
      <c r="S43" s="374"/>
      <c r="V43" s="411">
        <v>3559.38</v>
      </c>
    </row>
    <row r="44" spans="1:22" hidden="1" x14ac:dyDescent="0.25">
      <c r="A44" s="117"/>
      <c r="B44" s="116"/>
      <c r="C44" s="311" t="e">
        <f>#REF!</f>
        <v>#REF!</v>
      </c>
      <c r="D44" s="410"/>
      <c r="E44" s="410"/>
      <c r="F44" s="411"/>
      <c r="G44" s="329"/>
      <c r="H44" s="329"/>
      <c r="I44" s="411"/>
      <c r="J44" s="329"/>
      <c r="K44" s="330">
        <f t="shared" si="0"/>
        <v>0</v>
      </c>
      <c r="L44" s="526"/>
      <c r="N44" s="374" t="e">
        <f>#REF!</f>
        <v>#REF!</v>
      </c>
      <c r="O44" s="151" t="str">
        <f>IFERROR(ROUND(N44/#REF!,2),"")</f>
        <v/>
      </c>
      <c r="P44" s="382"/>
      <c r="Q44" s="374" t="e">
        <f>ROUND(P44*#REF!,2)</f>
        <v>#REF!</v>
      </c>
      <c r="R44" s="374" t="e">
        <f t="shared" si="1"/>
        <v>#REF!</v>
      </c>
      <c r="S44" s="374"/>
    </row>
    <row r="45" spans="1:22" hidden="1" x14ac:dyDescent="0.25">
      <c r="A45" s="117"/>
      <c r="B45" s="116"/>
      <c r="C45" s="311" t="e">
        <f>#REF!</f>
        <v>#REF!</v>
      </c>
      <c r="D45" s="410"/>
      <c r="E45" s="410"/>
      <c r="F45" s="411"/>
      <c r="G45" s="329"/>
      <c r="H45" s="329"/>
      <c r="I45" s="411"/>
      <c r="J45" s="329"/>
      <c r="K45" s="330">
        <f t="shared" ref="K45" si="2">ROUND((G45*H45)+I45,2)</f>
        <v>0</v>
      </c>
      <c r="L45" s="526"/>
      <c r="N45" s="374" t="e">
        <f>#REF!</f>
        <v>#REF!</v>
      </c>
      <c r="O45" s="151" t="str">
        <f>IFERROR(ROUND(N45/#REF!,2),"")</f>
        <v/>
      </c>
      <c r="P45" s="382"/>
      <c r="Q45" s="374" t="e">
        <f>ROUND(P45*#REF!,2)</f>
        <v>#REF!</v>
      </c>
      <c r="R45" s="374" t="e">
        <f t="shared" ref="R45" si="3">ROUND(N45-Q45,2)</f>
        <v>#REF!</v>
      </c>
      <c r="S45" s="374"/>
    </row>
    <row r="46" spans="1:22" hidden="1" x14ac:dyDescent="0.25">
      <c r="A46" s="117"/>
      <c r="B46" s="116"/>
      <c r="C46" s="311" t="e">
        <f>#REF!</f>
        <v>#REF!</v>
      </c>
      <c r="D46" s="410"/>
      <c r="E46" s="410"/>
      <c r="F46" s="411"/>
      <c r="G46" s="329"/>
      <c r="H46" s="329"/>
      <c r="I46" s="411"/>
      <c r="J46" s="329"/>
      <c r="K46" s="330">
        <f t="shared" ref="K46" si="4">ROUND((G46*H46)+I46,2)</f>
        <v>0</v>
      </c>
      <c r="L46" s="526"/>
      <c r="N46" s="374" t="e">
        <f>#REF!</f>
        <v>#REF!</v>
      </c>
      <c r="O46" s="151" t="str">
        <f>IFERROR(ROUND(N46/#REF!,2),"")</f>
        <v/>
      </c>
      <c r="P46" s="382">
        <v>8</v>
      </c>
      <c r="Q46" s="374" t="e">
        <f>ROUND(P46*#REF!,2)</f>
        <v>#REF!</v>
      </c>
      <c r="R46" s="374" t="e">
        <f t="shared" ref="R46" si="5">ROUND(N46-Q46,2)</f>
        <v>#REF!</v>
      </c>
      <c r="S46" s="374"/>
    </row>
    <row r="47" spans="1:22" ht="13.8" thickBot="1" x14ac:dyDescent="0.3">
      <c r="A47" s="528"/>
      <c r="B47" s="529"/>
      <c r="C47" s="530"/>
      <c r="D47" s="119"/>
      <c r="E47" s="119"/>
      <c r="F47" s="331"/>
      <c r="G47" s="331"/>
      <c r="H47" s="332"/>
      <c r="I47" s="333"/>
      <c r="J47" s="333">
        <f>K34</f>
        <v>92120</v>
      </c>
      <c r="K47" s="334" t="str">
        <f>D24</f>
        <v>m²</v>
      </c>
      <c r="L47" s="527"/>
      <c r="S47" s="374"/>
    </row>
    <row r="48" spans="1:22" ht="22.95" hidden="1" customHeight="1" x14ac:dyDescent="0.3">
      <c r="A48" s="123">
        <v>1600441</v>
      </c>
      <c r="B48" s="364" t="s">
        <v>376</v>
      </c>
      <c r="C48" s="122" t="s">
        <v>414</v>
      </c>
      <c r="D48" s="312" t="s">
        <v>205</v>
      </c>
      <c r="E48" s="121" t="s">
        <v>118</v>
      </c>
      <c r="F48" s="326" t="s">
        <v>117</v>
      </c>
      <c r="G48" s="326" t="s">
        <v>398</v>
      </c>
      <c r="H48" s="327" t="s">
        <v>115</v>
      </c>
      <c r="I48" s="335" t="s">
        <v>400</v>
      </c>
      <c r="J48" s="326" t="s">
        <v>113</v>
      </c>
      <c r="K48" s="328" t="s">
        <v>10</v>
      </c>
      <c r="L48" s="525" t="s">
        <v>369</v>
      </c>
      <c r="O48"/>
      <c r="P48"/>
      <c r="Q48"/>
      <c r="R48"/>
      <c r="S48"/>
    </row>
    <row r="49" spans="1:256" ht="15" hidden="1" thickBot="1" x14ac:dyDescent="0.35">
      <c r="A49" s="117"/>
      <c r="B49" s="116"/>
      <c r="C49" s="311" t="s">
        <v>307</v>
      </c>
      <c r="D49" s="116"/>
      <c r="E49" s="116"/>
      <c r="F49" s="329"/>
      <c r="G49" s="329"/>
      <c r="H49" s="329"/>
      <c r="I49" s="329"/>
      <c r="J49" s="384"/>
      <c r="K49" s="330">
        <f>ROUND(F49*J49,2)</f>
        <v>0</v>
      </c>
      <c r="L49" s="526"/>
      <c r="O49"/>
      <c r="P49"/>
      <c r="Q49"/>
      <c r="R49"/>
      <c r="S49"/>
    </row>
    <row r="50" spans="1:256" ht="15" hidden="1" thickBot="1" x14ac:dyDescent="0.35">
      <c r="A50" s="117"/>
      <c r="B50" s="116"/>
      <c r="C50" s="311" t="e">
        <f>C38</f>
        <v>#REF!</v>
      </c>
      <c r="D50" s="116"/>
      <c r="E50" s="116"/>
      <c r="F50" s="329"/>
      <c r="G50" s="329"/>
      <c r="H50" s="329"/>
      <c r="I50" s="329"/>
      <c r="J50" s="384"/>
      <c r="K50" s="330">
        <f>F50</f>
        <v>0</v>
      </c>
      <c r="L50" s="526"/>
      <c r="O50"/>
      <c r="P50"/>
      <c r="Q50"/>
      <c r="R50"/>
      <c r="S50"/>
    </row>
    <row r="51" spans="1:256" ht="15" hidden="1" thickBot="1" x14ac:dyDescent="0.35">
      <c r="A51" s="117"/>
      <c r="B51" s="116"/>
      <c r="C51" s="311" t="e">
        <f>C39</f>
        <v>#REF!</v>
      </c>
      <c r="D51" s="116"/>
      <c r="E51" s="116"/>
      <c r="F51" s="329"/>
      <c r="G51" s="329"/>
      <c r="H51" s="329"/>
      <c r="I51" s="329"/>
      <c r="J51" s="384"/>
      <c r="K51" s="330">
        <f>F51</f>
        <v>0</v>
      </c>
      <c r="L51" s="526"/>
      <c r="O51"/>
      <c r="P51"/>
      <c r="Q51"/>
      <c r="R51"/>
      <c r="S51"/>
    </row>
    <row r="52" spans="1:256" ht="13.8" hidden="1" thickBot="1" x14ac:dyDescent="0.3">
      <c r="A52" s="117"/>
      <c r="B52" s="116"/>
      <c r="C52" s="409" t="s">
        <v>404</v>
      </c>
      <c r="D52" s="410"/>
      <c r="E52" s="410"/>
      <c r="F52" s="411"/>
      <c r="G52" s="411"/>
      <c r="H52" s="411"/>
      <c r="I52" s="411"/>
      <c r="J52" s="413"/>
      <c r="K52" s="330">
        <f>F52</f>
        <v>0</v>
      </c>
      <c r="L52" s="526"/>
      <c r="Q52" s="382"/>
      <c r="S52" s="374"/>
    </row>
    <row r="53" spans="1:256" ht="13.8" hidden="1" thickBot="1" x14ac:dyDescent="0.3">
      <c r="A53" s="117"/>
      <c r="B53" s="116"/>
      <c r="C53" s="409" t="s">
        <v>407</v>
      </c>
      <c r="D53" s="410"/>
      <c r="E53" s="410"/>
      <c r="F53" s="411"/>
      <c r="G53" s="411"/>
      <c r="H53" s="411"/>
      <c r="I53" s="411"/>
      <c r="J53" s="413"/>
      <c r="K53" s="330">
        <f t="shared" ref="K53:K58" si="6">F53</f>
        <v>0</v>
      </c>
      <c r="L53" s="526"/>
      <c r="Q53" s="382"/>
      <c r="S53" s="374"/>
    </row>
    <row r="54" spans="1:256" ht="13.8" hidden="1" thickBot="1" x14ac:dyDescent="0.3">
      <c r="A54" s="117"/>
      <c r="B54" s="116"/>
      <c r="C54" s="409" t="s">
        <v>408</v>
      </c>
      <c r="D54" s="410"/>
      <c r="E54" s="410"/>
      <c r="F54" s="411"/>
      <c r="G54" s="411"/>
      <c r="H54" s="411"/>
      <c r="I54" s="411"/>
      <c r="J54" s="413"/>
      <c r="K54" s="330">
        <f t="shared" si="6"/>
        <v>0</v>
      </c>
      <c r="L54" s="526"/>
      <c r="Q54" s="382"/>
      <c r="S54" s="374"/>
    </row>
    <row r="55" spans="1:256" ht="13.8" hidden="1" thickBot="1" x14ac:dyDescent="0.3">
      <c r="A55" s="117"/>
      <c r="B55" s="116"/>
      <c r="C55" s="409" t="s">
        <v>410</v>
      </c>
      <c r="D55" s="410"/>
      <c r="E55" s="410"/>
      <c r="F55" s="411"/>
      <c r="G55" s="411"/>
      <c r="H55" s="411"/>
      <c r="I55" s="411"/>
      <c r="J55" s="413"/>
      <c r="K55" s="330">
        <f t="shared" si="6"/>
        <v>0</v>
      </c>
      <c r="L55" s="526"/>
      <c r="Q55" s="382"/>
      <c r="S55" s="374"/>
    </row>
    <row r="56" spans="1:256" ht="13.8" hidden="1" thickBot="1" x14ac:dyDescent="0.3">
      <c r="A56" s="117"/>
      <c r="B56" s="116"/>
      <c r="C56" s="409" t="s">
        <v>405</v>
      </c>
      <c r="D56" s="410"/>
      <c r="E56" s="410"/>
      <c r="F56" s="411"/>
      <c r="G56" s="411"/>
      <c r="H56" s="411"/>
      <c r="I56" s="411"/>
      <c r="J56" s="413"/>
      <c r="K56" s="330">
        <f t="shared" si="6"/>
        <v>0</v>
      </c>
      <c r="L56" s="526"/>
      <c r="Q56" s="382"/>
      <c r="S56" s="374"/>
    </row>
    <row r="57" spans="1:256" ht="13.8" hidden="1" thickBot="1" x14ac:dyDescent="0.3">
      <c r="A57" s="117"/>
      <c r="B57" s="116"/>
      <c r="C57" s="409" t="s">
        <v>409</v>
      </c>
      <c r="D57" s="410"/>
      <c r="E57" s="410"/>
      <c r="F57" s="329"/>
      <c r="G57" s="329"/>
      <c r="H57" s="329"/>
      <c r="I57" s="411"/>
      <c r="J57" s="329"/>
      <c r="K57" s="330">
        <f>ROUND((G57*H57)+I57,2)</f>
        <v>0</v>
      </c>
      <c r="L57" s="526"/>
      <c r="Q57" s="382"/>
      <c r="S57" s="374"/>
    </row>
    <row r="58" spans="1:256" ht="13.8" hidden="1" thickBot="1" x14ac:dyDescent="0.3">
      <c r="A58" s="117"/>
      <c r="B58" s="116"/>
      <c r="C58" s="409" t="s">
        <v>406</v>
      </c>
      <c r="D58" s="410"/>
      <c r="E58" s="410"/>
      <c r="F58" s="411"/>
      <c r="G58" s="411"/>
      <c r="H58" s="411"/>
      <c r="I58" s="411"/>
      <c r="J58" s="413"/>
      <c r="K58" s="330">
        <f t="shared" si="6"/>
        <v>0</v>
      </c>
      <c r="L58" s="526"/>
      <c r="Q58" s="382"/>
      <c r="S58" s="374"/>
    </row>
    <row r="59" spans="1:256" ht="13.8" hidden="1" thickBot="1" x14ac:dyDescent="0.3">
      <c r="A59" s="528"/>
      <c r="B59" s="529"/>
      <c r="C59" s="530"/>
      <c r="D59" s="119"/>
      <c r="E59" s="119"/>
      <c r="F59" s="331"/>
      <c r="G59" s="331"/>
      <c r="H59" s="332"/>
      <c r="I59" s="333"/>
      <c r="J59" s="333">
        <f>SUM(K49:L58)</f>
        <v>0</v>
      </c>
      <c r="K59" s="334" t="str">
        <f>D48</f>
        <v>m²</v>
      </c>
      <c r="L59" s="527"/>
      <c r="S59" s="374"/>
    </row>
    <row r="60" spans="1:256" ht="13.95" hidden="1" customHeight="1" thickBot="1" x14ac:dyDescent="0.3">
      <c r="A60" s="531" t="s">
        <v>399</v>
      </c>
      <c r="B60" s="532"/>
      <c r="C60" s="532"/>
      <c r="D60" s="532"/>
      <c r="E60" s="532"/>
      <c r="F60" s="532"/>
      <c r="G60" s="532"/>
      <c r="H60" s="532"/>
      <c r="I60" s="532"/>
      <c r="J60" s="532"/>
      <c r="K60" s="532"/>
      <c r="L60" s="533"/>
    </row>
    <row r="61" spans="1:256" customFormat="1" ht="45.75" hidden="1" customHeight="1" x14ac:dyDescent="0.3">
      <c r="A61" s="123">
        <v>101138</v>
      </c>
      <c r="B61" s="364" t="s">
        <v>107</v>
      </c>
      <c r="C61" s="122" t="s">
        <v>318</v>
      </c>
      <c r="D61" s="312" t="s">
        <v>207</v>
      </c>
      <c r="E61" s="121" t="s">
        <v>118</v>
      </c>
      <c r="F61" s="326" t="s">
        <v>117</v>
      </c>
      <c r="G61" s="326" t="s">
        <v>116</v>
      </c>
      <c r="H61" s="327" t="s">
        <v>115</v>
      </c>
      <c r="I61" s="326" t="s">
        <v>114</v>
      </c>
      <c r="J61" s="326" t="s">
        <v>113</v>
      </c>
      <c r="K61" s="328" t="s">
        <v>10</v>
      </c>
      <c r="L61" s="525" t="s">
        <v>371</v>
      </c>
      <c r="M61" s="151"/>
      <c r="N61" s="151"/>
      <c r="O61" s="151"/>
      <c r="P61" s="151"/>
      <c r="Q61" s="151"/>
      <c r="R61" s="151"/>
      <c r="S61" s="370"/>
      <c r="V61" s="151"/>
      <c r="W61" s="151"/>
      <c r="X61" s="151"/>
      <c r="Y61" s="151"/>
      <c r="Z61" s="151"/>
      <c r="AA61" s="151"/>
      <c r="AB61" s="151"/>
      <c r="AC61" s="151"/>
      <c r="AD61" s="151"/>
      <c r="AE61" s="151"/>
      <c r="AF61" s="151"/>
      <c r="AG61" s="151"/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51"/>
      <c r="AT61" s="151"/>
      <c r="AU61" s="151"/>
      <c r="AV61" s="151"/>
      <c r="AW61" s="151"/>
      <c r="AX61" s="151"/>
      <c r="AY61" s="151"/>
      <c r="AZ61" s="151"/>
      <c r="BA61" s="151"/>
      <c r="BB61" s="151"/>
      <c r="BC61" s="151"/>
      <c r="BD61" s="151"/>
      <c r="BE61" s="151"/>
      <c r="BF61" s="151"/>
      <c r="BG61" s="151"/>
      <c r="BH61" s="151"/>
      <c r="BI61" s="151"/>
      <c r="BJ61" s="151"/>
      <c r="BK61" s="151"/>
      <c r="BL61" s="151"/>
      <c r="BM61" s="151"/>
      <c r="BN61" s="151"/>
      <c r="BO61" s="151"/>
      <c r="BP61" s="151"/>
      <c r="BQ61" s="151"/>
      <c r="BR61" s="151"/>
      <c r="BS61" s="151"/>
      <c r="BT61" s="151"/>
      <c r="BU61" s="151"/>
      <c r="BV61" s="151"/>
      <c r="BW61" s="151"/>
      <c r="BX61" s="151"/>
      <c r="BY61" s="151"/>
      <c r="BZ61" s="151"/>
      <c r="CA61" s="151"/>
      <c r="CB61" s="151"/>
      <c r="CC61" s="151"/>
      <c r="CD61" s="151"/>
      <c r="CE61" s="151"/>
      <c r="CF61" s="151"/>
      <c r="CG61" s="151"/>
      <c r="CH61" s="151"/>
      <c r="CI61" s="151"/>
      <c r="CJ61" s="151"/>
      <c r="CK61" s="151"/>
      <c r="CL61" s="151"/>
      <c r="CM61" s="151"/>
      <c r="CN61" s="151"/>
      <c r="CO61" s="151"/>
      <c r="CP61" s="151"/>
      <c r="CQ61" s="151"/>
      <c r="CR61" s="151"/>
      <c r="CS61" s="151"/>
      <c r="CT61" s="151"/>
      <c r="CU61" s="151"/>
      <c r="CV61" s="151"/>
      <c r="CW61" s="151"/>
      <c r="CX61" s="151"/>
      <c r="CY61" s="151"/>
      <c r="CZ61" s="151"/>
      <c r="DA61" s="151"/>
      <c r="DB61" s="151"/>
      <c r="DC61" s="151"/>
      <c r="DD61" s="151"/>
      <c r="DE61" s="151"/>
      <c r="DF61" s="151"/>
      <c r="DG61" s="151"/>
      <c r="DH61" s="151"/>
      <c r="DI61" s="151"/>
      <c r="DJ61" s="151"/>
      <c r="DK61" s="151"/>
      <c r="DL61" s="151"/>
      <c r="DM61" s="151"/>
      <c r="DN61" s="151"/>
      <c r="DO61" s="151"/>
      <c r="DP61" s="151"/>
      <c r="DQ61" s="151"/>
      <c r="DR61" s="151"/>
      <c r="DS61" s="151"/>
      <c r="DT61" s="151"/>
      <c r="DU61" s="151"/>
      <c r="DV61" s="151"/>
      <c r="DW61" s="151"/>
      <c r="DX61" s="151"/>
      <c r="DY61" s="151"/>
      <c r="DZ61" s="151"/>
      <c r="EA61" s="151"/>
      <c r="EB61" s="151"/>
      <c r="EC61" s="151"/>
      <c r="ED61" s="151"/>
      <c r="EE61" s="151"/>
      <c r="EF61" s="151"/>
      <c r="EG61" s="151"/>
      <c r="EH61" s="151"/>
      <c r="EI61" s="151"/>
      <c r="EJ61" s="151"/>
      <c r="EK61" s="151"/>
      <c r="EL61" s="151"/>
      <c r="EM61" s="151"/>
      <c r="EN61" s="151"/>
      <c r="EO61" s="151"/>
      <c r="EP61" s="151"/>
      <c r="EQ61" s="151"/>
      <c r="ER61" s="151"/>
      <c r="ES61" s="151"/>
      <c r="ET61" s="151"/>
      <c r="EU61" s="151"/>
      <c r="EV61" s="151"/>
      <c r="EW61" s="151"/>
      <c r="EX61" s="151"/>
      <c r="EY61" s="151"/>
      <c r="EZ61" s="151"/>
      <c r="FA61" s="151"/>
      <c r="FB61" s="151"/>
      <c r="FC61" s="151"/>
      <c r="FD61" s="151"/>
      <c r="FE61" s="151"/>
      <c r="FF61" s="151"/>
      <c r="FG61" s="151"/>
      <c r="FH61" s="151"/>
      <c r="FI61" s="151"/>
      <c r="FJ61" s="151"/>
      <c r="FK61" s="151"/>
      <c r="FL61" s="151"/>
      <c r="FM61" s="151"/>
      <c r="FN61" s="151"/>
      <c r="FO61" s="151"/>
      <c r="FP61" s="151"/>
      <c r="FQ61" s="151"/>
      <c r="FR61" s="151"/>
      <c r="FS61" s="151"/>
      <c r="FT61" s="151"/>
      <c r="FU61" s="151"/>
      <c r="FV61" s="151"/>
      <c r="FW61" s="151"/>
      <c r="FX61" s="151"/>
      <c r="FY61" s="151"/>
      <c r="FZ61" s="151"/>
      <c r="GA61" s="151"/>
      <c r="GB61" s="151"/>
      <c r="GC61" s="151"/>
      <c r="GD61" s="151"/>
      <c r="GE61" s="151"/>
      <c r="GF61" s="151"/>
      <c r="GG61" s="151"/>
      <c r="GH61" s="151"/>
      <c r="GI61" s="151"/>
      <c r="GJ61" s="151"/>
      <c r="GK61" s="151"/>
      <c r="GL61" s="151"/>
      <c r="GM61" s="151"/>
      <c r="GN61" s="151"/>
      <c r="GO61" s="151"/>
      <c r="GP61" s="151"/>
      <c r="GQ61" s="151"/>
      <c r="GR61" s="151"/>
      <c r="GS61" s="151"/>
      <c r="GT61" s="151"/>
      <c r="GU61" s="151"/>
      <c r="GV61" s="151"/>
      <c r="GW61" s="151"/>
      <c r="GX61" s="151"/>
      <c r="GY61" s="151"/>
      <c r="GZ61" s="151"/>
      <c r="HA61" s="151"/>
      <c r="HB61" s="151"/>
      <c r="HC61" s="151"/>
      <c r="HD61" s="151"/>
      <c r="HE61" s="151"/>
      <c r="HF61" s="151"/>
      <c r="HG61" s="151"/>
      <c r="HH61" s="151"/>
      <c r="HI61" s="151"/>
      <c r="HJ61" s="151"/>
      <c r="HK61" s="151"/>
      <c r="HL61" s="151"/>
      <c r="HM61" s="151"/>
      <c r="HN61" s="151"/>
      <c r="HO61" s="151"/>
      <c r="HP61" s="151"/>
      <c r="HQ61" s="151"/>
      <c r="HR61" s="151"/>
      <c r="HS61" s="151"/>
      <c r="HT61" s="151"/>
      <c r="HU61" s="151"/>
      <c r="HV61" s="151"/>
      <c r="HW61" s="151"/>
      <c r="HX61" s="151"/>
      <c r="HY61" s="151"/>
      <c r="HZ61" s="151"/>
      <c r="IA61" s="151"/>
      <c r="IB61" s="151"/>
      <c r="IC61" s="151"/>
      <c r="ID61" s="151"/>
      <c r="IE61" s="151"/>
      <c r="IF61" s="151"/>
      <c r="IG61" s="151"/>
      <c r="IH61" s="151"/>
      <c r="II61" s="151"/>
      <c r="IJ61" s="151"/>
      <c r="IK61" s="151"/>
      <c r="IL61" s="151"/>
      <c r="IM61" s="151"/>
      <c r="IN61" s="151"/>
      <c r="IO61" s="151"/>
      <c r="IP61" s="151"/>
      <c r="IQ61" s="151"/>
      <c r="IR61" s="151"/>
      <c r="IS61" s="151"/>
      <c r="IT61" s="151"/>
      <c r="IU61" s="151"/>
      <c r="IV61" s="151"/>
    </row>
    <row r="62" spans="1:256" ht="13.8" hidden="1" thickBot="1" x14ac:dyDescent="0.3">
      <c r="A62" s="117"/>
      <c r="B62" s="116"/>
      <c r="C62" s="383" t="s">
        <v>370</v>
      </c>
      <c r="D62" s="116"/>
      <c r="E62" s="116"/>
      <c r="F62" s="329"/>
      <c r="G62" s="329"/>
      <c r="H62" s="329"/>
      <c r="I62" s="329"/>
      <c r="J62" s="329"/>
      <c r="K62" s="330"/>
      <c r="L62" s="526"/>
    </row>
    <row r="63" spans="1:256" ht="13.8" hidden="1" thickBot="1" x14ac:dyDescent="0.3">
      <c r="A63" s="117"/>
      <c r="B63" s="116"/>
      <c r="C63" s="311" t="s">
        <v>372</v>
      </c>
      <c r="D63" s="116"/>
      <c r="E63" s="116"/>
      <c r="F63" s="329"/>
      <c r="G63" s="329">
        <v>6</v>
      </c>
      <c r="H63" s="329">
        <v>362.71</v>
      </c>
      <c r="I63" s="329">
        <v>0.2</v>
      </c>
      <c r="J63" s="329"/>
      <c r="K63" s="330">
        <f>ROUND(H63*I63*G63,2)</f>
        <v>435.25</v>
      </c>
      <c r="L63" s="526"/>
    </row>
    <row r="64" spans="1:256" ht="13.8" hidden="1" thickBot="1" x14ac:dyDescent="0.3">
      <c r="A64" s="117"/>
      <c r="B64" s="116"/>
      <c r="C64" s="311" t="s">
        <v>373</v>
      </c>
      <c r="D64" s="116"/>
      <c r="E64" s="116"/>
      <c r="F64" s="329"/>
      <c r="G64" s="329">
        <v>1.5</v>
      </c>
      <c r="H64" s="329">
        <v>285</v>
      </c>
      <c r="I64" s="329">
        <v>1</v>
      </c>
      <c r="J64" s="329"/>
      <c r="K64" s="330">
        <f>ROUND(H64*I64*G64,2)</f>
        <v>427.5</v>
      </c>
      <c r="L64" s="526"/>
    </row>
    <row r="65" spans="1:256" ht="13.8" hidden="1" thickBot="1" x14ac:dyDescent="0.3">
      <c r="A65" s="528"/>
      <c r="B65" s="529"/>
      <c r="C65" s="530"/>
      <c r="D65" s="119"/>
      <c r="E65" s="119"/>
      <c r="F65" s="331"/>
      <c r="G65" s="331"/>
      <c r="H65" s="332"/>
      <c r="I65" s="333"/>
      <c r="J65" s="333">
        <f>SUM(K63:K64)</f>
        <v>862.75</v>
      </c>
      <c r="K65" s="334" t="str">
        <f>D61</f>
        <v>m³</v>
      </c>
      <c r="L65" s="527"/>
    </row>
    <row r="66" spans="1:256" customFormat="1" ht="45.75" hidden="1" customHeight="1" x14ac:dyDescent="0.3">
      <c r="A66" s="123">
        <v>100982</v>
      </c>
      <c r="B66" s="364" t="s">
        <v>107</v>
      </c>
      <c r="C66" s="122" t="s">
        <v>415</v>
      </c>
      <c r="D66" s="312" t="s">
        <v>207</v>
      </c>
      <c r="E66" s="121" t="s">
        <v>118</v>
      </c>
      <c r="F66" s="326" t="s">
        <v>117</v>
      </c>
      <c r="G66" s="326" t="s">
        <v>116</v>
      </c>
      <c r="H66" s="327" t="s">
        <v>115</v>
      </c>
      <c r="I66" s="326" t="s">
        <v>114</v>
      </c>
      <c r="J66" s="326" t="s">
        <v>113</v>
      </c>
      <c r="K66" s="328" t="s">
        <v>10</v>
      </c>
      <c r="L66" s="525" t="s">
        <v>371</v>
      </c>
      <c r="M66" s="151"/>
      <c r="N66" s="151"/>
      <c r="O66" s="151"/>
      <c r="P66" s="151"/>
      <c r="Q66" s="151"/>
      <c r="R66" s="151"/>
      <c r="S66" s="370"/>
      <c r="V66" s="151"/>
      <c r="W66" s="151"/>
      <c r="X66" s="151"/>
      <c r="Y66" s="151"/>
      <c r="Z66" s="151"/>
      <c r="AA66" s="151"/>
      <c r="AB66" s="151"/>
      <c r="AC66" s="151"/>
      <c r="AD66" s="151"/>
      <c r="AE66" s="151"/>
      <c r="AF66" s="151"/>
      <c r="AG66" s="151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1"/>
      <c r="AT66" s="151"/>
      <c r="AU66" s="151"/>
      <c r="AV66" s="151"/>
      <c r="AW66" s="151"/>
      <c r="AX66" s="151"/>
      <c r="AY66" s="151"/>
      <c r="AZ66" s="151"/>
      <c r="BA66" s="151"/>
      <c r="BB66" s="151"/>
      <c r="BC66" s="151"/>
      <c r="BD66" s="151"/>
      <c r="BE66" s="151"/>
      <c r="BF66" s="151"/>
      <c r="BG66" s="151"/>
      <c r="BH66" s="151"/>
      <c r="BI66" s="151"/>
      <c r="BJ66" s="151"/>
      <c r="BK66" s="151"/>
      <c r="BL66" s="151"/>
      <c r="BM66" s="151"/>
      <c r="BN66" s="151"/>
      <c r="BO66" s="151"/>
      <c r="BP66" s="151"/>
      <c r="BQ66" s="151"/>
      <c r="BR66" s="151"/>
      <c r="BS66" s="151"/>
      <c r="BT66" s="151"/>
      <c r="BU66" s="151"/>
      <c r="BV66" s="151"/>
      <c r="BW66" s="151"/>
      <c r="BX66" s="151"/>
      <c r="BY66" s="151"/>
      <c r="BZ66" s="151"/>
      <c r="CA66" s="151"/>
      <c r="CB66" s="151"/>
      <c r="CC66" s="151"/>
      <c r="CD66" s="151"/>
      <c r="CE66" s="151"/>
      <c r="CF66" s="151"/>
      <c r="CG66" s="151"/>
      <c r="CH66" s="151"/>
      <c r="CI66" s="151"/>
      <c r="CJ66" s="151"/>
      <c r="CK66" s="151"/>
      <c r="CL66" s="151"/>
      <c r="CM66" s="151"/>
      <c r="CN66" s="151"/>
      <c r="CO66" s="151"/>
      <c r="CP66" s="151"/>
      <c r="CQ66" s="151"/>
      <c r="CR66" s="151"/>
      <c r="CS66" s="151"/>
      <c r="CT66" s="151"/>
      <c r="CU66" s="151"/>
      <c r="CV66" s="151"/>
      <c r="CW66" s="151"/>
      <c r="CX66" s="151"/>
      <c r="CY66" s="151"/>
      <c r="CZ66" s="151"/>
      <c r="DA66" s="151"/>
      <c r="DB66" s="151"/>
      <c r="DC66" s="151"/>
      <c r="DD66" s="151"/>
      <c r="DE66" s="151"/>
      <c r="DF66" s="151"/>
      <c r="DG66" s="151"/>
      <c r="DH66" s="151"/>
      <c r="DI66" s="151"/>
      <c r="DJ66" s="151"/>
      <c r="DK66" s="151"/>
      <c r="DL66" s="151"/>
      <c r="DM66" s="151"/>
      <c r="DN66" s="151"/>
      <c r="DO66" s="151"/>
      <c r="DP66" s="151"/>
      <c r="DQ66" s="151"/>
      <c r="DR66" s="151"/>
      <c r="DS66" s="151"/>
      <c r="DT66" s="151"/>
      <c r="DU66" s="151"/>
      <c r="DV66" s="151"/>
      <c r="DW66" s="151"/>
      <c r="DX66" s="151"/>
      <c r="DY66" s="151"/>
      <c r="DZ66" s="151"/>
      <c r="EA66" s="151"/>
      <c r="EB66" s="151"/>
      <c r="EC66" s="151"/>
      <c r="ED66" s="151"/>
      <c r="EE66" s="151"/>
      <c r="EF66" s="151"/>
      <c r="EG66" s="151"/>
      <c r="EH66" s="151"/>
      <c r="EI66" s="151"/>
      <c r="EJ66" s="151"/>
      <c r="EK66" s="151"/>
      <c r="EL66" s="151"/>
      <c r="EM66" s="151"/>
      <c r="EN66" s="151"/>
      <c r="EO66" s="151"/>
      <c r="EP66" s="151"/>
      <c r="EQ66" s="151"/>
      <c r="ER66" s="151"/>
      <c r="ES66" s="151"/>
      <c r="ET66" s="151"/>
      <c r="EU66" s="151"/>
      <c r="EV66" s="151"/>
      <c r="EW66" s="151"/>
      <c r="EX66" s="151"/>
      <c r="EY66" s="151"/>
      <c r="EZ66" s="151"/>
      <c r="FA66" s="151"/>
      <c r="FB66" s="151"/>
      <c r="FC66" s="151"/>
      <c r="FD66" s="151"/>
      <c r="FE66" s="151"/>
      <c r="FF66" s="151"/>
      <c r="FG66" s="151"/>
      <c r="FH66" s="151"/>
      <c r="FI66" s="151"/>
      <c r="FJ66" s="151"/>
      <c r="FK66" s="151"/>
      <c r="FL66" s="151"/>
      <c r="FM66" s="151"/>
      <c r="FN66" s="151"/>
      <c r="FO66" s="151"/>
      <c r="FP66" s="151"/>
      <c r="FQ66" s="151"/>
      <c r="FR66" s="151"/>
      <c r="FS66" s="151"/>
      <c r="FT66" s="151"/>
      <c r="FU66" s="151"/>
      <c r="FV66" s="151"/>
      <c r="FW66" s="151"/>
      <c r="FX66" s="151"/>
      <c r="FY66" s="151"/>
      <c r="FZ66" s="151"/>
      <c r="GA66" s="151"/>
      <c r="GB66" s="151"/>
      <c r="GC66" s="151"/>
      <c r="GD66" s="151"/>
      <c r="GE66" s="151"/>
      <c r="GF66" s="151"/>
      <c r="GG66" s="151"/>
      <c r="GH66" s="151"/>
      <c r="GI66" s="151"/>
      <c r="GJ66" s="151"/>
      <c r="GK66" s="151"/>
      <c r="GL66" s="151"/>
      <c r="GM66" s="151"/>
      <c r="GN66" s="151"/>
      <c r="GO66" s="151"/>
      <c r="GP66" s="151"/>
      <c r="GQ66" s="151"/>
      <c r="GR66" s="151"/>
      <c r="GS66" s="151"/>
      <c r="GT66" s="151"/>
      <c r="GU66" s="151"/>
      <c r="GV66" s="151"/>
      <c r="GW66" s="151"/>
      <c r="GX66" s="151"/>
      <c r="GY66" s="151"/>
      <c r="GZ66" s="151"/>
      <c r="HA66" s="151"/>
      <c r="HB66" s="151"/>
      <c r="HC66" s="151"/>
      <c r="HD66" s="151"/>
      <c r="HE66" s="151"/>
      <c r="HF66" s="151"/>
      <c r="HG66" s="151"/>
      <c r="HH66" s="151"/>
      <c r="HI66" s="151"/>
      <c r="HJ66" s="151"/>
      <c r="HK66" s="151"/>
      <c r="HL66" s="151"/>
      <c r="HM66" s="151"/>
      <c r="HN66" s="151"/>
      <c r="HO66" s="151"/>
      <c r="HP66" s="151"/>
      <c r="HQ66" s="151"/>
      <c r="HR66" s="151"/>
      <c r="HS66" s="151"/>
      <c r="HT66" s="151"/>
      <c r="HU66" s="151"/>
      <c r="HV66" s="151"/>
      <c r="HW66" s="151"/>
      <c r="HX66" s="151"/>
      <c r="HY66" s="151"/>
      <c r="HZ66" s="151"/>
      <c r="IA66" s="151"/>
      <c r="IB66" s="151"/>
      <c r="IC66" s="151"/>
      <c r="ID66" s="151"/>
      <c r="IE66" s="151"/>
      <c r="IF66" s="151"/>
      <c r="IG66" s="151"/>
      <c r="IH66" s="151"/>
      <c r="II66" s="151"/>
      <c r="IJ66" s="151"/>
      <c r="IK66" s="151"/>
      <c r="IL66" s="151"/>
      <c r="IM66" s="151"/>
      <c r="IN66" s="151"/>
      <c r="IO66" s="151"/>
      <c r="IP66" s="151"/>
      <c r="IQ66" s="151"/>
      <c r="IR66" s="151"/>
      <c r="IS66" s="151"/>
      <c r="IT66" s="151"/>
      <c r="IU66" s="151"/>
      <c r="IV66" s="151"/>
    </row>
    <row r="67" spans="1:256" ht="13.8" hidden="1" thickBot="1" x14ac:dyDescent="0.3">
      <c r="A67" s="117"/>
      <c r="B67" s="116"/>
      <c r="C67" s="416" t="s">
        <v>502</v>
      </c>
      <c r="D67" s="116"/>
      <c r="E67" s="116"/>
      <c r="F67" s="329">
        <f>K57</f>
        <v>0</v>
      </c>
      <c r="G67" s="329"/>
      <c r="H67" s="329"/>
      <c r="I67" s="329">
        <v>0.15</v>
      </c>
      <c r="J67" s="329"/>
      <c r="K67" s="330">
        <f>ROUND(F67*I67,2)</f>
        <v>0</v>
      </c>
      <c r="L67" s="526"/>
    </row>
    <row r="68" spans="1:256" ht="13.8" hidden="1" thickBot="1" x14ac:dyDescent="0.3">
      <c r="A68" s="528"/>
      <c r="B68" s="529"/>
      <c r="C68" s="530"/>
      <c r="D68" s="119"/>
      <c r="E68" s="119"/>
      <c r="F68" s="331"/>
      <c r="G68" s="331"/>
      <c r="H68" s="332"/>
      <c r="I68" s="333"/>
      <c r="J68" s="333">
        <f>K67</f>
        <v>0</v>
      </c>
      <c r="K68" s="334" t="str">
        <f>D66</f>
        <v>m³</v>
      </c>
      <c r="L68" s="527"/>
    </row>
    <row r="69" spans="1:256" customFormat="1" ht="23.4" hidden="1" customHeight="1" x14ac:dyDescent="0.3">
      <c r="A69" s="365" t="s">
        <v>321</v>
      </c>
      <c r="B69" s="366" t="s">
        <v>107</v>
      </c>
      <c r="C69" s="367" t="s">
        <v>320</v>
      </c>
      <c r="D69" s="368" t="s">
        <v>206</v>
      </c>
      <c r="E69" s="121" t="s">
        <v>118</v>
      </c>
      <c r="F69" s="326" t="s">
        <v>296</v>
      </c>
      <c r="G69" s="326" t="s">
        <v>297</v>
      </c>
      <c r="H69" s="326" t="s">
        <v>115</v>
      </c>
      <c r="I69" s="335" t="s">
        <v>374</v>
      </c>
      <c r="J69" s="326" t="s">
        <v>349</v>
      </c>
      <c r="K69" s="328" t="s">
        <v>10</v>
      </c>
      <c r="L69" s="555" t="s">
        <v>319</v>
      </c>
      <c r="M69" s="324"/>
      <c r="N69" s="151"/>
      <c r="O69" s="151"/>
      <c r="P69" s="151"/>
      <c r="Q69" s="151"/>
      <c r="R69" s="151"/>
      <c r="S69" s="151"/>
      <c r="T69" s="151"/>
      <c r="U69" s="361"/>
      <c r="V69" s="151"/>
      <c r="W69" s="151"/>
      <c r="X69" s="151"/>
      <c r="Y69" s="151"/>
      <c r="Z69" s="151"/>
      <c r="AA69" s="151"/>
      <c r="AB69" s="151"/>
      <c r="AC69" s="151"/>
      <c r="AD69" s="151"/>
      <c r="AE69" s="151"/>
      <c r="AF69" s="151"/>
      <c r="AG69" s="151"/>
      <c r="AH69" s="151"/>
      <c r="AI69" s="151"/>
      <c r="AJ69" s="151"/>
      <c r="AK69" s="151"/>
      <c r="AL69" s="151"/>
      <c r="AM69" s="151"/>
      <c r="AN69" s="151"/>
      <c r="AO69" s="151"/>
      <c r="AP69" s="151"/>
      <c r="AQ69" s="151"/>
      <c r="AR69" s="151"/>
      <c r="AS69" s="151"/>
      <c r="AT69" s="151"/>
      <c r="AU69" s="151"/>
      <c r="AV69" s="151"/>
      <c r="AW69" s="151"/>
      <c r="AX69" s="151"/>
      <c r="AY69" s="151"/>
      <c r="AZ69" s="151"/>
      <c r="BA69" s="151"/>
      <c r="BB69" s="151"/>
      <c r="BC69" s="151"/>
      <c r="BD69" s="151"/>
      <c r="BE69" s="151"/>
      <c r="BF69" s="151"/>
      <c r="BG69" s="151"/>
      <c r="BH69" s="151"/>
      <c r="BI69" s="151"/>
      <c r="BJ69" s="151"/>
      <c r="BK69" s="151"/>
      <c r="BL69" s="151"/>
      <c r="BM69" s="151"/>
      <c r="BN69" s="151"/>
      <c r="BO69" s="151"/>
      <c r="BP69" s="151"/>
      <c r="BQ69" s="151"/>
      <c r="BR69" s="151"/>
      <c r="BS69" s="151"/>
      <c r="BT69" s="151"/>
      <c r="BU69" s="151"/>
      <c r="BV69" s="151"/>
      <c r="BW69" s="151"/>
      <c r="BX69" s="151"/>
      <c r="BY69" s="151"/>
      <c r="BZ69" s="151"/>
      <c r="CA69" s="151"/>
      <c r="CB69" s="151"/>
      <c r="CC69" s="151"/>
      <c r="CD69" s="151"/>
      <c r="CE69" s="151"/>
      <c r="CF69" s="151"/>
      <c r="CG69" s="151"/>
      <c r="CH69" s="151"/>
      <c r="CI69" s="151"/>
      <c r="CJ69" s="151"/>
      <c r="CK69" s="151"/>
      <c r="CL69" s="151"/>
      <c r="CM69" s="151"/>
      <c r="CN69" s="151"/>
      <c r="CO69" s="151"/>
      <c r="CP69" s="151"/>
      <c r="CQ69" s="151"/>
      <c r="CR69" s="151"/>
      <c r="CS69" s="151"/>
      <c r="CT69" s="151"/>
      <c r="CU69" s="151"/>
      <c r="CV69" s="151"/>
      <c r="CW69" s="151"/>
      <c r="CX69" s="151"/>
      <c r="CY69" s="151"/>
      <c r="CZ69" s="151"/>
      <c r="DA69" s="151"/>
      <c r="DB69" s="151"/>
      <c r="DC69" s="151"/>
      <c r="DD69" s="151"/>
      <c r="DE69" s="151"/>
      <c r="DF69" s="151"/>
      <c r="DG69" s="151"/>
      <c r="DH69" s="151"/>
      <c r="DI69" s="151"/>
      <c r="DJ69" s="151"/>
      <c r="DK69" s="151"/>
      <c r="DL69" s="151"/>
      <c r="DM69" s="151"/>
      <c r="DN69" s="151"/>
      <c r="DO69" s="151"/>
      <c r="DP69" s="151"/>
      <c r="DQ69" s="151"/>
      <c r="DR69" s="151"/>
      <c r="DS69" s="151"/>
      <c r="DT69" s="151"/>
      <c r="DU69" s="151"/>
      <c r="DV69" s="151"/>
      <c r="DW69" s="151"/>
      <c r="DX69" s="151"/>
      <c r="DY69" s="151"/>
      <c r="DZ69" s="151"/>
      <c r="EA69" s="151"/>
      <c r="EB69" s="151"/>
      <c r="EC69" s="151"/>
      <c r="ED69" s="151"/>
      <c r="EE69" s="151"/>
      <c r="EF69" s="151"/>
      <c r="EG69" s="151"/>
      <c r="EH69" s="151"/>
      <c r="EI69" s="151"/>
      <c r="EJ69" s="151"/>
      <c r="EK69" s="151"/>
      <c r="EL69" s="151"/>
      <c r="EM69" s="151"/>
      <c r="EN69" s="151"/>
      <c r="EO69" s="151"/>
      <c r="EP69" s="151"/>
      <c r="EQ69" s="151"/>
      <c r="ER69" s="151"/>
      <c r="ES69" s="151"/>
      <c r="ET69" s="151"/>
      <c r="EU69" s="151"/>
      <c r="EV69" s="151"/>
      <c r="EW69" s="151"/>
      <c r="EX69" s="151"/>
      <c r="EY69" s="151"/>
      <c r="EZ69" s="151"/>
      <c r="FA69" s="151"/>
      <c r="FB69" s="151"/>
      <c r="FC69" s="151"/>
      <c r="FD69" s="151"/>
      <c r="FE69" s="151"/>
      <c r="FF69" s="151"/>
      <c r="FG69" s="151"/>
      <c r="FH69" s="151"/>
      <c r="FI69" s="151"/>
      <c r="FJ69" s="151"/>
      <c r="FK69" s="151"/>
      <c r="FL69" s="151"/>
      <c r="FM69" s="151"/>
      <c r="FN69" s="151"/>
      <c r="FO69" s="151"/>
      <c r="FP69" s="151"/>
      <c r="FQ69" s="151"/>
      <c r="FR69" s="151"/>
      <c r="FS69" s="151"/>
      <c r="FT69" s="151"/>
      <c r="FU69" s="151"/>
      <c r="FV69" s="151"/>
      <c r="FW69" s="151"/>
      <c r="FX69" s="151"/>
      <c r="FY69" s="151"/>
      <c r="FZ69" s="151"/>
      <c r="GA69" s="151"/>
      <c r="GB69" s="151"/>
      <c r="GC69" s="151"/>
      <c r="GD69" s="151"/>
      <c r="GE69" s="151"/>
      <c r="GF69" s="151"/>
      <c r="GG69" s="151"/>
      <c r="GH69" s="151"/>
      <c r="GI69" s="151"/>
      <c r="GJ69" s="151"/>
      <c r="GK69" s="151"/>
      <c r="GL69" s="151"/>
      <c r="GM69" s="151"/>
      <c r="GN69" s="151"/>
      <c r="GO69" s="151"/>
      <c r="GP69" s="151"/>
      <c r="GQ69" s="151"/>
      <c r="GR69" s="151"/>
      <c r="GS69" s="151"/>
      <c r="GT69" s="151"/>
      <c r="GU69" s="151"/>
      <c r="GV69" s="151"/>
      <c r="GW69" s="151"/>
      <c r="GX69" s="151"/>
      <c r="GY69" s="151"/>
      <c r="GZ69" s="151"/>
      <c r="HA69" s="151"/>
      <c r="HB69" s="151"/>
      <c r="HC69" s="151"/>
      <c r="HD69" s="151"/>
      <c r="HE69" s="151"/>
      <c r="HF69" s="151"/>
      <c r="HG69" s="151"/>
      <c r="HH69" s="151"/>
      <c r="HI69" s="151"/>
      <c r="HJ69" s="151"/>
      <c r="HK69" s="151"/>
      <c r="HL69" s="151"/>
      <c r="HM69" s="151"/>
      <c r="HN69" s="151"/>
      <c r="HO69" s="151"/>
      <c r="HP69" s="151"/>
      <c r="HQ69" s="151"/>
      <c r="HR69" s="151"/>
      <c r="HS69" s="151"/>
      <c r="HT69" s="151"/>
      <c r="HU69" s="151"/>
      <c r="HV69" s="151"/>
      <c r="HW69" s="151"/>
      <c r="HX69" s="151"/>
      <c r="HY69" s="151"/>
      <c r="HZ69" s="151"/>
      <c r="IA69" s="151"/>
      <c r="IB69" s="151"/>
      <c r="IC69" s="151"/>
      <c r="ID69" s="151"/>
      <c r="IE69" s="151"/>
      <c r="IF69" s="151"/>
      <c r="IG69" s="151"/>
      <c r="IH69" s="151"/>
      <c r="II69" s="151"/>
      <c r="IJ69" s="151"/>
      <c r="IK69" s="151"/>
      <c r="IL69" s="151"/>
      <c r="IM69" s="151"/>
      <c r="IN69" s="151"/>
      <c r="IO69" s="151"/>
      <c r="IP69" s="151"/>
      <c r="IQ69" s="151"/>
      <c r="IR69" s="151"/>
      <c r="IS69" s="151"/>
      <c r="IT69" s="151"/>
      <c r="IU69" s="151"/>
      <c r="IV69" s="151"/>
    </row>
    <row r="70" spans="1:256" ht="13.8" hidden="1" thickBot="1" x14ac:dyDescent="0.3">
      <c r="A70" s="117"/>
      <c r="B70" s="116"/>
      <c r="C70" s="415" t="s">
        <v>498</v>
      </c>
      <c r="D70" s="116"/>
      <c r="E70" s="116"/>
      <c r="F70" s="329">
        <f>J65</f>
        <v>862.75</v>
      </c>
      <c r="G70" s="329">
        <v>7.7</v>
      </c>
      <c r="H70" s="329"/>
      <c r="I70" s="329"/>
      <c r="J70" s="329">
        <v>1.2</v>
      </c>
      <c r="K70" s="330">
        <f>ROUND(F70*G70*J70,2)</f>
        <v>7971.81</v>
      </c>
      <c r="L70" s="556"/>
    </row>
    <row r="71" spans="1:256" ht="13.8" hidden="1" thickBot="1" x14ac:dyDescent="0.3">
      <c r="A71" s="407"/>
      <c r="B71" s="408"/>
      <c r="C71" s="416" t="s">
        <v>499</v>
      </c>
      <c r="D71" s="410"/>
      <c r="E71" s="410"/>
      <c r="F71" s="411">
        <f>K67</f>
        <v>0</v>
      </c>
      <c r="G71" s="411">
        <v>7.7</v>
      </c>
      <c r="H71" s="411"/>
      <c r="I71" s="411"/>
      <c r="J71" s="329">
        <v>1.2</v>
      </c>
      <c r="K71" s="330">
        <f>ROUND(F71*G71*J71,2)</f>
        <v>0</v>
      </c>
      <c r="L71" s="556"/>
    </row>
    <row r="72" spans="1:256" ht="13.8" hidden="1" thickBot="1" x14ac:dyDescent="0.3">
      <c r="A72" s="117"/>
      <c r="B72" s="116"/>
      <c r="C72" s="415" t="s">
        <v>500</v>
      </c>
      <c r="D72" s="116"/>
      <c r="E72" s="116"/>
      <c r="F72" s="329" t="e">
        <f>K80</f>
        <v>#REF!</v>
      </c>
      <c r="G72" s="329"/>
      <c r="H72" s="329">
        <v>7.1</v>
      </c>
      <c r="I72" s="329"/>
      <c r="J72" s="329"/>
      <c r="K72" s="330" t="e">
        <f>ROUND(F72*H72,2)</f>
        <v>#REF!</v>
      </c>
      <c r="L72" s="556"/>
    </row>
    <row r="73" spans="1:256" ht="13.8" hidden="1" thickBot="1" x14ac:dyDescent="0.3">
      <c r="A73" s="117"/>
      <c r="B73" s="116"/>
      <c r="C73" s="416" t="s">
        <v>501</v>
      </c>
      <c r="D73" s="410"/>
      <c r="E73" s="410"/>
      <c r="F73" s="329">
        <f>K81</f>
        <v>0</v>
      </c>
      <c r="G73" s="411"/>
      <c r="H73" s="329">
        <v>6.7</v>
      </c>
      <c r="I73" s="329"/>
      <c r="J73" s="411"/>
      <c r="K73" s="330">
        <f>ROUND(F73*H73,2)</f>
        <v>0</v>
      </c>
      <c r="L73" s="556"/>
    </row>
    <row r="74" spans="1:256" ht="13.8" hidden="1" thickBot="1" x14ac:dyDescent="0.3">
      <c r="A74" s="528"/>
      <c r="B74" s="529"/>
      <c r="C74" s="530"/>
      <c r="D74" s="119"/>
      <c r="E74" s="119"/>
      <c r="F74" s="331"/>
      <c r="G74" s="331"/>
      <c r="H74" s="332"/>
      <c r="I74" s="333"/>
      <c r="J74" s="333" t="e">
        <f>SUM(K70:K73)</f>
        <v>#REF!</v>
      </c>
      <c r="K74" s="334" t="str">
        <f>D69</f>
        <v>M3XKM</v>
      </c>
      <c r="L74" s="557"/>
    </row>
    <row r="75" spans="1:256" customFormat="1" ht="22.95" hidden="1" customHeight="1" x14ac:dyDescent="0.3">
      <c r="A75" s="365" t="s">
        <v>323</v>
      </c>
      <c r="B75" s="366" t="s">
        <v>107</v>
      </c>
      <c r="C75" s="367" t="s">
        <v>322</v>
      </c>
      <c r="D75" s="368" t="s">
        <v>205</v>
      </c>
      <c r="E75" s="121" t="s">
        <v>117</v>
      </c>
      <c r="F75" s="326" t="s">
        <v>296</v>
      </c>
      <c r="G75" s="326" t="s">
        <v>116</v>
      </c>
      <c r="H75" s="326" t="s">
        <v>115</v>
      </c>
      <c r="I75" s="335" t="s">
        <v>114</v>
      </c>
      <c r="J75" s="335" t="s">
        <v>113</v>
      </c>
      <c r="K75" s="328" t="s">
        <v>10</v>
      </c>
      <c r="L75" s="555" t="s">
        <v>319</v>
      </c>
      <c r="M75" s="324"/>
      <c r="N75" s="151"/>
      <c r="O75" s="151"/>
      <c r="P75" s="151"/>
      <c r="Q75" s="151"/>
      <c r="R75" s="151"/>
      <c r="S75" s="151"/>
      <c r="T75" s="151"/>
      <c r="U75" s="361"/>
      <c r="V75" s="151"/>
      <c r="W75" s="151"/>
      <c r="X75" s="151"/>
      <c r="Y75" s="151"/>
      <c r="Z75" s="151"/>
      <c r="AA75" s="151"/>
      <c r="AB75" s="151"/>
      <c r="AC75" s="151"/>
      <c r="AD75" s="151"/>
      <c r="AE75" s="151"/>
      <c r="AF75" s="151"/>
      <c r="AG75" s="151"/>
      <c r="AH75" s="151"/>
      <c r="AI75" s="151"/>
      <c r="AJ75" s="151"/>
      <c r="AK75" s="151"/>
      <c r="AL75" s="151"/>
      <c r="AM75" s="151"/>
      <c r="AN75" s="151"/>
      <c r="AO75" s="151"/>
      <c r="AP75" s="151"/>
      <c r="AQ75" s="151"/>
      <c r="AR75" s="151"/>
      <c r="AS75" s="151"/>
      <c r="AT75" s="151"/>
      <c r="AU75" s="151"/>
      <c r="AV75" s="151"/>
      <c r="AW75" s="151"/>
      <c r="AX75" s="151"/>
      <c r="AY75" s="151"/>
      <c r="AZ75" s="151"/>
      <c r="BA75" s="151"/>
      <c r="BB75" s="151"/>
      <c r="BC75" s="151"/>
      <c r="BD75" s="151"/>
      <c r="BE75" s="151"/>
      <c r="BF75" s="151"/>
      <c r="BG75" s="151"/>
      <c r="BH75" s="151"/>
      <c r="BI75" s="151"/>
      <c r="BJ75" s="151"/>
      <c r="BK75" s="151"/>
      <c r="BL75" s="151"/>
      <c r="BM75" s="151"/>
      <c r="BN75" s="151"/>
      <c r="BO75" s="151"/>
      <c r="BP75" s="151"/>
      <c r="BQ75" s="151"/>
      <c r="BR75" s="151"/>
      <c r="BS75" s="151"/>
      <c r="BT75" s="151"/>
      <c r="BU75" s="151"/>
      <c r="BV75" s="151"/>
      <c r="BW75" s="151"/>
      <c r="BX75" s="151"/>
      <c r="BY75" s="151"/>
      <c r="BZ75" s="151"/>
      <c r="CA75" s="151"/>
      <c r="CB75" s="151"/>
      <c r="CC75" s="151"/>
      <c r="CD75" s="151"/>
      <c r="CE75" s="151"/>
      <c r="CF75" s="151"/>
      <c r="CG75" s="151"/>
      <c r="CH75" s="151"/>
      <c r="CI75" s="151"/>
      <c r="CJ75" s="151"/>
      <c r="CK75" s="151"/>
      <c r="CL75" s="151"/>
      <c r="CM75" s="151"/>
      <c r="CN75" s="151"/>
      <c r="CO75" s="151"/>
      <c r="CP75" s="151"/>
      <c r="CQ75" s="151"/>
      <c r="CR75" s="151"/>
      <c r="CS75" s="151"/>
      <c r="CT75" s="151"/>
      <c r="CU75" s="151"/>
      <c r="CV75" s="151"/>
      <c r="CW75" s="151"/>
      <c r="CX75" s="151"/>
      <c r="CY75" s="151"/>
      <c r="CZ75" s="151"/>
      <c r="DA75" s="151"/>
      <c r="DB75" s="151"/>
      <c r="DC75" s="151"/>
      <c r="DD75" s="151"/>
      <c r="DE75" s="151"/>
      <c r="DF75" s="151"/>
      <c r="DG75" s="151"/>
      <c r="DH75" s="151"/>
      <c r="DI75" s="151"/>
      <c r="DJ75" s="151"/>
      <c r="DK75" s="151"/>
      <c r="DL75" s="151"/>
      <c r="DM75" s="151"/>
      <c r="DN75" s="151"/>
      <c r="DO75" s="151"/>
      <c r="DP75" s="151"/>
      <c r="DQ75" s="151"/>
      <c r="DR75" s="151"/>
      <c r="DS75" s="151"/>
      <c r="DT75" s="151"/>
      <c r="DU75" s="151"/>
      <c r="DV75" s="151"/>
      <c r="DW75" s="151"/>
      <c r="DX75" s="151"/>
      <c r="DY75" s="151"/>
      <c r="DZ75" s="151"/>
      <c r="EA75" s="151"/>
      <c r="EB75" s="151"/>
      <c r="EC75" s="151"/>
      <c r="ED75" s="151"/>
      <c r="EE75" s="151"/>
      <c r="EF75" s="151"/>
      <c r="EG75" s="151"/>
      <c r="EH75" s="151"/>
      <c r="EI75" s="151"/>
      <c r="EJ75" s="151"/>
      <c r="EK75" s="151"/>
      <c r="EL75" s="151"/>
      <c r="EM75" s="151"/>
      <c r="EN75" s="151"/>
      <c r="EO75" s="151"/>
      <c r="EP75" s="151"/>
      <c r="EQ75" s="151"/>
      <c r="ER75" s="151"/>
      <c r="ES75" s="151"/>
      <c r="ET75" s="151"/>
      <c r="EU75" s="151"/>
      <c r="EV75" s="151"/>
      <c r="EW75" s="151"/>
      <c r="EX75" s="151"/>
      <c r="EY75" s="151"/>
      <c r="EZ75" s="151"/>
      <c r="FA75" s="151"/>
      <c r="FB75" s="151"/>
      <c r="FC75" s="151"/>
      <c r="FD75" s="151"/>
      <c r="FE75" s="151"/>
      <c r="FF75" s="151"/>
      <c r="FG75" s="151"/>
      <c r="FH75" s="151"/>
      <c r="FI75" s="151"/>
      <c r="FJ75" s="151"/>
      <c r="FK75" s="151"/>
      <c r="FL75" s="151"/>
      <c r="FM75" s="151"/>
      <c r="FN75" s="151"/>
      <c r="FO75" s="151"/>
      <c r="FP75" s="151"/>
      <c r="FQ75" s="151"/>
      <c r="FR75" s="151"/>
      <c r="FS75" s="151"/>
      <c r="FT75" s="151"/>
      <c r="FU75" s="151"/>
      <c r="FV75" s="151"/>
      <c r="FW75" s="151"/>
      <c r="FX75" s="151"/>
      <c r="FY75" s="151"/>
      <c r="FZ75" s="151"/>
      <c r="GA75" s="151"/>
      <c r="GB75" s="151"/>
      <c r="GC75" s="151"/>
      <c r="GD75" s="151"/>
      <c r="GE75" s="151"/>
      <c r="GF75" s="151"/>
      <c r="GG75" s="151"/>
      <c r="GH75" s="151"/>
      <c r="GI75" s="151"/>
      <c r="GJ75" s="151"/>
      <c r="GK75" s="151"/>
      <c r="GL75" s="151"/>
      <c r="GM75" s="151"/>
      <c r="GN75" s="151"/>
      <c r="GO75" s="151"/>
      <c r="GP75" s="151"/>
      <c r="GQ75" s="151"/>
      <c r="GR75" s="151"/>
      <c r="GS75" s="151"/>
      <c r="GT75" s="151"/>
      <c r="GU75" s="151"/>
      <c r="GV75" s="151"/>
      <c r="GW75" s="151"/>
      <c r="GX75" s="151"/>
      <c r="GY75" s="151"/>
      <c r="GZ75" s="151"/>
      <c r="HA75" s="151"/>
      <c r="HB75" s="151"/>
      <c r="HC75" s="151"/>
      <c r="HD75" s="151"/>
      <c r="HE75" s="151"/>
      <c r="HF75" s="151"/>
      <c r="HG75" s="151"/>
      <c r="HH75" s="151"/>
      <c r="HI75" s="151"/>
      <c r="HJ75" s="151"/>
      <c r="HK75" s="151"/>
      <c r="HL75" s="151"/>
      <c r="HM75" s="151"/>
      <c r="HN75" s="151"/>
      <c r="HO75" s="151"/>
      <c r="HP75" s="151"/>
      <c r="HQ75" s="151"/>
      <c r="HR75" s="151"/>
      <c r="HS75" s="151"/>
      <c r="HT75" s="151"/>
      <c r="HU75" s="151"/>
      <c r="HV75" s="151"/>
      <c r="HW75" s="151"/>
      <c r="HX75" s="151"/>
      <c r="HY75" s="151"/>
      <c r="HZ75" s="151"/>
      <c r="IA75" s="151"/>
      <c r="IB75" s="151"/>
      <c r="IC75" s="151"/>
      <c r="ID75" s="151"/>
      <c r="IE75" s="151"/>
      <c r="IF75" s="151"/>
      <c r="IG75" s="151"/>
      <c r="IH75" s="151"/>
      <c r="II75" s="151"/>
      <c r="IJ75" s="151"/>
      <c r="IK75" s="151"/>
      <c r="IL75" s="151"/>
      <c r="IM75" s="151"/>
      <c r="IN75" s="151"/>
      <c r="IO75" s="151"/>
      <c r="IP75" s="151"/>
      <c r="IQ75" s="151"/>
      <c r="IR75" s="151"/>
      <c r="IS75" s="151"/>
      <c r="IT75" s="151"/>
      <c r="IU75" s="151"/>
      <c r="IV75" s="151"/>
    </row>
    <row r="76" spans="1:256" ht="13.8" hidden="1" thickBot="1" x14ac:dyDescent="0.3">
      <c r="A76" s="117"/>
      <c r="B76" s="116"/>
      <c r="C76" s="415" t="s">
        <v>370</v>
      </c>
      <c r="D76" s="116"/>
      <c r="E76" s="385" t="e">
        <f>N45</f>
        <v>#REF!</v>
      </c>
      <c r="F76" s="329"/>
      <c r="G76" s="329"/>
      <c r="H76" s="329"/>
      <c r="I76" s="329"/>
      <c r="J76" s="329"/>
      <c r="K76" s="330" t="e">
        <f>E76</f>
        <v>#REF!</v>
      </c>
      <c r="L76" s="556"/>
    </row>
    <row r="77" spans="1:256" ht="13.8" hidden="1" thickBot="1" x14ac:dyDescent="0.3">
      <c r="A77" s="117"/>
      <c r="B77" s="116"/>
      <c r="C77" s="416" t="s">
        <v>409</v>
      </c>
      <c r="D77" s="410"/>
      <c r="E77" s="417">
        <f>K57</f>
        <v>0</v>
      </c>
      <c r="F77" s="411"/>
      <c r="G77" s="411"/>
      <c r="H77" s="411"/>
      <c r="I77" s="411"/>
      <c r="J77" s="411"/>
      <c r="K77" s="412">
        <f>E77</f>
        <v>0</v>
      </c>
      <c r="L77" s="556"/>
    </row>
    <row r="78" spans="1:256" ht="13.8" hidden="1" thickBot="1" x14ac:dyDescent="0.3">
      <c r="A78" s="528"/>
      <c r="B78" s="529"/>
      <c r="C78" s="530"/>
      <c r="D78" s="119"/>
      <c r="E78" s="119"/>
      <c r="F78" s="331"/>
      <c r="G78" s="331"/>
      <c r="H78" s="332"/>
      <c r="I78" s="333"/>
      <c r="J78" s="333" t="e">
        <f>SUM(K76:K77)</f>
        <v>#REF!</v>
      </c>
      <c r="K78" s="334" t="str">
        <f>D75</f>
        <v>m²</v>
      </c>
      <c r="L78" s="557"/>
    </row>
    <row r="79" spans="1:256" customFormat="1" ht="39.6" hidden="1" customHeight="1" x14ac:dyDescent="0.3">
      <c r="A79" s="123">
        <v>96396</v>
      </c>
      <c r="B79" s="120" t="s">
        <v>107</v>
      </c>
      <c r="C79" s="122" t="s">
        <v>324</v>
      </c>
      <c r="D79" s="312" t="s">
        <v>207</v>
      </c>
      <c r="E79" s="121" t="s">
        <v>117</v>
      </c>
      <c r="F79" s="326" t="s">
        <v>296</v>
      </c>
      <c r="G79" s="326" t="s">
        <v>116</v>
      </c>
      <c r="H79" s="326" t="s">
        <v>115</v>
      </c>
      <c r="I79" s="335" t="s">
        <v>114</v>
      </c>
      <c r="J79" s="335" t="s">
        <v>113</v>
      </c>
      <c r="K79" s="328" t="s">
        <v>10</v>
      </c>
      <c r="L79" s="544"/>
      <c r="M79" s="151"/>
      <c r="N79" s="151"/>
      <c r="O79" s="151"/>
      <c r="P79" s="151"/>
      <c r="Q79" s="151"/>
      <c r="R79" s="151"/>
      <c r="S79" s="151"/>
      <c r="T79" s="151"/>
      <c r="U79" s="361"/>
      <c r="V79" s="151"/>
      <c r="W79" s="151"/>
      <c r="X79" s="151"/>
      <c r="Y79" s="151"/>
      <c r="Z79" s="151"/>
      <c r="AA79" s="151"/>
      <c r="AB79" s="151"/>
      <c r="AC79" s="151"/>
      <c r="AD79" s="151"/>
      <c r="AE79" s="151"/>
      <c r="AF79" s="151"/>
      <c r="AG79" s="151"/>
      <c r="AH79" s="151"/>
      <c r="AI79" s="151"/>
      <c r="AJ79" s="151"/>
      <c r="AK79" s="151"/>
      <c r="AL79" s="151"/>
      <c r="AM79" s="151"/>
      <c r="AN79" s="151"/>
      <c r="AO79" s="151"/>
      <c r="AP79" s="151"/>
      <c r="AQ79" s="151"/>
      <c r="AR79" s="151"/>
      <c r="AS79" s="151"/>
      <c r="AT79" s="151"/>
      <c r="AU79" s="151"/>
      <c r="AV79" s="151"/>
      <c r="AW79" s="151"/>
      <c r="AX79" s="151"/>
      <c r="AY79" s="151"/>
      <c r="AZ79" s="151"/>
      <c r="BA79" s="151"/>
      <c r="BB79" s="151"/>
      <c r="BC79" s="151"/>
      <c r="BD79" s="151"/>
      <c r="BE79" s="151"/>
      <c r="BF79" s="151"/>
      <c r="BG79" s="151"/>
      <c r="BH79" s="151"/>
      <c r="BI79" s="151"/>
      <c r="BJ79" s="151"/>
      <c r="BK79" s="151"/>
      <c r="BL79" s="151"/>
      <c r="BM79" s="151"/>
      <c r="BN79" s="151"/>
      <c r="BO79" s="151"/>
      <c r="BP79" s="151"/>
      <c r="BQ79" s="151"/>
      <c r="BR79" s="151"/>
      <c r="BS79" s="151"/>
      <c r="BT79" s="151"/>
      <c r="BU79" s="151"/>
      <c r="BV79" s="151"/>
      <c r="BW79" s="151"/>
      <c r="BX79" s="151"/>
      <c r="BY79" s="151"/>
      <c r="BZ79" s="151"/>
      <c r="CA79" s="151"/>
      <c r="CB79" s="151"/>
      <c r="CC79" s="151"/>
      <c r="CD79" s="151"/>
      <c r="CE79" s="151"/>
      <c r="CF79" s="151"/>
      <c r="CG79" s="151"/>
      <c r="CH79" s="151"/>
      <c r="CI79" s="151"/>
      <c r="CJ79" s="151"/>
      <c r="CK79" s="151"/>
      <c r="CL79" s="151"/>
      <c r="CM79" s="151"/>
      <c r="CN79" s="151"/>
      <c r="CO79" s="151"/>
      <c r="CP79" s="151"/>
      <c r="CQ79" s="151"/>
      <c r="CR79" s="151"/>
      <c r="CS79" s="151"/>
      <c r="CT79" s="151"/>
      <c r="CU79" s="151"/>
      <c r="CV79" s="151"/>
      <c r="CW79" s="151"/>
      <c r="CX79" s="151"/>
      <c r="CY79" s="151"/>
      <c r="CZ79" s="151"/>
      <c r="DA79" s="151"/>
      <c r="DB79" s="151"/>
      <c r="DC79" s="151"/>
      <c r="DD79" s="151"/>
      <c r="DE79" s="151"/>
      <c r="DF79" s="151"/>
      <c r="DG79" s="151"/>
      <c r="DH79" s="151"/>
      <c r="DI79" s="151"/>
      <c r="DJ79" s="151"/>
      <c r="DK79" s="151"/>
      <c r="DL79" s="151"/>
      <c r="DM79" s="151"/>
      <c r="DN79" s="151"/>
      <c r="DO79" s="151"/>
      <c r="DP79" s="151"/>
      <c r="DQ79" s="151"/>
      <c r="DR79" s="151"/>
      <c r="DS79" s="151"/>
      <c r="DT79" s="151"/>
      <c r="DU79" s="151"/>
      <c r="DV79" s="151"/>
      <c r="DW79" s="151"/>
      <c r="DX79" s="151"/>
      <c r="DY79" s="151"/>
      <c r="DZ79" s="151"/>
      <c r="EA79" s="151"/>
      <c r="EB79" s="151"/>
      <c r="EC79" s="151"/>
      <c r="ED79" s="151"/>
      <c r="EE79" s="151"/>
      <c r="EF79" s="151"/>
      <c r="EG79" s="151"/>
      <c r="EH79" s="151"/>
      <c r="EI79" s="151"/>
      <c r="EJ79" s="151"/>
      <c r="EK79" s="151"/>
      <c r="EL79" s="151"/>
      <c r="EM79" s="151"/>
      <c r="EN79" s="151"/>
      <c r="EO79" s="151"/>
      <c r="EP79" s="151"/>
      <c r="EQ79" s="151"/>
      <c r="ER79" s="151"/>
      <c r="ES79" s="151"/>
      <c r="ET79" s="151"/>
      <c r="EU79" s="151"/>
      <c r="EV79" s="151"/>
      <c r="EW79" s="151"/>
      <c r="EX79" s="151"/>
      <c r="EY79" s="151"/>
      <c r="EZ79" s="151"/>
      <c r="FA79" s="151"/>
      <c r="FB79" s="151"/>
      <c r="FC79" s="151"/>
      <c r="FD79" s="151"/>
      <c r="FE79" s="151"/>
      <c r="FF79" s="151"/>
      <c r="FG79" s="151"/>
      <c r="FH79" s="151"/>
      <c r="FI79" s="151"/>
      <c r="FJ79" s="151"/>
      <c r="FK79" s="151"/>
      <c r="FL79" s="151"/>
      <c r="FM79" s="151"/>
      <c r="FN79" s="151"/>
      <c r="FO79" s="151"/>
      <c r="FP79" s="151"/>
      <c r="FQ79" s="151"/>
      <c r="FR79" s="151"/>
      <c r="FS79" s="151"/>
      <c r="FT79" s="151"/>
      <c r="FU79" s="151"/>
      <c r="FV79" s="151"/>
      <c r="FW79" s="151"/>
      <c r="FX79" s="151"/>
      <c r="FY79" s="151"/>
      <c r="FZ79" s="151"/>
      <c r="GA79" s="151"/>
      <c r="GB79" s="151"/>
      <c r="GC79" s="151"/>
      <c r="GD79" s="151"/>
      <c r="GE79" s="151"/>
      <c r="GF79" s="151"/>
      <c r="GG79" s="151"/>
      <c r="GH79" s="151"/>
      <c r="GI79" s="151"/>
      <c r="GJ79" s="151"/>
      <c r="GK79" s="151"/>
      <c r="GL79" s="151"/>
      <c r="GM79" s="151"/>
      <c r="GN79" s="151"/>
      <c r="GO79" s="151"/>
      <c r="GP79" s="151"/>
      <c r="GQ79" s="151"/>
      <c r="GR79" s="151"/>
      <c r="GS79" s="151"/>
      <c r="GT79" s="151"/>
      <c r="GU79" s="151"/>
      <c r="GV79" s="151"/>
      <c r="GW79" s="151"/>
      <c r="GX79" s="151"/>
      <c r="GY79" s="151"/>
      <c r="GZ79" s="151"/>
      <c r="HA79" s="151"/>
      <c r="HB79" s="151"/>
      <c r="HC79" s="151"/>
      <c r="HD79" s="151"/>
      <c r="HE79" s="151"/>
      <c r="HF79" s="151"/>
      <c r="HG79" s="151"/>
      <c r="HH79" s="151"/>
      <c r="HI79" s="151"/>
      <c r="HJ79" s="151"/>
      <c r="HK79" s="151"/>
      <c r="HL79" s="151"/>
      <c r="HM79" s="151"/>
      <c r="HN79" s="151"/>
      <c r="HO79" s="151"/>
      <c r="HP79" s="151"/>
      <c r="HQ79" s="151"/>
      <c r="HR79" s="151"/>
      <c r="HS79" s="151"/>
      <c r="HT79" s="151"/>
      <c r="HU79" s="151"/>
      <c r="HV79" s="151"/>
      <c r="HW79" s="151"/>
      <c r="HX79" s="151"/>
      <c r="HY79" s="151"/>
      <c r="HZ79" s="151"/>
      <c r="IA79" s="151"/>
      <c r="IB79" s="151"/>
      <c r="IC79" s="151"/>
      <c r="ID79" s="151"/>
      <c r="IE79" s="151"/>
      <c r="IF79" s="151"/>
      <c r="IG79" s="151"/>
      <c r="IH79" s="151"/>
      <c r="II79" s="151"/>
      <c r="IJ79" s="151"/>
      <c r="IK79" s="151"/>
      <c r="IL79" s="151"/>
      <c r="IM79" s="151"/>
      <c r="IN79" s="151"/>
      <c r="IO79" s="151"/>
      <c r="IP79" s="151"/>
      <c r="IQ79" s="151"/>
      <c r="IR79" s="151"/>
      <c r="IS79" s="151"/>
      <c r="IT79" s="151"/>
      <c r="IU79" s="151"/>
      <c r="IV79" s="151"/>
    </row>
    <row r="80" spans="1:256" ht="13.8" hidden="1" thickBot="1" x14ac:dyDescent="0.3">
      <c r="A80" s="117"/>
      <c r="B80" s="116"/>
      <c r="C80" s="311" t="str">
        <f>C76</f>
        <v>Av. Dona Verde</v>
      </c>
      <c r="D80" s="116"/>
      <c r="E80" s="385" t="e">
        <f>E76</f>
        <v>#REF!</v>
      </c>
      <c r="F80" s="329"/>
      <c r="G80" s="329"/>
      <c r="H80" s="329"/>
      <c r="I80" s="329">
        <v>0.2</v>
      </c>
      <c r="J80" s="329"/>
      <c r="K80" s="330" t="e">
        <f>ROUND(E80*I80,2)</f>
        <v>#REF!</v>
      </c>
      <c r="L80" s="545"/>
    </row>
    <row r="81" spans="1:256" ht="13.8" hidden="1" thickBot="1" x14ac:dyDescent="0.3">
      <c r="A81" s="407"/>
      <c r="B81" s="408"/>
      <c r="C81" s="409" t="str">
        <f>C77</f>
        <v>Rua Roberto Santos</v>
      </c>
      <c r="D81" s="409"/>
      <c r="E81" s="385">
        <f t="shared" ref="E81" si="7">E77</f>
        <v>0</v>
      </c>
      <c r="F81" s="411"/>
      <c r="G81" s="411"/>
      <c r="H81" s="411"/>
      <c r="I81" s="411">
        <v>0.2</v>
      </c>
      <c r="J81" s="411"/>
      <c r="K81" s="330">
        <f>ROUND(E81*I81,2)</f>
        <v>0</v>
      </c>
      <c r="L81" s="545"/>
    </row>
    <row r="82" spans="1:256" ht="13.8" hidden="1" thickBot="1" x14ac:dyDescent="0.3">
      <c r="A82" s="528"/>
      <c r="B82" s="529"/>
      <c r="C82" s="530"/>
      <c r="D82" s="119"/>
      <c r="E82" s="119"/>
      <c r="F82" s="331"/>
      <c r="G82" s="331"/>
      <c r="H82" s="332"/>
      <c r="I82" s="333"/>
      <c r="J82" s="333" t="e">
        <f>SUM(K80:L81)</f>
        <v>#REF!</v>
      </c>
      <c r="K82" s="334" t="str">
        <f>D79</f>
        <v>m³</v>
      </c>
      <c r="L82" s="546"/>
    </row>
    <row r="83" spans="1:256" ht="13.8" thickBot="1" x14ac:dyDescent="0.3">
      <c r="A83" s="531" t="s">
        <v>204</v>
      </c>
      <c r="B83" s="532"/>
      <c r="C83" s="532"/>
      <c r="D83" s="532"/>
      <c r="E83" s="532"/>
      <c r="F83" s="532"/>
      <c r="G83" s="532"/>
      <c r="H83" s="532"/>
      <c r="I83" s="532"/>
      <c r="J83" s="532"/>
      <c r="K83" s="532"/>
      <c r="L83" s="533"/>
    </row>
    <row r="84" spans="1:256" customFormat="1" ht="24" customHeight="1" x14ac:dyDescent="0.3">
      <c r="A84" s="123">
        <v>2602</v>
      </c>
      <c r="B84" s="120" t="s">
        <v>315</v>
      </c>
      <c r="C84" s="122" t="s">
        <v>359</v>
      </c>
      <c r="D84" s="312" t="s">
        <v>205</v>
      </c>
      <c r="E84" s="121" t="s">
        <v>118</v>
      </c>
      <c r="F84" s="335" t="s">
        <v>117</v>
      </c>
      <c r="G84" s="335" t="s">
        <v>113</v>
      </c>
      <c r="H84" s="335" t="s">
        <v>292</v>
      </c>
      <c r="I84" s="362" t="s">
        <v>293</v>
      </c>
      <c r="J84" s="362" t="s">
        <v>294</v>
      </c>
      <c r="K84" s="328" t="s">
        <v>10</v>
      </c>
      <c r="L84" s="544"/>
      <c r="M84" s="151"/>
      <c r="N84" s="151"/>
      <c r="O84" s="151"/>
      <c r="P84" s="151"/>
      <c r="Q84" s="151"/>
      <c r="R84" s="151"/>
      <c r="S84" s="151"/>
      <c r="T84" s="151"/>
      <c r="U84" s="361"/>
      <c r="V84" s="151"/>
      <c r="W84" s="151"/>
      <c r="X84" s="151"/>
      <c r="Y84" s="151"/>
      <c r="Z84" s="151"/>
      <c r="AA84" s="151"/>
      <c r="AB84" s="151"/>
      <c r="AC84" s="151"/>
      <c r="AD84" s="151"/>
      <c r="AE84" s="151"/>
      <c r="AF84" s="151"/>
      <c r="AG84" s="151"/>
      <c r="AH84" s="151"/>
      <c r="AI84" s="151"/>
      <c r="AJ84" s="151"/>
      <c r="AK84" s="151"/>
      <c r="AL84" s="151"/>
      <c r="AM84" s="151"/>
      <c r="AN84" s="151"/>
      <c r="AO84" s="151"/>
      <c r="AP84" s="151"/>
      <c r="AQ84" s="151"/>
      <c r="AR84" s="151"/>
      <c r="AS84" s="151"/>
      <c r="AT84" s="151"/>
      <c r="AU84" s="151"/>
      <c r="AV84" s="151"/>
      <c r="AW84" s="151"/>
      <c r="AX84" s="151"/>
      <c r="AY84" s="151"/>
      <c r="AZ84" s="151"/>
      <c r="BA84" s="151"/>
      <c r="BB84" s="151"/>
      <c r="BC84" s="151"/>
      <c r="BD84" s="151"/>
      <c r="BE84" s="151"/>
      <c r="BF84" s="151"/>
      <c r="BG84" s="151"/>
      <c r="BH84" s="151"/>
      <c r="BI84" s="151"/>
      <c r="BJ84" s="151"/>
      <c r="BK84" s="151"/>
      <c r="BL84" s="151"/>
      <c r="BM84" s="151"/>
      <c r="BN84" s="151"/>
      <c r="BO84" s="151"/>
      <c r="BP84" s="151"/>
      <c r="BQ84" s="151"/>
      <c r="BR84" s="151"/>
      <c r="BS84" s="151"/>
      <c r="BT84" s="151"/>
      <c r="BU84" s="151"/>
      <c r="BV84" s="151"/>
      <c r="BW84" s="151"/>
      <c r="BX84" s="151"/>
      <c r="BY84" s="151"/>
      <c r="BZ84" s="151"/>
      <c r="CA84" s="151"/>
      <c r="CB84" s="151"/>
      <c r="CC84" s="151"/>
      <c r="CD84" s="151"/>
      <c r="CE84" s="151"/>
      <c r="CF84" s="151"/>
      <c r="CG84" s="151"/>
      <c r="CH84" s="151"/>
      <c r="CI84" s="151"/>
      <c r="CJ84" s="151"/>
      <c r="CK84" s="151"/>
      <c r="CL84" s="151"/>
      <c r="CM84" s="151"/>
      <c r="CN84" s="151"/>
      <c r="CO84" s="151"/>
      <c r="CP84" s="151"/>
      <c r="CQ84" s="151"/>
      <c r="CR84" s="151"/>
      <c r="CS84" s="151"/>
      <c r="CT84" s="151"/>
      <c r="CU84" s="151"/>
      <c r="CV84" s="151"/>
      <c r="CW84" s="151"/>
      <c r="CX84" s="151"/>
      <c r="CY84" s="151"/>
      <c r="CZ84" s="151"/>
      <c r="DA84" s="151"/>
      <c r="DB84" s="151"/>
      <c r="DC84" s="151"/>
      <c r="DD84" s="151"/>
      <c r="DE84" s="151"/>
      <c r="DF84" s="151"/>
      <c r="DG84" s="151"/>
      <c r="DH84" s="151"/>
      <c r="DI84" s="151"/>
      <c r="DJ84" s="151"/>
      <c r="DK84" s="151"/>
      <c r="DL84" s="151"/>
      <c r="DM84" s="151"/>
      <c r="DN84" s="151"/>
      <c r="DO84" s="151"/>
      <c r="DP84" s="151"/>
      <c r="DQ84" s="151"/>
      <c r="DR84" s="151"/>
      <c r="DS84" s="151"/>
      <c r="DT84" s="151"/>
      <c r="DU84" s="151"/>
      <c r="DV84" s="151"/>
      <c r="DW84" s="151"/>
      <c r="DX84" s="151"/>
      <c r="DY84" s="151"/>
      <c r="DZ84" s="151"/>
      <c r="EA84" s="151"/>
      <c r="EB84" s="151"/>
      <c r="EC84" s="151"/>
      <c r="ED84" s="151"/>
      <c r="EE84" s="151"/>
      <c r="EF84" s="151"/>
      <c r="EG84" s="151"/>
      <c r="EH84" s="151"/>
      <c r="EI84" s="151"/>
      <c r="EJ84" s="151"/>
      <c r="EK84" s="151"/>
      <c r="EL84" s="151"/>
      <c r="EM84" s="151"/>
      <c r="EN84" s="151"/>
      <c r="EO84" s="151"/>
      <c r="EP84" s="151"/>
      <c r="EQ84" s="151"/>
      <c r="ER84" s="151"/>
      <c r="ES84" s="151"/>
      <c r="ET84" s="151"/>
      <c r="EU84" s="151"/>
      <c r="EV84" s="151"/>
      <c r="EW84" s="151"/>
      <c r="EX84" s="151"/>
      <c r="EY84" s="151"/>
      <c r="EZ84" s="151"/>
      <c r="FA84" s="151"/>
      <c r="FB84" s="151"/>
      <c r="FC84" s="151"/>
      <c r="FD84" s="151"/>
      <c r="FE84" s="151"/>
      <c r="FF84" s="151"/>
      <c r="FG84" s="151"/>
      <c r="FH84" s="151"/>
      <c r="FI84" s="151"/>
      <c r="FJ84" s="151"/>
      <c r="FK84" s="151"/>
      <c r="FL84" s="151"/>
      <c r="FM84" s="151"/>
      <c r="FN84" s="151"/>
      <c r="FO84" s="151"/>
      <c r="FP84" s="151"/>
      <c r="FQ84" s="151"/>
      <c r="FR84" s="151"/>
      <c r="FS84" s="151"/>
      <c r="FT84" s="151"/>
      <c r="FU84" s="151"/>
      <c r="FV84" s="151"/>
      <c r="FW84" s="151"/>
      <c r="FX84" s="151"/>
      <c r="FY84" s="151"/>
      <c r="FZ84" s="151"/>
      <c r="GA84" s="151"/>
      <c r="GB84" s="151"/>
      <c r="GC84" s="151"/>
      <c r="GD84" s="151"/>
      <c r="GE84" s="151"/>
      <c r="GF84" s="151"/>
      <c r="GG84" s="151"/>
      <c r="GH84" s="151"/>
      <c r="GI84" s="151"/>
      <c r="GJ84" s="151"/>
      <c r="GK84" s="151"/>
      <c r="GL84" s="151"/>
      <c r="GM84" s="151"/>
      <c r="GN84" s="151"/>
      <c r="GO84" s="151"/>
      <c r="GP84" s="151"/>
      <c r="GQ84" s="151"/>
      <c r="GR84" s="151"/>
      <c r="GS84" s="151"/>
      <c r="GT84" s="151"/>
      <c r="GU84" s="151"/>
      <c r="GV84" s="151"/>
      <c r="GW84" s="151"/>
      <c r="GX84" s="151"/>
      <c r="GY84" s="151"/>
      <c r="GZ84" s="151"/>
      <c r="HA84" s="151"/>
      <c r="HB84" s="151"/>
      <c r="HC84" s="151"/>
      <c r="HD84" s="151"/>
      <c r="HE84" s="151"/>
      <c r="HF84" s="151"/>
      <c r="HG84" s="151"/>
      <c r="HH84" s="151"/>
      <c r="HI84" s="151"/>
      <c r="HJ84" s="151"/>
      <c r="HK84" s="151"/>
      <c r="HL84" s="151"/>
      <c r="HM84" s="151"/>
      <c r="HN84" s="151"/>
      <c r="HO84" s="151"/>
      <c r="HP84" s="151"/>
      <c r="HQ84" s="151"/>
      <c r="HR84" s="151"/>
      <c r="HS84" s="151"/>
      <c r="HT84" s="151"/>
      <c r="HU84" s="151"/>
      <c r="HV84" s="151"/>
      <c r="HW84" s="151"/>
      <c r="HX84" s="151"/>
      <c r="HY84" s="151"/>
      <c r="HZ84" s="151"/>
      <c r="IA84" s="151"/>
      <c r="IB84" s="151"/>
      <c r="IC84" s="151"/>
      <c r="ID84" s="151"/>
      <c r="IE84" s="151"/>
      <c r="IF84" s="151"/>
      <c r="IG84" s="151"/>
      <c r="IH84" s="151"/>
      <c r="II84" s="151"/>
      <c r="IJ84" s="151"/>
      <c r="IK84" s="151"/>
      <c r="IL84" s="151"/>
      <c r="IM84" s="151"/>
      <c r="IN84" s="151"/>
      <c r="IO84" s="151"/>
      <c r="IP84" s="151"/>
      <c r="IQ84" s="151"/>
      <c r="IR84" s="151"/>
      <c r="IS84" s="151"/>
      <c r="IT84" s="151"/>
      <c r="IU84" s="151"/>
      <c r="IV84" s="151"/>
    </row>
    <row r="85" spans="1:256" x14ac:dyDescent="0.25">
      <c r="A85" s="117"/>
      <c r="B85" s="116"/>
      <c r="C85" s="311" t="str">
        <f t="shared" ref="C85" si="8">C34</f>
        <v>TRECHOS DE VIAS</v>
      </c>
      <c r="D85" s="116"/>
      <c r="E85" s="329"/>
      <c r="F85" s="329">
        <f>J47</f>
        <v>92120</v>
      </c>
      <c r="G85" s="329">
        <v>0.1</v>
      </c>
      <c r="H85" s="329"/>
      <c r="I85" s="329"/>
      <c r="J85" s="329"/>
      <c r="K85" s="330">
        <f>ROUND(F85*G85,2)</f>
        <v>9212</v>
      </c>
      <c r="L85" s="545"/>
    </row>
    <row r="86" spans="1:256" ht="13.8" thickBot="1" x14ac:dyDescent="0.3">
      <c r="A86" s="528"/>
      <c r="B86" s="529"/>
      <c r="C86" s="530"/>
      <c r="D86" s="119"/>
      <c r="E86" s="119"/>
      <c r="F86" s="331"/>
      <c r="G86" s="331"/>
      <c r="H86" s="332"/>
      <c r="I86" s="333"/>
      <c r="J86" s="333">
        <f>SUM(K85:K85)</f>
        <v>9212</v>
      </c>
      <c r="K86" s="334" t="str">
        <f>D84</f>
        <v>m²</v>
      </c>
      <c r="L86" s="546"/>
    </row>
    <row r="87" spans="1:256" customFormat="1" ht="39.6" hidden="1" customHeight="1" x14ac:dyDescent="0.3">
      <c r="A87" s="123" t="s">
        <v>426</v>
      </c>
      <c r="B87" s="120" t="s">
        <v>425</v>
      </c>
      <c r="C87" s="122" t="s">
        <v>424</v>
      </c>
      <c r="D87" s="312" t="s">
        <v>205</v>
      </c>
      <c r="E87" s="121" t="s">
        <v>118</v>
      </c>
      <c r="F87" s="335" t="s">
        <v>117</v>
      </c>
      <c r="G87" s="335" t="s">
        <v>115</v>
      </c>
      <c r="H87" s="335" t="s">
        <v>296</v>
      </c>
      <c r="I87" s="362" t="s">
        <v>114</v>
      </c>
      <c r="J87" s="362" t="s">
        <v>113</v>
      </c>
      <c r="K87" s="328" t="s">
        <v>10</v>
      </c>
      <c r="L87" s="544"/>
      <c r="M87" s="151"/>
      <c r="N87" s="151"/>
      <c r="O87" s="151"/>
      <c r="P87" s="151"/>
      <c r="Q87" s="151"/>
      <c r="R87" s="151"/>
      <c r="S87" s="151"/>
      <c r="T87" s="151"/>
      <c r="U87" s="361"/>
      <c r="V87" s="151"/>
      <c r="W87" s="151"/>
      <c r="X87" s="151"/>
      <c r="Y87" s="151"/>
      <c r="Z87" s="151"/>
      <c r="AA87" s="151"/>
      <c r="AB87" s="151"/>
      <c r="AC87" s="151"/>
      <c r="AD87" s="151"/>
      <c r="AE87" s="151"/>
      <c r="AF87" s="151"/>
      <c r="AG87" s="151"/>
      <c r="AH87" s="151"/>
      <c r="AI87" s="151"/>
      <c r="AJ87" s="151"/>
      <c r="AK87" s="151"/>
      <c r="AL87" s="151"/>
      <c r="AM87" s="151"/>
      <c r="AN87" s="151"/>
      <c r="AO87" s="151"/>
      <c r="AP87" s="151"/>
      <c r="AQ87" s="151"/>
      <c r="AR87" s="151"/>
      <c r="AS87" s="151"/>
      <c r="AT87" s="151"/>
      <c r="AU87" s="151"/>
      <c r="AV87" s="151"/>
      <c r="AW87" s="151"/>
      <c r="AX87" s="151"/>
      <c r="AY87" s="151"/>
      <c r="AZ87" s="151"/>
      <c r="BA87" s="151"/>
      <c r="BB87" s="151"/>
      <c r="BC87" s="151"/>
      <c r="BD87" s="151"/>
      <c r="BE87" s="151"/>
      <c r="BF87" s="151"/>
      <c r="BG87" s="151"/>
      <c r="BH87" s="151"/>
      <c r="BI87" s="151"/>
      <c r="BJ87" s="151"/>
      <c r="BK87" s="151"/>
      <c r="BL87" s="151"/>
      <c r="BM87" s="151"/>
      <c r="BN87" s="151"/>
      <c r="BO87" s="151"/>
      <c r="BP87" s="151"/>
      <c r="BQ87" s="151"/>
      <c r="BR87" s="151"/>
      <c r="BS87" s="151"/>
      <c r="BT87" s="151"/>
      <c r="BU87" s="151"/>
      <c r="BV87" s="151"/>
      <c r="BW87" s="151"/>
      <c r="BX87" s="151"/>
      <c r="BY87" s="151"/>
      <c r="BZ87" s="151"/>
      <c r="CA87" s="151"/>
      <c r="CB87" s="151"/>
      <c r="CC87" s="151"/>
      <c r="CD87" s="151"/>
      <c r="CE87" s="151"/>
      <c r="CF87" s="151"/>
      <c r="CG87" s="151"/>
      <c r="CH87" s="151"/>
      <c r="CI87" s="151"/>
      <c r="CJ87" s="151"/>
      <c r="CK87" s="151"/>
      <c r="CL87" s="151"/>
      <c r="CM87" s="151"/>
      <c r="CN87" s="151"/>
      <c r="CO87" s="151"/>
      <c r="CP87" s="151"/>
      <c r="CQ87" s="151"/>
      <c r="CR87" s="151"/>
      <c r="CS87" s="151"/>
      <c r="CT87" s="151"/>
      <c r="CU87" s="151"/>
      <c r="CV87" s="151"/>
      <c r="CW87" s="151"/>
      <c r="CX87" s="151"/>
      <c r="CY87" s="151"/>
      <c r="CZ87" s="151"/>
      <c r="DA87" s="151"/>
      <c r="DB87" s="151"/>
      <c r="DC87" s="151"/>
      <c r="DD87" s="151"/>
      <c r="DE87" s="151"/>
      <c r="DF87" s="151"/>
      <c r="DG87" s="151"/>
      <c r="DH87" s="151"/>
      <c r="DI87" s="151"/>
      <c r="DJ87" s="151"/>
      <c r="DK87" s="151"/>
      <c r="DL87" s="151"/>
      <c r="DM87" s="151"/>
      <c r="DN87" s="151"/>
      <c r="DO87" s="151"/>
      <c r="DP87" s="151"/>
      <c r="DQ87" s="151"/>
      <c r="DR87" s="151"/>
      <c r="DS87" s="151"/>
      <c r="DT87" s="151"/>
      <c r="DU87" s="151"/>
      <c r="DV87" s="151"/>
      <c r="DW87" s="151"/>
      <c r="DX87" s="151"/>
      <c r="DY87" s="151"/>
      <c r="DZ87" s="151"/>
      <c r="EA87" s="151"/>
      <c r="EB87" s="151"/>
      <c r="EC87" s="151"/>
      <c r="ED87" s="151"/>
      <c r="EE87" s="151"/>
      <c r="EF87" s="151"/>
      <c r="EG87" s="151"/>
      <c r="EH87" s="151"/>
      <c r="EI87" s="151"/>
      <c r="EJ87" s="151"/>
      <c r="EK87" s="151"/>
      <c r="EL87" s="151"/>
      <c r="EM87" s="151"/>
      <c r="EN87" s="151"/>
      <c r="EO87" s="151"/>
      <c r="EP87" s="151"/>
      <c r="EQ87" s="151"/>
      <c r="ER87" s="151"/>
      <c r="ES87" s="151"/>
      <c r="ET87" s="151"/>
      <c r="EU87" s="151"/>
      <c r="EV87" s="151"/>
      <c r="EW87" s="151"/>
      <c r="EX87" s="151"/>
      <c r="EY87" s="151"/>
      <c r="EZ87" s="151"/>
      <c r="FA87" s="151"/>
      <c r="FB87" s="151"/>
      <c r="FC87" s="151"/>
      <c r="FD87" s="151"/>
      <c r="FE87" s="151"/>
      <c r="FF87" s="151"/>
      <c r="FG87" s="151"/>
      <c r="FH87" s="151"/>
      <c r="FI87" s="151"/>
      <c r="FJ87" s="151"/>
      <c r="FK87" s="151"/>
      <c r="FL87" s="151"/>
      <c r="FM87" s="151"/>
      <c r="FN87" s="151"/>
      <c r="FO87" s="151"/>
      <c r="FP87" s="151"/>
      <c r="FQ87" s="151"/>
      <c r="FR87" s="151"/>
      <c r="FS87" s="151"/>
      <c r="FT87" s="151"/>
      <c r="FU87" s="151"/>
      <c r="FV87" s="151"/>
      <c r="FW87" s="151"/>
      <c r="FX87" s="151"/>
      <c r="FY87" s="151"/>
      <c r="FZ87" s="151"/>
      <c r="GA87" s="151"/>
      <c r="GB87" s="151"/>
      <c r="GC87" s="151"/>
      <c r="GD87" s="151"/>
      <c r="GE87" s="151"/>
      <c r="GF87" s="151"/>
      <c r="GG87" s="151"/>
      <c r="GH87" s="151"/>
      <c r="GI87" s="151"/>
      <c r="GJ87" s="151"/>
      <c r="GK87" s="151"/>
      <c r="GL87" s="151"/>
      <c r="GM87" s="151"/>
      <c r="GN87" s="151"/>
      <c r="GO87" s="151"/>
      <c r="GP87" s="151"/>
      <c r="GQ87" s="151"/>
      <c r="GR87" s="151"/>
      <c r="GS87" s="151"/>
      <c r="GT87" s="151"/>
      <c r="GU87" s="151"/>
      <c r="GV87" s="151"/>
      <c r="GW87" s="151"/>
      <c r="GX87" s="151"/>
      <c r="GY87" s="151"/>
      <c r="GZ87" s="151"/>
      <c r="HA87" s="151"/>
      <c r="HB87" s="151"/>
      <c r="HC87" s="151"/>
      <c r="HD87" s="151"/>
      <c r="HE87" s="151"/>
      <c r="HF87" s="151"/>
      <c r="HG87" s="151"/>
      <c r="HH87" s="151"/>
      <c r="HI87" s="151"/>
      <c r="HJ87" s="151"/>
      <c r="HK87" s="151"/>
      <c r="HL87" s="151"/>
      <c r="HM87" s="151"/>
      <c r="HN87" s="151"/>
      <c r="HO87" s="151"/>
      <c r="HP87" s="151"/>
      <c r="HQ87" s="151"/>
      <c r="HR87" s="151"/>
      <c r="HS87" s="151"/>
      <c r="HT87" s="151"/>
      <c r="HU87" s="151"/>
      <c r="HV87" s="151"/>
      <c r="HW87" s="151"/>
      <c r="HX87" s="151"/>
      <c r="HY87" s="151"/>
      <c r="HZ87" s="151"/>
      <c r="IA87" s="151"/>
      <c r="IB87" s="151"/>
      <c r="IC87" s="151"/>
      <c r="ID87" s="151"/>
      <c r="IE87" s="151"/>
      <c r="IF87" s="151"/>
      <c r="IG87" s="151"/>
      <c r="IH87" s="151"/>
      <c r="II87" s="151"/>
      <c r="IJ87" s="151"/>
      <c r="IK87" s="151"/>
      <c r="IL87" s="151"/>
      <c r="IM87" s="151"/>
      <c r="IN87" s="151"/>
      <c r="IO87" s="151"/>
      <c r="IP87" s="151"/>
      <c r="IQ87" s="151"/>
      <c r="IR87" s="151"/>
      <c r="IS87" s="151"/>
      <c r="IT87" s="151"/>
      <c r="IU87" s="151"/>
      <c r="IV87" s="151"/>
    </row>
    <row r="88" spans="1:256" hidden="1" x14ac:dyDescent="0.25">
      <c r="A88" s="117"/>
      <c r="B88" s="116"/>
      <c r="C88" s="311"/>
      <c r="D88" s="116"/>
      <c r="E88" s="116"/>
      <c r="F88" s="329">
        <f>J47</f>
        <v>92120</v>
      </c>
      <c r="G88" s="329"/>
      <c r="H88" s="329"/>
      <c r="I88" s="329"/>
      <c r="J88" s="329"/>
      <c r="K88" s="330">
        <f>F88</f>
        <v>92120</v>
      </c>
      <c r="L88" s="545"/>
    </row>
    <row r="89" spans="1:256" hidden="1" x14ac:dyDescent="0.25">
      <c r="A89" s="117"/>
      <c r="B89" s="116"/>
      <c r="C89" s="409"/>
      <c r="D89" s="410"/>
      <c r="E89" s="410"/>
      <c r="F89" s="329"/>
      <c r="G89" s="411"/>
      <c r="H89" s="411"/>
      <c r="I89" s="411"/>
      <c r="J89" s="411"/>
      <c r="K89" s="330">
        <f>F89</f>
        <v>0</v>
      </c>
      <c r="L89" s="545"/>
    </row>
    <row r="90" spans="1:256" ht="13.8" hidden="1" thickBot="1" x14ac:dyDescent="0.3">
      <c r="A90" s="528"/>
      <c r="B90" s="529"/>
      <c r="C90" s="530"/>
      <c r="D90" s="119"/>
      <c r="E90" s="119"/>
      <c r="F90" s="329"/>
      <c r="G90" s="331"/>
      <c r="H90" s="332"/>
      <c r="I90" s="333"/>
      <c r="J90" s="333">
        <v>0</v>
      </c>
      <c r="K90" s="334" t="str">
        <f>D87</f>
        <v>m²</v>
      </c>
      <c r="L90" s="546"/>
    </row>
    <row r="91" spans="1:256" customFormat="1" ht="31.2" customHeight="1" x14ac:dyDescent="0.3">
      <c r="A91" s="123" t="s">
        <v>428</v>
      </c>
      <c r="B91" s="120" t="s">
        <v>425</v>
      </c>
      <c r="C91" s="122" t="s">
        <v>427</v>
      </c>
      <c r="D91" s="312" t="s">
        <v>205</v>
      </c>
      <c r="E91" s="121" t="s">
        <v>118</v>
      </c>
      <c r="F91" s="326" t="s">
        <v>117</v>
      </c>
      <c r="G91" s="326" t="s">
        <v>116</v>
      </c>
      <c r="H91" s="326" t="s">
        <v>288</v>
      </c>
      <c r="I91" s="326" t="s">
        <v>114</v>
      </c>
      <c r="J91" s="326" t="s">
        <v>290</v>
      </c>
      <c r="K91" s="328" t="s">
        <v>10</v>
      </c>
      <c r="L91" s="544" t="s">
        <v>291</v>
      </c>
      <c r="M91" s="151"/>
      <c r="N91" s="151"/>
      <c r="O91" s="151"/>
      <c r="P91" s="151"/>
      <c r="Q91" s="151"/>
      <c r="R91" s="151"/>
      <c r="S91" s="151"/>
      <c r="T91" s="151"/>
      <c r="U91" s="361"/>
      <c r="V91" s="151"/>
      <c r="W91" s="151"/>
      <c r="X91" s="151"/>
      <c r="Y91" s="151"/>
      <c r="Z91" s="151"/>
      <c r="AA91" s="151"/>
      <c r="AB91" s="151"/>
      <c r="AC91" s="151"/>
      <c r="AD91" s="151"/>
      <c r="AE91" s="151"/>
      <c r="AF91" s="151"/>
      <c r="AG91" s="151"/>
      <c r="AH91" s="151"/>
      <c r="AI91" s="151"/>
      <c r="AJ91" s="151"/>
      <c r="AK91" s="151"/>
      <c r="AL91" s="151"/>
      <c r="AM91" s="151"/>
      <c r="AN91" s="151"/>
      <c r="AO91" s="151"/>
      <c r="AP91" s="151"/>
      <c r="AQ91" s="151"/>
      <c r="AR91" s="151"/>
      <c r="AS91" s="151"/>
      <c r="AT91" s="151"/>
      <c r="AU91" s="151"/>
      <c r="AV91" s="151"/>
      <c r="AW91" s="151"/>
      <c r="AX91" s="151"/>
      <c r="AY91" s="151"/>
      <c r="AZ91" s="151"/>
      <c r="BA91" s="151"/>
      <c r="BB91" s="151"/>
      <c r="BC91" s="151"/>
      <c r="BD91" s="151"/>
      <c r="BE91" s="151"/>
      <c r="BF91" s="151"/>
      <c r="BG91" s="151"/>
      <c r="BH91" s="151"/>
      <c r="BI91" s="151"/>
      <c r="BJ91" s="151"/>
      <c r="BK91" s="151"/>
      <c r="BL91" s="151"/>
      <c r="BM91" s="151"/>
      <c r="BN91" s="151"/>
      <c r="BO91" s="151"/>
      <c r="BP91" s="151"/>
      <c r="BQ91" s="151"/>
      <c r="BR91" s="151"/>
      <c r="BS91" s="151"/>
      <c r="BT91" s="151"/>
      <c r="BU91" s="151"/>
      <c r="BV91" s="151"/>
      <c r="BW91" s="151"/>
      <c r="BX91" s="151"/>
      <c r="BY91" s="151"/>
      <c r="BZ91" s="151"/>
      <c r="CA91" s="151"/>
      <c r="CB91" s="151"/>
      <c r="CC91" s="151"/>
      <c r="CD91" s="151"/>
      <c r="CE91" s="151"/>
      <c r="CF91" s="151"/>
      <c r="CG91" s="151"/>
      <c r="CH91" s="151"/>
      <c r="CI91" s="151"/>
      <c r="CJ91" s="151"/>
      <c r="CK91" s="151"/>
      <c r="CL91" s="151"/>
      <c r="CM91" s="151"/>
      <c r="CN91" s="151"/>
      <c r="CO91" s="151"/>
      <c r="CP91" s="151"/>
      <c r="CQ91" s="151"/>
      <c r="CR91" s="151"/>
      <c r="CS91" s="151"/>
      <c r="CT91" s="151"/>
      <c r="CU91" s="151"/>
      <c r="CV91" s="151"/>
      <c r="CW91" s="151"/>
      <c r="CX91" s="151"/>
      <c r="CY91" s="151"/>
      <c r="CZ91" s="151"/>
      <c r="DA91" s="151"/>
      <c r="DB91" s="151"/>
      <c r="DC91" s="151"/>
      <c r="DD91" s="151"/>
      <c r="DE91" s="151"/>
      <c r="DF91" s="151"/>
      <c r="DG91" s="151"/>
      <c r="DH91" s="151"/>
      <c r="DI91" s="151"/>
      <c r="DJ91" s="151"/>
      <c r="DK91" s="151"/>
      <c r="DL91" s="151"/>
      <c r="DM91" s="151"/>
      <c r="DN91" s="151"/>
      <c r="DO91" s="151"/>
      <c r="DP91" s="151"/>
      <c r="DQ91" s="151"/>
      <c r="DR91" s="151"/>
      <c r="DS91" s="151"/>
      <c r="DT91" s="151"/>
      <c r="DU91" s="151"/>
      <c r="DV91" s="151"/>
      <c r="DW91" s="151"/>
      <c r="DX91" s="151"/>
      <c r="DY91" s="151"/>
      <c r="DZ91" s="151"/>
      <c r="EA91" s="151"/>
      <c r="EB91" s="151"/>
      <c r="EC91" s="151"/>
      <c r="ED91" s="151"/>
      <c r="EE91" s="151"/>
      <c r="EF91" s="151"/>
      <c r="EG91" s="151"/>
      <c r="EH91" s="151"/>
      <c r="EI91" s="151"/>
      <c r="EJ91" s="151"/>
      <c r="EK91" s="151"/>
      <c r="EL91" s="151"/>
      <c r="EM91" s="151"/>
      <c r="EN91" s="151"/>
      <c r="EO91" s="151"/>
      <c r="EP91" s="151"/>
      <c r="EQ91" s="151"/>
      <c r="ER91" s="151"/>
      <c r="ES91" s="151"/>
      <c r="ET91" s="151"/>
      <c r="EU91" s="151"/>
      <c r="EV91" s="151"/>
      <c r="EW91" s="151"/>
      <c r="EX91" s="151"/>
      <c r="EY91" s="151"/>
      <c r="EZ91" s="151"/>
      <c r="FA91" s="151"/>
      <c r="FB91" s="151"/>
      <c r="FC91" s="151"/>
      <c r="FD91" s="151"/>
      <c r="FE91" s="151"/>
      <c r="FF91" s="151"/>
      <c r="FG91" s="151"/>
      <c r="FH91" s="151"/>
      <c r="FI91" s="151"/>
      <c r="FJ91" s="151"/>
      <c r="FK91" s="151"/>
      <c r="FL91" s="151"/>
      <c r="FM91" s="151"/>
      <c r="FN91" s="151"/>
      <c r="FO91" s="151"/>
      <c r="FP91" s="151"/>
      <c r="FQ91" s="151"/>
      <c r="FR91" s="151"/>
      <c r="FS91" s="151"/>
      <c r="FT91" s="151"/>
      <c r="FU91" s="151"/>
      <c r="FV91" s="151"/>
      <c r="FW91" s="151"/>
      <c r="FX91" s="151"/>
      <c r="FY91" s="151"/>
      <c r="FZ91" s="151"/>
      <c r="GA91" s="151"/>
      <c r="GB91" s="151"/>
      <c r="GC91" s="151"/>
      <c r="GD91" s="151"/>
      <c r="GE91" s="151"/>
      <c r="GF91" s="151"/>
      <c r="GG91" s="151"/>
      <c r="GH91" s="151"/>
      <c r="GI91" s="151"/>
      <c r="GJ91" s="151"/>
      <c r="GK91" s="151"/>
      <c r="GL91" s="151"/>
      <c r="GM91" s="151"/>
      <c r="GN91" s="151"/>
      <c r="GO91" s="151"/>
      <c r="GP91" s="151"/>
      <c r="GQ91" s="151"/>
      <c r="GR91" s="151"/>
      <c r="GS91" s="151"/>
      <c r="GT91" s="151"/>
      <c r="GU91" s="151"/>
      <c r="GV91" s="151"/>
      <c r="GW91" s="151"/>
      <c r="GX91" s="151"/>
      <c r="GY91" s="151"/>
      <c r="GZ91" s="151"/>
      <c r="HA91" s="151"/>
      <c r="HB91" s="151"/>
      <c r="HC91" s="151"/>
      <c r="HD91" s="151"/>
      <c r="HE91" s="151"/>
      <c r="HF91" s="151"/>
      <c r="HG91" s="151"/>
      <c r="HH91" s="151"/>
      <c r="HI91" s="151"/>
      <c r="HJ91" s="151"/>
      <c r="HK91" s="151"/>
      <c r="HL91" s="151"/>
      <c r="HM91" s="151"/>
      <c r="HN91" s="151"/>
      <c r="HO91" s="151"/>
      <c r="HP91" s="151"/>
      <c r="HQ91" s="151"/>
      <c r="HR91" s="151"/>
      <c r="HS91" s="151"/>
      <c r="HT91" s="151"/>
      <c r="HU91" s="151"/>
      <c r="HV91" s="151"/>
      <c r="HW91" s="151"/>
      <c r="HX91" s="151"/>
      <c r="HY91" s="151"/>
      <c r="HZ91" s="151"/>
      <c r="IA91" s="151"/>
      <c r="IB91" s="151"/>
      <c r="IC91" s="151"/>
      <c r="ID91" s="151"/>
      <c r="IE91" s="151"/>
      <c r="IF91" s="151"/>
      <c r="IG91" s="151"/>
      <c r="IH91" s="151"/>
      <c r="II91" s="151"/>
      <c r="IJ91" s="151"/>
      <c r="IK91" s="151"/>
      <c r="IL91" s="151"/>
      <c r="IM91" s="151"/>
      <c r="IN91" s="151"/>
      <c r="IO91" s="151"/>
      <c r="IP91" s="151"/>
      <c r="IQ91" s="151"/>
      <c r="IR91" s="151"/>
      <c r="IS91" s="151"/>
      <c r="IT91" s="151"/>
      <c r="IU91" s="151"/>
      <c r="IV91" s="151"/>
    </row>
    <row r="92" spans="1:256" x14ac:dyDescent="0.25">
      <c r="A92" s="117"/>
      <c r="B92" s="116"/>
      <c r="C92" s="311" t="str">
        <f>C85</f>
        <v>TRECHOS DE VIAS</v>
      </c>
      <c r="D92" s="116"/>
      <c r="E92" s="116"/>
      <c r="F92" s="329">
        <f t="shared" ref="F92:F99" si="9">K34</f>
        <v>92120</v>
      </c>
      <c r="G92" s="336"/>
      <c r="H92" s="336"/>
      <c r="I92" s="336"/>
      <c r="J92" s="329"/>
      <c r="K92" s="330">
        <f>F92</f>
        <v>92120</v>
      </c>
      <c r="L92" s="545"/>
    </row>
    <row r="93" spans="1:256" hidden="1" x14ac:dyDescent="0.25">
      <c r="A93" s="117"/>
      <c r="B93" s="116"/>
      <c r="C93" s="311" t="e">
        <f>#REF!</f>
        <v>#REF!</v>
      </c>
      <c r="D93" s="116"/>
      <c r="E93" s="116"/>
      <c r="F93" s="329" t="e">
        <f t="shared" si="9"/>
        <v>#REF!</v>
      </c>
      <c r="G93" s="336"/>
      <c r="H93" s="336"/>
      <c r="I93" s="336"/>
      <c r="J93" s="329"/>
      <c r="K93" s="330" t="e">
        <f>F93</f>
        <v>#REF!</v>
      </c>
      <c r="L93" s="545"/>
    </row>
    <row r="94" spans="1:256" hidden="1" x14ac:dyDescent="0.25">
      <c r="A94" s="117"/>
      <c r="B94" s="116"/>
      <c r="C94" s="311" t="e">
        <f>#REF!</f>
        <v>#REF!</v>
      </c>
      <c r="D94" s="116"/>
      <c r="E94" s="116"/>
      <c r="F94" s="329" t="e">
        <f t="shared" si="9"/>
        <v>#REF!</v>
      </c>
      <c r="G94" s="336"/>
      <c r="H94" s="336"/>
      <c r="I94" s="336"/>
      <c r="J94" s="329"/>
      <c r="K94" s="330" t="e">
        <f t="shared" ref="K94:K103" si="10">F94</f>
        <v>#REF!</v>
      </c>
      <c r="L94" s="545"/>
    </row>
    <row r="95" spans="1:256" hidden="1" x14ac:dyDescent="0.25">
      <c r="A95" s="117"/>
      <c r="B95" s="116"/>
      <c r="C95" s="311" t="e">
        <f>#REF!</f>
        <v>#REF!</v>
      </c>
      <c r="D95" s="116"/>
      <c r="E95" s="116"/>
      <c r="F95" s="329" t="e">
        <f t="shared" si="9"/>
        <v>#REF!</v>
      </c>
      <c r="G95" s="336"/>
      <c r="H95" s="336"/>
      <c r="I95" s="336"/>
      <c r="J95" s="329"/>
      <c r="K95" s="330" t="e">
        <f t="shared" si="10"/>
        <v>#REF!</v>
      </c>
      <c r="L95" s="545"/>
    </row>
    <row r="96" spans="1:256" hidden="1" x14ac:dyDescent="0.25">
      <c r="A96" s="117"/>
      <c r="B96" s="116"/>
      <c r="C96" s="311" t="e">
        <f>#REF!</f>
        <v>#REF!</v>
      </c>
      <c r="D96" s="116"/>
      <c r="E96" s="116"/>
      <c r="F96" s="329" t="e">
        <f t="shared" si="9"/>
        <v>#REF!</v>
      </c>
      <c r="G96" s="336"/>
      <c r="H96" s="336"/>
      <c r="I96" s="336"/>
      <c r="J96" s="329"/>
      <c r="K96" s="330" t="e">
        <f t="shared" si="10"/>
        <v>#REF!</v>
      </c>
      <c r="L96" s="545"/>
    </row>
    <row r="97" spans="1:256" hidden="1" x14ac:dyDescent="0.25">
      <c r="A97" s="117"/>
      <c r="B97" s="116"/>
      <c r="C97" s="311" t="e">
        <f>#REF!</f>
        <v>#REF!</v>
      </c>
      <c r="D97" s="410"/>
      <c r="E97" s="410"/>
      <c r="F97" s="329" t="e">
        <f t="shared" si="9"/>
        <v>#REF!</v>
      </c>
      <c r="G97" s="414"/>
      <c r="H97" s="414"/>
      <c r="I97" s="414"/>
      <c r="J97" s="411"/>
      <c r="K97" s="330" t="e">
        <f t="shared" si="10"/>
        <v>#REF!</v>
      </c>
      <c r="L97" s="545"/>
    </row>
    <row r="98" spans="1:256" hidden="1" x14ac:dyDescent="0.25">
      <c r="A98" s="117"/>
      <c r="B98" s="116"/>
      <c r="C98" s="311" t="e">
        <f>#REF!</f>
        <v>#REF!</v>
      </c>
      <c r="D98" s="410"/>
      <c r="E98" s="410"/>
      <c r="F98" s="329" t="e">
        <f t="shared" si="9"/>
        <v>#REF!</v>
      </c>
      <c r="G98" s="414"/>
      <c r="H98" s="414"/>
      <c r="I98" s="414"/>
      <c r="J98" s="411"/>
      <c r="K98" s="330" t="e">
        <f t="shared" si="10"/>
        <v>#REF!</v>
      </c>
      <c r="L98" s="545"/>
    </row>
    <row r="99" spans="1:256" hidden="1" x14ac:dyDescent="0.25">
      <c r="A99" s="117"/>
      <c r="B99" s="116"/>
      <c r="C99" s="311" t="e">
        <f>#REF!</f>
        <v>#REF!</v>
      </c>
      <c r="D99" s="410"/>
      <c r="E99" s="410"/>
      <c r="F99" s="329" t="e">
        <f t="shared" si="9"/>
        <v>#REF!</v>
      </c>
      <c r="G99" s="414"/>
      <c r="H99" s="414"/>
      <c r="I99" s="414"/>
      <c r="J99" s="411"/>
      <c r="K99" s="330" t="e">
        <f t="shared" si="10"/>
        <v>#REF!</v>
      </c>
      <c r="L99" s="545"/>
    </row>
    <row r="100" spans="1:256" hidden="1" x14ac:dyDescent="0.25">
      <c r="A100" s="117"/>
      <c r="B100" s="116"/>
      <c r="C100" s="311" t="e">
        <f>#REF!</f>
        <v>#REF!</v>
      </c>
      <c r="D100" s="410"/>
      <c r="E100" s="410"/>
      <c r="F100" s="329" t="e">
        <f>#REF!</f>
        <v>#REF!</v>
      </c>
      <c r="G100" s="414"/>
      <c r="H100" s="414"/>
      <c r="I100" s="414"/>
      <c r="J100" s="411"/>
      <c r="K100" s="330" t="e">
        <f t="shared" si="10"/>
        <v>#REF!</v>
      </c>
      <c r="L100" s="545"/>
    </row>
    <row r="101" spans="1:256" hidden="1" x14ac:dyDescent="0.25">
      <c r="A101" s="117"/>
      <c r="B101" s="116"/>
      <c r="C101" s="311" t="e">
        <f>#REF!</f>
        <v>#REF!</v>
      </c>
      <c r="D101" s="410"/>
      <c r="E101" s="410"/>
      <c r="F101" s="329">
        <f>F89</f>
        <v>0</v>
      </c>
      <c r="G101" s="414"/>
      <c r="H101" s="414"/>
      <c r="I101" s="414"/>
      <c r="J101" s="411"/>
      <c r="K101" s="330">
        <f t="shared" si="10"/>
        <v>0</v>
      </c>
      <c r="L101" s="545"/>
    </row>
    <row r="102" spans="1:256" hidden="1" x14ac:dyDescent="0.25">
      <c r="A102" s="117"/>
      <c r="B102" s="116"/>
      <c r="C102" s="311" t="e">
        <f>#REF!</f>
        <v>#REF!</v>
      </c>
      <c r="D102" s="410"/>
      <c r="E102" s="410"/>
      <c r="F102" s="329" t="e">
        <f>#REF!</f>
        <v>#REF!</v>
      </c>
      <c r="G102" s="414"/>
      <c r="H102" s="414"/>
      <c r="I102" s="414"/>
      <c r="J102" s="411"/>
      <c r="K102" s="330" t="e">
        <f t="shared" si="10"/>
        <v>#REF!</v>
      </c>
      <c r="L102" s="545"/>
    </row>
    <row r="103" spans="1:256" hidden="1" x14ac:dyDescent="0.25">
      <c r="A103" s="117"/>
      <c r="B103" s="116"/>
      <c r="C103" s="311" t="e">
        <f>#REF!</f>
        <v>#REF!</v>
      </c>
      <c r="D103" s="410"/>
      <c r="E103" s="410"/>
      <c r="F103" s="329">
        <f>F88</f>
        <v>92120</v>
      </c>
      <c r="G103" s="414"/>
      <c r="H103" s="414"/>
      <c r="I103" s="414"/>
      <c r="J103" s="411"/>
      <c r="K103" s="330">
        <f t="shared" si="10"/>
        <v>92120</v>
      </c>
      <c r="L103" s="545"/>
    </row>
    <row r="104" spans="1:256" hidden="1" x14ac:dyDescent="0.25">
      <c r="A104" s="117"/>
      <c r="B104" s="116"/>
      <c r="C104" s="311" t="e">
        <f>#REF!</f>
        <v>#REF!</v>
      </c>
      <c r="D104" s="410"/>
      <c r="E104" s="410"/>
      <c r="F104" s="329" t="e">
        <f>#REF!</f>
        <v>#REF!</v>
      </c>
      <c r="G104" s="414"/>
      <c r="H104" s="414"/>
      <c r="I104" s="414"/>
      <c r="J104" s="411"/>
      <c r="K104" s="330" t="e">
        <f t="shared" ref="K104" si="11">F104</f>
        <v>#REF!</v>
      </c>
      <c r="L104" s="545"/>
    </row>
    <row r="105" spans="1:256" ht="13.8" thickBot="1" x14ac:dyDescent="0.3">
      <c r="A105" s="528"/>
      <c r="B105" s="529"/>
      <c r="C105" s="530"/>
      <c r="D105" s="119"/>
      <c r="E105" s="119"/>
      <c r="F105" s="331"/>
      <c r="G105" s="331"/>
      <c r="H105" s="332"/>
      <c r="I105" s="333"/>
      <c r="J105" s="333">
        <f>K92</f>
        <v>92120</v>
      </c>
      <c r="K105" s="334" t="str">
        <f>D91</f>
        <v>m²</v>
      </c>
      <c r="L105" s="546"/>
      <c r="M105" s="324"/>
    </row>
    <row r="106" spans="1:256" customFormat="1" ht="31.2" customHeight="1" x14ac:dyDescent="0.3">
      <c r="A106" s="123">
        <v>95995</v>
      </c>
      <c r="B106" s="120" t="s">
        <v>107</v>
      </c>
      <c r="C106" s="122" t="s">
        <v>224</v>
      </c>
      <c r="D106" s="312" t="s">
        <v>207</v>
      </c>
      <c r="E106" s="121" t="s">
        <v>118</v>
      </c>
      <c r="F106" s="326" t="s">
        <v>117</v>
      </c>
      <c r="G106" s="326" t="s">
        <v>116</v>
      </c>
      <c r="H106" s="326" t="s">
        <v>288</v>
      </c>
      <c r="I106" s="326" t="s">
        <v>114</v>
      </c>
      <c r="J106" s="326" t="s">
        <v>503</v>
      </c>
      <c r="K106" s="328" t="s">
        <v>10</v>
      </c>
      <c r="L106" s="544" t="s">
        <v>291</v>
      </c>
      <c r="M106" s="151"/>
      <c r="N106" s="151"/>
      <c r="O106" s="151"/>
      <c r="P106" s="151"/>
      <c r="Q106" s="151"/>
      <c r="R106" s="151"/>
      <c r="S106" s="151"/>
      <c r="T106" s="151"/>
      <c r="U106" s="361"/>
      <c r="V106" s="151"/>
      <c r="W106" s="151"/>
      <c r="X106" s="151"/>
      <c r="Y106" s="151"/>
      <c r="Z106" s="151"/>
      <c r="AA106" s="151"/>
      <c r="AB106" s="151"/>
      <c r="AC106" s="151"/>
      <c r="AD106" s="151"/>
      <c r="AE106" s="151"/>
      <c r="AF106" s="151"/>
      <c r="AG106" s="151"/>
      <c r="AH106" s="151"/>
      <c r="AI106" s="151"/>
      <c r="AJ106" s="151"/>
      <c r="AK106" s="151"/>
      <c r="AL106" s="151"/>
      <c r="AM106" s="151"/>
      <c r="AN106" s="151"/>
      <c r="AO106" s="151"/>
      <c r="AP106" s="151"/>
      <c r="AQ106" s="151"/>
      <c r="AR106" s="151"/>
      <c r="AS106" s="151"/>
      <c r="AT106" s="151"/>
      <c r="AU106" s="151"/>
      <c r="AV106" s="151"/>
      <c r="AW106" s="151"/>
      <c r="AX106" s="151"/>
      <c r="AY106" s="151"/>
      <c r="AZ106" s="151"/>
      <c r="BA106" s="151"/>
      <c r="BB106" s="151"/>
      <c r="BC106" s="151"/>
      <c r="BD106" s="151"/>
      <c r="BE106" s="151"/>
      <c r="BF106" s="151"/>
      <c r="BG106" s="151"/>
      <c r="BH106" s="151"/>
      <c r="BI106" s="151"/>
      <c r="BJ106" s="151"/>
      <c r="BK106" s="151"/>
      <c r="BL106" s="151"/>
      <c r="BM106" s="151"/>
      <c r="BN106" s="151"/>
      <c r="BO106" s="151"/>
      <c r="BP106" s="151"/>
      <c r="BQ106" s="151"/>
      <c r="BR106" s="151"/>
      <c r="BS106" s="151"/>
      <c r="BT106" s="151"/>
      <c r="BU106" s="151"/>
      <c r="BV106" s="151"/>
      <c r="BW106" s="151"/>
      <c r="BX106" s="151"/>
      <c r="BY106" s="151"/>
      <c r="BZ106" s="151"/>
      <c r="CA106" s="151"/>
      <c r="CB106" s="151"/>
      <c r="CC106" s="151"/>
      <c r="CD106" s="151"/>
      <c r="CE106" s="151"/>
      <c r="CF106" s="151"/>
      <c r="CG106" s="151"/>
      <c r="CH106" s="151"/>
      <c r="CI106" s="151"/>
      <c r="CJ106" s="151"/>
      <c r="CK106" s="151"/>
      <c r="CL106" s="151"/>
      <c r="CM106" s="151"/>
      <c r="CN106" s="151"/>
      <c r="CO106" s="151"/>
      <c r="CP106" s="151"/>
      <c r="CQ106" s="151"/>
      <c r="CR106" s="151"/>
      <c r="CS106" s="151"/>
      <c r="CT106" s="151"/>
      <c r="CU106" s="151"/>
      <c r="CV106" s="151"/>
      <c r="CW106" s="151"/>
      <c r="CX106" s="151"/>
      <c r="CY106" s="151"/>
      <c r="CZ106" s="151"/>
      <c r="DA106" s="151"/>
      <c r="DB106" s="151"/>
      <c r="DC106" s="151"/>
      <c r="DD106" s="151"/>
      <c r="DE106" s="151"/>
      <c r="DF106" s="151"/>
      <c r="DG106" s="151"/>
      <c r="DH106" s="151"/>
      <c r="DI106" s="151"/>
      <c r="DJ106" s="151"/>
      <c r="DK106" s="151"/>
      <c r="DL106" s="151"/>
      <c r="DM106" s="151"/>
      <c r="DN106" s="151"/>
      <c r="DO106" s="151"/>
      <c r="DP106" s="151"/>
      <c r="DQ106" s="151"/>
      <c r="DR106" s="151"/>
      <c r="DS106" s="151"/>
      <c r="DT106" s="151"/>
      <c r="DU106" s="151"/>
      <c r="DV106" s="151"/>
      <c r="DW106" s="151"/>
      <c r="DX106" s="151"/>
      <c r="DY106" s="151"/>
      <c r="DZ106" s="151"/>
      <c r="EA106" s="151"/>
      <c r="EB106" s="151"/>
      <c r="EC106" s="151"/>
      <c r="ED106" s="151"/>
      <c r="EE106" s="151"/>
      <c r="EF106" s="151"/>
      <c r="EG106" s="151"/>
      <c r="EH106" s="151"/>
      <c r="EI106" s="151"/>
      <c r="EJ106" s="151"/>
      <c r="EK106" s="151"/>
      <c r="EL106" s="151"/>
      <c r="EM106" s="151"/>
      <c r="EN106" s="151"/>
      <c r="EO106" s="151"/>
      <c r="EP106" s="151"/>
      <c r="EQ106" s="151"/>
      <c r="ER106" s="151"/>
      <c r="ES106" s="151"/>
      <c r="ET106" s="151"/>
      <c r="EU106" s="151"/>
      <c r="EV106" s="151"/>
      <c r="EW106" s="151"/>
      <c r="EX106" s="151"/>
      <c r="EY106" s="151"/>
      <c r="EZ106" s="151"/>
      <c r="FA106" s="151"/>
      <c r="FB106" s="151"/>
      <c r="FC106" s="151"/>
      <c r="FD106" s="151"/>
      <c r="FE106" s="151"/>
      <c r="FF106" s="151"/>
      <c r="FG106" s="151"/>
      <c r="FH106" s="151"/>
      <c r="FI106" s="151"/>
      <c r="FJ106" s="151"/>
      <c r="FK106" s="151"/>
      <c r="FL106" s="151"/>
      <c r="FM106" s="151"/>
      <c r="FN106" s="151"/>
      <c r="FO106" s="151"/>
      <c r="FP106" s="151"/>
      <c r="FQ106" s="151"/>
      <c r="FR106" s="151"/>
      <c r="FS106" s="151"/>
      <c r="FT106" s="151"/>
      <c r="FU106" s="151"/>
      <c r="FV106" s="151"/>
      <c r="FW106" s="151"/>
      <c r="FX106" s="151"/>
      <c r="FY106" s="151"/>
      <c r="FZ106" s="151"/>
      <c r="GA106" s="151"/>
      <c r="GB106" s="151"/>
      <c r="GC106" s="151"/>
      <c r="GD106" s="151"/>
      <c r="GE106" s="151"/>
      <c r="GF106" s="151"/>
      <c r="GG106" s="151"/>
      <c r="GH106" s="151"/>
      <c r="GI106" s="151"/>
      <c r="GJ106" s="151"/>
      <c r="GK106" s="151"/>
      <c r="GL106" s="151"/>
      <c r="GM106" s="151"/>
      <c r="GN106" s="151"/>
      <c r="GO106" s="151"/>
      <c r="GP106" s="151"/>
      <c r="GQ106" s="151"/>
      <c r="GR106" s="151"/>
      <c r="GS106" s="151"/>
      <c r="GT106" s="151"/>
      <c r="GU106" s="151"/>
      <c r="GV106" s="151"/>
      <c r="GW106" s="151"/>
      <c r="GX106" s="151"/>
      <c r="GY106" s="151"/>
      <c r="GZ106" s="151"/>
      <c r="HA106" s="151"/>
      <c r="HB106" s="151"/>
      <c r="HC106" s="151"/>
      <c r="HD106" s="151"/>
      <c r="HE106" s="151"/>
      <c r="HF106" s="151"/>
      <c r="HG106" s="151"/>
      <c r="HH106" s="151"/>
      <c r="HI106" s="151"/>
      <c r="HJ106" s="151"/>
      <c r="HK106" s="151"/>
      <c r="HL106" s="151"/>
      <c r="HM106" s="151"/>
      <c r="HN106" s="151"/>
      <c r="HO106" s="151"/>
      <c r="HP106" s="151"/>
      <c r="HQ106" s="151"/>
      <c r="HR106" s="151"/>
      <c r="HS106" s="151"/>
      <c r="HT106" s="151"/>
      <c r="HU106" s="151"/>
      <c r="HV106" s="151"/>
      <c r="HW106" s="151"/>
      <c r="HX106" s="151"/>
      <c r="HY106" s="151"/>
      <c r="HZ106" s="151"/>
      <c r="IA106" s="151"/>
      <c r="IB106" s="151"/>
      <c r="IC106" s="151"/>
      <c r="ID106" s="151"/>
      <c r="IE106" s="151"/>
      <c r="IF106" s="151"/>
      <c r="IG106" s="151"/>
      <c r="IH106" s="151"/>
      <c r="II106" s="151"/>
      <c r="IJ106" s="151"/>
      <c r="IK106" s="151"/>
      <c r="IL106" s="151"/>
      <c r="IM106" s="151"/>
      <c r="IN106" s="151"/>
      <c r="IO106" s="151"/>
      <c r="IP106" s="151"/>
      <c r="IQ106" s="151"/>
      <c r="IR106" s="151"/>
      <c r="IS106" s="151"/>
      <c r="IT106" s="151"/>
      <c r="IU106" s="151"/>
      <c r="IV106" s="151"/>
    </row>
    <row r="107" spans="1:256" x14ac:dyDescent="0.25">
      <c r="A107" s="117"/>
      <c r="B107" s="116"/>
      <c r="C107" s="311" t="str">
        <f t="shared" ref="C107" si="12">C92</f>
        <v>TRECHOS DE VIAS</v>
      </c>
      <c r="D107" s="116"/>
      <c r="E107" s="116"/>
      <c r="F107" s="329">
        <f t="shared" ref="F107" si="13">F92</f>
        <v>92120</v>
      </c>
      <c r="G107" s="336"/>
      <c r="H107" s="451">
        <v>0.02</v>
      </c>
      <c r="I107" s="336"/>
      <c r="J107" s="329">
        <v>0.3</v>
      </c>
      <c r="K107" s="330">
        <f>ROUND(F107*H107*J107,2)</f>
        <v>552.72</v>
      </c>
      <c r="L107" s="545"/>
    </row>
    <row r="108" spans="1:256" x14ac:dyDescent="0.25">
      <c r="A108" s="117"/>
      <c r="B108" s="116"/>
      <c r="C108" s="311" t="str">
        <f>C107</f>
        <v>TRECHOS DE VIAS</v>
      </c>
      <c r="D108" s="410"/>
      <c r="E108" s="410"/>
      <c r="F108" s="329">
        <f>F107</f>
        <v>92120</v>
      </c>
      <c r="G108" s="414"/>
      <c r="H108" s="451">
        <v>0.05</v>
      </c>
      <c r="I108" s="414"/>
      <c r="J108" s="411"/>
      <c r="K108" s="330">
        <f t="shared" ref="K108" si="14">ROUND(F108*H108,2)</f>
        <v>4606</v>
      </c>
      <c r="L108" s="545"/>
    </row>
    <row r="109" spans="1:256" ht="13.8" thickBot="1" x14ac:dyDescent="0.3">
      <c r="A109" s="528"/>
      <c r="B109" s="529"/>
      <c r="C109" s="530"/>
      <c r="D109" s="119"/>
      <c r="E109" s="119"/>
      <c r="F109" s="331"/>
      <c r="G109" s="331"/>
      <c r="H109" s="332"/>
      <c r="I109" s="333"/>
      <c r="J109" s="333">
        <f>SUM(K107:K108)</f>
        <v>5158.72</v>
      </c>
      <c r="K109" s="334" t="str">
        <f>D106</f>
        <v>m³</v>
      </c>
      <c r="L109" s="546"/>
      <c r="M109" s="324">
        <f>J109/2</f>
        <v>2579.36</v>
      </c>
    </row>
    <row r="110" spans="1:256" ht="61.2" customHeight="1" x14ac:dyDescent="0.25">
      <c r="A110" s="123" t="s">
        <v>328</v>
      </c>
      <c r="B110" s="120" t="s">
        <v>107</v>
      </c>
      <c r="C110" s="122" t="s">
        <v>325</v>
      </c>
      <c r="D110" s="312" t="s">
        <v>206</v>
      </c>
      <c r="E110" s="121" t="s">
        <v>295</v>
      </c>
      <c r="F110" s="326" t="s">
        <v>296</v>
      </c>
      <c r="G110" s="326" t="s">
        <v>116</v>
      </c>
      <c r="H110" s="326" t="s">
        <v>297</v>
      </c>
      <c r="I110" s="326" t="s">
        <v>289</v>
      </c>
      <c r="J110" s="326" t="s">
        <v>349</v>
      </c>
      <c r="K110" s="328" t="s">
        <v>10</v>
      </c>
      <c r="L110" s="544" t="s">
        <v>299</v>
      </c>
    </row>
    <row r="111" spans="1:256" x14ac:dyDescent="0.25">
      <c r="A111" s="353"/>
      <c r="B111" s="354"/>
      <c r="C111" s="359" t="str">
        <f>C107</f>
        <v>TRECHOS DE VIAS</v>
      </c>
      <c r="D111" s="354"/>
      <c r="E111" s="355"/>
      <c r="F111" s="356">
        <f>K107+K108</f>
        <v>5158.72</v>
      </c>
      <c r="G111" s="356"/>
      <c r="H111" s="451">
        <v>30</v>
      </c>
      <c r="I111" s="357"/>
      <c r="J111" s="329"/>
      <c r="K111" s="352">
        <f>ROUND(F111*H111,2)</f>
        <v>154761.60000000001</v>
      </c>
      <c r="L111" s="545"/>
    </row>
    <row r="112" spans="1:256" hidden="1" x14ac:dyDescent="0.25">
      <c r="A112" s="353"/>
      <c r="B112" s="354"/>
      <c r="C112" s="359" t="e">
        <f>#REF!</f>
        <v>#REF!</v>
      </c>
      <c r="D112" s="354"/>
      <c r="E112" s="355"/>
      <c r="F112" s="356" t="e">
        <f>#REF!+#REF!</f>
        <v>#REF!</v>
      </c>
      <c r="G112" s="356"/>
      <c r="H112" s="336">
        <v>30</v>
      </c>
      <c r="I112" s="357"/>
      <c r="J112" s="329"/>
      <c r="K112" s="352" t="e">
        <f>ROUND(F112*H112,2)</f>
        <v>#REF!</v>
      </c>
      <c r="L112" s="545"/>
    </row>
    <row r="113" spans="1:12" hidden="1" x14ac:dyDescent="0.25">
      <c r="A113" s="353"/>
      <c r="B113" s="354"/>
      <c r="C113" s="359" t="e">
        <f>#REF!</f>
        <v>#REF!</v>
      </c>
      <c r="D113" s="354"/>
      <c r="E113" s="355"/>
      <c r="F113" s="356" t="e">
        <f>#REF!+#REF!</f>
        <v>#REF!</v>
      </c>
      <c r="G113" s="356"/>
      <c r="H113" s="336">
        <v>30</v>
      </c>
      <c r="I113" s="357"/>
      <c r="J113" s="329"/>
      <c r="K113" s="352" t="e">
        <f t="shared" ref="K113:K123" si="15">ROUND(F113*H113,2)</f>
        <v>#REF!</v>
      </c>
      <c r="L113" s="545"/>
    </row>
    <row r="114" spans="1:12" hidden="1" x14ac:dyDescent="0.25">
      <c r="A114" s="353"/>
      <c r="B114" s="354"/>
      <c r="C114" s="359" t="e">
        <f>#REF!</f>
        <v>#REF!</v>
      </c>
      <c r="D114" s="354"/>
      <c r="E114" s="355"/>
      <c r="F114" s="356" t="e">
        <f>#REF!+#REF!</f>
        <v>#REF!</v>
      </c>
      <c r="G114" s="356"/>
      <c r="H114" s="336">
        <v>30</v>
      </c>
      <c r="I114" s="357"/>
      <c r="J114" s="329"/>
      <c r="K114" s="352" t="e">
        <f t="shared" si="15"/>
        <v>#REF!</v>
      </c>
      <c r="L114" s="545"/>
    </row>
    <row r="115" spans="1:12" hidden="1" x14ac:dyDescent="0.25">
      <c r="A115" s="353"/>
      <c r="B115" s="354"/>
      <c r="C115" s="359" t="e">
        <f>#REF!</f>
        <v>#REF!</v>
      </c>
      <c r="D115" s="354"/>
      <c r="E115" s="355"/>
      <c r="F115" s="356" t="e">
        <f>#REF!+#REF!</f>
        <v>#REF!</v>
      </c>
      <c r="G115" s="356"/>
      <c r="H115" s="336">
        <v>30</v>
      </c>
      <c r="I115" s="357"/>
      <c r="J115" s="329"/>
      <c r="K115" s="352" t="e">
        <f t="shared" si="15"/>
        <v>#REF!</v>
      </c>
      <c r="L115" s="545"/>
    </row>
    <row r="116" spans="1:12" hidden="1" x14ac:dyDescent="0.25">
      <c r="A116" s="353"/>
      <c r="B116" s="354"/>
      <c r="C116" s="359" t="e">
        <f>#REF!</f>
        <v>#REF!</v>
      </c>
      <c r="D116" s="354"/>
      <c r="E116" s="355"/>
      <c r="F116" s="356" t="e">
        <f>#REF!+#REF!</f>
        <v>#REF!</v>
      </c>
      <c r="G116" s="356"/>
      <c r="H116" s="336">
        <f>H115</f>
        <v>30</v>
      </c>
      <c r="I116" s="357"/>
      <c r="J116" s="329"/>
      <c r="K116" s="352" t="e">
        <f t="shared" si="15"/>
        <v>#REF!</v>
      </c>
      <c r="L116" s="545"/>
    </row>
    <row r="117" spans="1:12" hidden="1" x14ac:dyDescent="0.25">
      <c r="A117" s="353"/>
      <c r="B117" s="354"/>
      <c r="C117" s="359" t="e">
        <f>#REF!</f>
        <v>#REF!</v>
      </c>
      <c r="D117" s="354"/>
      <c r="E117" s="355"/>
      <c r="F117" s="356" t="e">
        <f>#REF!+#REF!</f>
        <v>#REF!</v>
      </c>
      <c r="G117" s="356"/>
      <c r="H117" s="336">
        <f t="shared" ref="H117:H118" si="16">H116</f>
        <v>30</v>
      </c>
      <c r="I117" s="357"/>
      <c r="J117" s="329"/>
      <c r="K117" s="352" t="e">
        <f t="shared" si="15"/>
        <v>#REF!</v>
      </c>
      <c r="L117" s="545"/>
    </row>
    <row r="118" spans="1:12" hidden="1" x14ac:dyDescent="0.25">
      <c r="A118" s="353"/>
      <c r="B118" s="354"/>
      <c r="C118" s="359" t="e">
        <f>#REF!</f>
        <v>#REF!</v>
      </c>
      <c r="D118" s="354"/>
      <c r="E118" s="355"/>
      <c r="F118" s="356" t="e">
        <f>#REF!+#REF!</f>
        <v>#REF!</v>
      </c>
      <c r="G118" s="356"/>
      <c r="H118" s="336">
        <f t="shared" si="16"/>
        <v>30</v>
      </c>
      <c r="I118" s="357"/>
      <c r="J118" s="329"/>
      <c r="K118" s="352" t="e">
        <f t="shared" si="15"/>
        <v>#REF!</v>
      </c>
      <c r="L118" s="545"/>
    </row>
    <row r="119" spans="1:12" hidden="1" x14ac:dyDescent="0.25">
      <c r="A119" s="353"/>
      <c r="B119" s="354"/>
      <c r="C119" s="359"/>
      <c r="D119" s="354"/>
      <c r="E119" s="355"/>
      <c r="F119" s="356"/>
      <c r="G119" s="356"/>
      <c r="H119" s="336"/>
      <c r="I119" s="357"/>
      <c r="J119" s="329"/>
      <c r="K119" s="352">
        <f t="shared" si="15"/>
        <v>0</v>
      </c>
      <c r="L119" s="545"/>
    </row>
    <row r="120" spans="1:12" hidden="1" x14ac:dyDescent="0.25">
      <c r="A120" s="353"/>
      <c r="B120" s="354"/>
      <c r="C120" s="359"/>
      <c r="D120" s="354"/>
      <c r="E120" s="355"/>
      <c r="F120" s="356"/>
      <c r="G120" s="356"/>
      <c r="H120" s="336"/>
      <c r="I120" s="357"/>
      <c r="J120" s="329"/>
      <c r="K120" s="352">
        <f t="shared" si="15"/>
        <v>0</v>
      </c>
      <c r="L120" s="545"/>
    </row>
    <row r="121" spans="1:12" hidden="1" x14ac:dyDescent="0.25">
      <c r="A121" s="353"/>
      <c r="B121" s="354"/>
      <c r="C121" s="359"/>
      <c r="D121" s="354"/>
      <c r="E121" s="355"/>
      <c r="F121" s="356"/>
      <c r="G121" s="356"/>
      <c r="H121" s="336"/>
      <c r="I121" s="357"/>
      <c r="J121" s="329"/>
      <c r="K121" s="352">
        <f t="shared" si="15"/>
        <v>0</v>
      </c>
      <c r="L121" s="545"/>
    </row>
    <row r="122" spans="1:12" hidden="1" x14ac:dyDescent="0.25">
      <c r="A122" s="353"/>
      <c r="B122" s="354"/>
      <c r="C122" s="359"/>
      <c r="D122" s="354"/>
      <c r="E122" s="355"/>
      <c r="F122" s="356"/>
      <c r="G122" s="356"/>
      <c r="H122" s="336"/>
      <c r="I122" s="357"/>
      <c r="J122" s="329"/>
      <c r="K122" s="352">
        <f t="shared" si="15"/>
        <v>0</v>
      </c>
      <c r="L122" s="545"/>
    </row>
    <row r="123" spans="1:12" hidden="1" x14ac:dyDescent="0.25">
      <c r="A123" s="353"/>
      <c r="B123" s="354"/>
      <c r="C123" s="359"/>
      <c r="D123" s="354"/>
      <c r="E123" s="355"/>
      <c r="F123" s="356"/>
      <c r="G123" s="356"/>
      <c r="H123" s="336"/>
      <c r="I123" s="357"/>
      <c r="J123" s="329"/>
      <c r="K123" s="352">
        <f t="shared" si="15"/>
        <v>0</v>
      </c>
      <c r="L123" s="545"/>
    </row>
    <row r="124" spans="1:12" ht="13.8" thickBot="1" x14ac:dyDescent="0.3">
      <c r="A124" s="528"/>
      <c r="B124" s="529"/>
      <c r="C124" s="530"/>
      <c r="D124" s="119"/>
      <c r="E124" s="119"/>
      <c r="F124" s="331"/>
      <c r="G124" s="331"/>
      <c r="H124" s="332"/>
      <c r="I124" s="333"/>
      <c r="J124" s="333">
        <f>K111</f>
        <v>154761.60000000001</v>
      </c>
      <c r="K124" s="334" t="str">
        <f>D110</f>
        <v>M3XKM</v>
      </c>
      <c r="L124" s="546"/>
    </row>
    <row r="125" spans="1:12" ht="61.2" customHeight="1" x14ac:dyDescent="0.25">
      <c r="A125" s="123" t="s">
        <v>327</v>
      </c>
      <c r="B125" s="364" t="s">
        <v>107</v>
      </c>
      <c r="C125" s="122" t="s">
        <v>326</v>
      </c>
      <c r="D125" s="312" t="s">
        <v>206</v>
      </c>
      <c r="E125" s="121" t="s">
        <v>295</v>
      </c>
      <c r="F125" s="326" t="s">
        <v>296</v>
      </c>
      <c r="G125" s="326" t="s">
        <v>116</v>
      </c>
      <c r="H125" s="326" t="s">
        <v>297</v>
      </c>
      <c r="I125" s="326" t="s">
        <v>289</v>
      </c>
      <c r="J125" s="326" t="s">
        <v>349</v>
      </c>
      <c r="K125" s="328" t="s">
        <v>10</v>
      </c>
      <c r="L125" s="544" t="s">
        <v>299</v>
      </c>
    </row>
    <row r="126" spans="1:12" x14ac:dyDescent="0.25">
      <c r="A126" s="353"/>
      <c r="B126" s="354"/>
      <c r="C126" s="359" t="str">
        <f>C107</f>
        <v>TRECHOS DE VIAS</v>
      </c>
      <c r="D126" s="354"/>
      <c r="E126" s="355"/>
      <c r="F126" s="356">
        <f>K107+K108</f>
        <v>5158.72</v>
      </c>
      <c r="G126" s="356"/>
      <c r="H126" s="451">
        <v>71</v>
      </c>
      <c r="I126" s="357"/>
      <c r="J126" s="329"/>
      <c r="K126" s="352">
        <f>ROUND(F126*H126,2)</f>
        <v>366269.12</v>
      </c>
      <c r="L126" s="545"/>
    </row>
    <row r="127" spans="1:12" hidden="1" x14ac:dyDescent="0.25">
      <c r="A127" s="353"/>
      <c r="B127" s="354"/>
      <c r="C127" s="359" t="e">
        <f>#REF!</f>
        <v>#REF!</v>
      </c>
      <c r="D127" s="354"/>
      <c r="E127" s="355"/>
      <c r="F127" s="356" t="e">
        <f>#REF!+#REF!</f>
        <v>#REF!</v>
      </c>
      <c r="G127" s="356"/>
      <c r="H127" s="336">
        <f>154-30</f>
        <v>124</v>
      </c>
      <c r="I127" s="357"/>
      <c r="J127" s="329"/>
      <c r="K127" s="352" t="e">
        <f>ROUND(F127*H127,2)</f>
        <v>#REF!</v>
      </c>
      <c r="L127" s="545"/>
    </row>
    <row r="128" spans="1:12" hidden="1" x14ac:dyDescent="0.25">
      <c r="A128" s="353"/>
      <c r="B128" s="354"/>
      <c r="C128" s="359" t="e">
        <f t="shared" ref="C128:C138" si="17">C113</f>
        <v>#REF!</v>
      </c>
      <c r="D128" s="354"/>
      <c r="E128" s="355"/>
      <c r="F128" s="356" t="e">
        <f>#REF!+#REF!</f>
        <v>#REF!</v>
      </c>
      <c r="G128" s="356"/>
      <c r="H128" s="336">
        <f>150-30</f>
        <v>120</v>
      </c>
      <c r="I128" s="357"/>
      <c r="J128" s="329"/>
      <c r="K128" s="352" t="e">
        <f t="shared" ref="K128:K138" si="18">ROUND(F128*H128,2)</f>
        <v>#REF!</v>
      </c>
      <c r="L128" s="545"/>
    </row>
    <row r="129" spans="1:12" hidden="1" x14ac:dyDescent="0.25">
      <c r="A129" s="353"/>
      <c r="B129" s="354"/>
      <c r="C129" s="359" t="e">
        <f t="shared" si="17"/>
        <v>#REF!</v>
      </c>
      <c r="D129" s="354"/>
      <c r="E129" s="355"/>
      <c r="F129" s="356" t="e">
        <f>#REF!+#REF!</f>
        <v>#REF!</v>
      </c>
      <c r="G129" s="356"/>
      <c r="H129" s="336">
        <f>150-30</f>
        <v>120</v>
      </c>
      <c r="I129" s="357"/>
      <c r="J129" s="329"/>
      <c r="K129" s="352" t="e">
        <f t="shared" si="18"/>
        <v>#REF!</v>
      </c>
      <c r="L129" s="545"/>
    </row>
    <row r="130" spans="1:12" hidden="1" x14ac:dyDescent="0.25">
      <c r="A130" s="353"/>
      <c r="B130" s="354"/>
      <c r="C130" s="359" t="e">
        <f t="shared" si="17"/>
        <v>#REF!</v>
      </c>
      <c r="D130" s="354"/>
      <c r="E130" s="355"/>
      <c r="F130" s="356" t="e">
        <f>#REF!+#REF!</f>
        <v>#REF!</v>
      </c>
      <c r="G130" s="356"/>
      <c r="H130" s="336">
        <f t="shared" ref="H130:H133" si="19">155-30</f>
        <v>125</v>
      </c>
      <c r="I130" s="357"/>
      <c r="J130" s="329"/>
      <c r="K130" s="352" t="e">
        <f t="shared" si="18"/>
        <v>#REF!</v>
      </c>
      <c r="L130" s="545"/>
    </row>
    <row r="131" spans="1:12" hidden="1" x14ac:dyDescent="0.25">
      <c r="A131" s="353"/>
      <c r="B131" s="354"/>
      <c r="C131" s="359" t="e">
        <f t="shared" si="17"/>
        <v>#REF!</v>
      </c>
      <c r="D131" s="354"/>
      <c r="E131" s="355"/>
      <c r="F131" s="356" t="e">
        <f>#REF!+#REF!</f>
        <v>#REF!</v>
      </c>
      <c r="G131" s="356"/>
      <c r="H131" s="336">
        <f t="shared" si="19"/>
        <v>125</v>
      </c>
      <c r="I131" s="357"/>
      <c r="J131" s="329"/>
      <c r="K131" s="352" t="e">
        <f t="shared" si="18"/>
        <v>#REF!</v>
      </c>
      <c r="L131" s="545"/>
    </row>
    <row r="132" spans="1:12" hidden="1" x14ac:dyDescent="0.25">
      <c r="A132" s="353"/>
      <c r="B132" s="354"/>
      <c r="C132" s="359" t="e">
        <f t="shared" si="17"/>
        <v>#REF!</v>
      </c>
      <c r="D132" s="354"/>
      <c r="E132" s="355"/>
      <c r="F132" s="356" t="e">
        <f>#REF!+#REF!</f>
        <v>#REF!</v>
      </c>
      <c r="G132" s="356"/>
      <c r="H132" s="336">
        <f t="shared" si="19"/>
        <v>125</v>
      </c>
      <c r="I132" s="357"/>
      <c r="J132" s="329"/>
      <c r="K132" s="352" t="e">
        <f t="shared" si="18"/>
        <v>#REF!</v>
      </c>
      <c r="L132" s="545"/>
    </row>
    <row r="133" spans="1:12" hidden="1" x14ac:dyDescent="0.25">
      <c r="A133" s="353"/>
      <c r="B133" s="354"/>
      <c r="C133" s="359" t="e">
        <f t="shared" si="17"/>
        <v>#REF!</v>
      </c>
      <c r="D133" s="354"/>
      <c r="E133" s="355"/>
      <c r="F133" s="356" t="e">
        <f>#REF!+#REF!</f>
        <v>#REF!</v>
      </c>
      <c r="G133" s="356"/>
      <c r="H133" s="336">
        <f t="shared" si="19"/>
        <v>125</v>
      </c>
      <c r="I133" s="357"/>
      <c r="J133" s="329"/>
      <c r="K133" s="352" t="e">
        <f t="shared" si="18"/>
        <v>#REF!</v>
      </c>
      <c r="L133" s="545"/>
    </row>
    <row r="134" spans="1:12" hidden="1" x14ac:dyDescent="0.25">
      <c r="A134" s="353"/>
      <c r="B134" s="354"/>
      <c r="C134" s="359">
        <f t="shared" si="17"/>
        <v>0</v>
      </c>
      <c r="D134" s="354"/>
      <c r="E134" s="355"/>
      <c r="F134" s="356"/>
      <c r="G134" s="356"/>
      <c r="H134" s="336"/>
      <c r="I134" s="357"/>
      <c r="J134" s="329"/>
      <c r="K134" s="352">
        <f t="shared" si="18"/>
        <v>0</v>
      </c>
      <c r="L134" s="545"/>
    </row>
    <row r="135" spans="1:12" hidden="1" x14ac:dyDescent="0.25">
      <c r="A135" s="353"/>
      <c r="B135" s="354"/>
      <c r="C135" s="359">
        <f t="shared" si="17"/>
        <v>0</v>
      </c>
      <c r="D135" s="354"/>
      <c r="E135" s="355"/>
      <c r="F135" s="356"/>
      <c r="G135" s="356"/>
      <c r="H135" s="336"/>
      <c r="I135" s="357"/>
      <c r="J135" s="329"/>
      <c r="K135" s="352">
        <f t="shared" si="18"/>
        <v>0</v>
      </c>
      <c r="L135" s="545"/>
    </row>
    <row r="136" spans="1:12" hidden="1" x14ac:dyDescent="0.25">
      <c r="A136" s="353"/>
      <c r="B136" s="354"/>
      <c r="C136" s="359">
        <f t="shared" si="17"/>
        <v>0</v>
      </c>
      <c r="D136" s="354"/>
      <c r="E136" s="355"/>
      <c r="F136" s="356"/>
      <c r="G136" s="356"/>
      <c r="H136" s="336"/>
      <c r="I136" s="357"/>
      <c r="J136" s="329"/>
      <c r="K136" s="352">
        <f t="shared" si="18"/>
        <v>0</v>
      </c>
      <c r="L136" s="545"/>
    </row>
    <row r="137" spans="1:12" hidden="1" x14ac:dyDescent="0.25">
      <c r="A137" s="353"/>
      <c r="B137" s="354"/>
      <c r="C137" s="359">
        <f t="shared" si="17"/>
        <v>0</v>
      </c>
      <c r="D137" s="354"/>
      <c r="E137" s="355"/>
      <c r="F137" s="356"/>
      <c r="G137" s="356"/>
      <c r="H137" s="336"/>
      <c r="I137" s="357"/>
      <c r="J137" s="329"/>
      <c r="K137" s="352">
        <f t="shared" si="18"/>
        <v>0</v>
      </c>
      <c r="L137" s="545"/>
    </row>
    <row r="138" spans="1:12" hidden="1" x14ac:dyDescent="0.25">
      <c r="A138" s="353"/>
      <c r="B138" s="354"/>
      <c r="C138" s="359">
        <f t="shared" si="17"/>
        <v>0</v>
      </c>
      <c r="D138" s="354"/>
      <c r="E138" s="355"/>
      <c r="F138" s="356"/>
      <c r="G138" s="356"/>
      <c r="H138" s="336"/>
      <c r="I138" s="357"/>
      <c r="J138" s="329"/>
      <c r="K138" s="352">
        <f t="shared" si="18"/>
        <v>0</v>
      </c>
      <c r="L138" s="545"/>
    </row>
    <row r="139" spans="1:12" ht="13.8" thickBot="1" x14ac:dyDescent="0.3">
      <c r="A139" s="528"/>
      <c r="B139" s="529"/>
      <c r="C139" s="530"/>
      <c r="D139" s="119"/>
      <c r="E139" s="119"/>
      <c r="F139" s="331"/>
      <c r="G139" s="331"/>
      <c r="H139" s="332"/>
      <c r="I139" s="333"/>
      <c r="J139" s="333">
        <f>K126</f>
        <v>366269.12</v>
      </c>
      <c r="K139" s="334" t="str">
        <f>D125</f>
        <v>M3XKM</v>
      </c>
      <c r="L139" s="546"/>
    </row>
    <row r="140" spans="1:12" ht="13.8" thickBot="1" x14ac:dyDescent="0.3">
      <c r="A140" s="531" t="s">
        <v>300</v>
      </c>
      <c r="B140" s="532"/>
      <c r="C140" s="532"/>
      <c r="D140" s="532"/>
      <c r="E140" s="532"/>
      <c r="F140" s="532"/>
      <c r="G140" s="532"/>
      <c r="H140" s="532"/>
      <c r="I140" s="532"/>
      <c r="J140" s="532"/>
      <c r="K140" s="532"/>
      <c r="L140" s="533"/>
    </row>
    <row r="141" spans="1:12" customFormat="1" ht="39" customHeight="1" x14ac:dyDescent="0.3">
      <c r="A141" s="123" t="s">
        <v>411</v>
      </c>
      <c r="B141" s="120" t="s">
        <v>210</v>
      </c>
      <c r="C141" s="122" t="s">
        <v>219</v>
      </c>
      <c r="D141" s="312" t="s">
        <v>301</v>
      </c>
      <c r="E141" s="121" t="s">
        <v>118</v>
      </c>
      <c r="F141" s="326" t="s">
        <v>117</v>
      </c>
      <c r="G141" s="326" t="s">
        <v>116</v>
      </c>
      <c r="H141" s="327" t="s">
        <v>115</v>
      </c>
      <c r="I141" s="326" t="s">
        <v>114</v>
      </c>
      <c r="J141" s="326" t="s">
        <v>113</v>
      </c>
      <c r="K141" s="328" t="s">
        <v>10</v>
      </c>
      <c r="L141" s="544" t="s">
        <v>302</v>
      </c>
    </row>
    <row r="142" spans="1:12" x14ac:dyDescent="0.25">
      <c r="A142" s="117"/>
      <c r="B142" s="116"/>
      <c r="C142" s="311" t="str">
        <f t="shared" ref="C142" si="20">C126</f>
        <v>TRECHOS DE VIAS</v>
      </c>
      <c r="D142" s="116">
        <v>50</v>
      </c>
      <c r="E142" s="116"/>
      <c r="F142" s="329"/>
      <c r="G142" s="329"/>
      <c r="H142" s="329"/>
      <c r="I142" s="329"/>
      <c r="J142" s="329"/>
      <c r="K142" s="330">
        <f>D142</f>
        <v>50</v>
      </c>
      <c r="L142" s="545"/>
    </row>
    <row r="143" spans="1:12" ht="13.8" thickBot="1" x14ac:dyDescent="0.3">
      <c r="A143" s="528"/>
      <c r="B143" s="529"/>
      <c r="C143" s="530"/>
      <c r="D143" s="119"/>
      <c r="E143" s="119"/>
      <c r="F143" s="331"/>
      <c r="G143" s="331"/>
      <c r="H143" s="332"/>
      <c r="I143" s="333"/>
      <c r="J143" s="333">
        <f>SUM(K142:K142)</f>
        <v>50</v>
      </c>
      <c r="K143" s="334" t="str">
        <f>D141</f>
        <v>Un</v>
      </c>
      <c r="L143" s="546"/>
    </row>
    <row r="144" spans="1:12" customFormat="1" ht="23.4" customHeight="1" x14ac:dyDescent="0.3">
      <c r="A144" s="123" t="s">
        <v>412</v>
      </c>
      <c r="B144" s="120" t="s">
        <v>210</v>
      </c>
      <c r="C144" s="122" t="s">
        <v>413</v>
      </c>
      <c r="D144" s="312" t="s">
        <v>301</v>
      </c>
      <c r="E144" s="121" t="s">
        <v>118</v>
      </c>
      <c r="F144" s="326" t="s">
        <v>117</v>
      </c>
      <c r="G144" s="326" t="s">
        <v>116</v>
      </c>
      <c r="H144" s="327" t="s">
        <v>115</v>
      </c>
      <c r="I144" s="326" t="s">
        <v>114</v>
      </c>
      <c r="J144" s="326" t="s">
        <v>113</v>
      </c>
      <c r="K144" s="328" t="s">
        <v>10</v>
      </c>
      <c r="L144" s="544" t="s">
        <v>302</v>
      </c>
    </row>
    <row r="145" spans="1:256" x14ac:dyDescent="0.25">
      <c r="A145" s="117"/>
      <c r="B145" s="116"/>
      <c r="C145" s="311" t="str">
        <f>C142</f>
        <v>TRECHOS DE VIAS</v>
      </c>
      <c r="D145" s="116">
        <v>25</v>
      </c>
      <c r="E145" s="116"/>
      <c r="F145" s="329"/>
      <c r="G145" s="329"/>
      <c r="H145" s="329"/>
      <c r="I145" s="329"/>
      <c r="J145" s="329"/>
      <c r="K145" s="330">
        <f>D145</f>
        <v>25</v>
      </c>
      <c r="L145" s="545"/>
    </row>
    <row r="146" spans="1:256" ht="13.8" thickBot="1" x14ac:dyDescent="0.3">
      <c r="A146" s="528"/>
      <c r="B146" s="529"/>
      <c r="C146" s="530"/>
      <c r="D146" s="119"/>
      <c r="E146" s="119"/>
      <c r="F146" s="331"/>
      <c r="G146" s="331"/>
      <c r="H146" s="332"/>
      <c r="I146" s="333"/>
      <c r="J146" s="333">
        <f>SUM(K145:K145)</f>
        <v>25</v>
      </c>
      <c r="K146" s="334" t="str">
        <f>D144</f>
        <v>Un</v>
      </c>
      <c r="L146" s="546"/>
    </row>
    <row r="147" spans="1:256" customFormat="1" ht="22.95" customHeight="1" x14ac:dyDescent="0.3">
      <c r="A147" s="123">
        <v>102501</v>
      </c>
      <c r="B147" s="120" t="s">
        <v>107</v>
      </c>
      <c r="C147" s="122" t="s">
        <v>303</v>
      </c>
      <c r="D147" s="363" t="s">
        <v>304</v>
      </c>
      <c r="E147" s="121" t="s">
        <v>118</v>
      </c>
      <c r="F147" s="326" t="s">
        <v>116</v>
      </c>
      <c r="G147" s="362" t="s">
        <v>115</v>
      </c>
      <c r="H147" s="326" t="s">
        <v>295</v>
      </c>
      <c r="I147" s="335" t="s">
        <v>309</v>
      </c>
      <c r="J147" s="326" t="s">
        <v>305</v>
      </c>
      <c r="K147" s="328" t="s">
        <v>10</v>
      </c>
      <c r="L147" s="544" t="s">
        <v>306</v>
      </c>
      <c r="M147" s="118"/>
      <c r="N147" s="118"/>
      <c r="O147" s="118"/>
      <c r="P147" s="151"/>
      <c r="Q147" s="151"/>
      <c r="R147" s="151"/>
      <c r="S147" s="151"/>
      <c r="T147" s="151"/>
      <c r="U147" s="361"/>
      <c r="V147" s="151"/>
      <c r="W147" s="151"/>
      <c r="X147" s="151"/>
      <c r="Y147" s="151"/>
      <c r="Z147" s="151"/>
      <c r="AA147" s="151"/>
      <c r="AB147" s="151"/>
      <c r="AC147" s="151"/>
      <c r="AD147" s="151"/>
      <c r="AE147" s="151"/>
      <c r="AF147" s="151"/>
      <c r="AG147" s="151"/>
      <c r="AH147" s="151"/>
      <c r="AI147" s="151"/>
      <c r="AJ147" s="151"/>
      <c r="AK147" s="151"/>
      <c r="AL147" s="151"/>
      <c r="AM147" s="151"/>
      <c r="AN147" s="151"/>
      <c r="AO147" s="151"/>
      <c r="AP147" s="151"/>
      <c r="AQ147" s="151"/>
      <c r="AR147" s="151"/>
      <c r="AS147" s="151"/>
      <c r="AT147" s="151"/>
      <c r="AU147" s="151"/>
      <c r="AV147" s="151"/>
      <c r="AW147" s="151"/>
      <c r="AX147" s="151"/>
      <c r="AY147" s="151"/>
      <c r="AZ147" s="151"/>
      <c r="BA147" s="151"/>
      <c r="BB147" s="151"/>
      <c r="BC147" s="151"/>
      <c r="BD147" s="151"/>
      <c r="BE147" s="151"/>
      <c r="BF147" s="151"/>
      <c r="BG147" s="151"/>
      <c r="BH147" s="151"/>
      <c r="BI147" s="151"/>
      <c r="BJ147" s="151"/>
      <c r="BK147" s="151"/>
      <c r="BL147" s="151"/>
      <c r="BM147" s="151"/>
      <c r="BN147" s="151"/>
      <c r="BO147" s="151"/>
      <c r="BP147" s="151"/>
      <c r="BQ147" s="151"/>
      <c r="BR147" s="151"/>
      <c r="BS147" s="151"/>
      <c r="BT147" s="151"/>
      <c r="BU147" s="151"/>
      <c r="BV147" s="151"/>
      <c r="BW147" s="151"/>
      <c r="BX147" s="151"/>
      <c r="BY147" s="151"/>
      <c r="BZ147" s="151"/>
      <c r="CA147" s="151"/>
      <c r="CB147" s="151"/>
      <c r="CC147" s="151"/>
      <c r="CD147" s="151"/>
      <c r="CE147" s="151"/>
      <c r="CF147" s="151"/>
      <c r="CG147" s="151"/>
      <c r="CH147" s="151"/>
      <c r="CI147" s="151"/>
      <c r="CJ147" s="151"/>
      <c r="CK147" s="151"/>
      <c r="CL147" s="151"/>
      <c r="CM147" s="151"/>
      <c r="CN147" s="151"/>
      <c r="CO147" s="151"/>
      <c r="CP147" s="151"/>
      <c r="CQ147" s="151"/>
      <c r="CR147" s="151"/>
      <c r="CS147" s="151"/>
      <c r="CT147" s="151"/>
      <c r="CU147" s="151"/>
      <c r="CV147" s="151"/>
      <c r="CW147" s="151"/>
      <c r="CX147" s="151"/>
      <c r="CY147" s="151"/>
      <c r="CZ147" s="151"/>
      <c r="DA147" s="151"/>
      <c r="DB147" s="151"/>
      <c r="DC147" s="151"/>
      <c r="DD147" s="151"/>
      <c r="DE147" s="151"/>
      <c r="DF147" s="151"/>
      <c r="DG147" s="151"/>
      <c r="DH147" s="151"/>
      <c r="DI147" s="151"/>
      <c r="DJ147" s="151"/>
      <c r="DK147" s="151"/>
      <c r="DL147" s="151"/>
      <c r="DM147" s="151"/>
      <c r="DN147" s="151"/>
      <c r="DO147" s="151"/>
      <c r="DP147" s="151"/>
      <c r="DQ147" s="151"/>
      <c r="DR147" s="151"/>
      <c r="DS147" s="151"/>
      <c r="DT147" s="151"/>
      <c r="DU147" s="151"/>
      <c r="DV147" s="151"/>
      <c r="DW147" s="151"/>
      <c r="DX147" s="151"/>
      <c r="DY147" s="151"/>
      <c r="DZ147" s="151"/>
      <c r="EA147" s="151"/>
      <c r="EB147" s="151"/>
      <c r="EC147" s="151"/>
      <c r="ED147" s="151"/>
      <c r="EE147" s="151"/>
      <c r="EF147" s="151"/>
      <c r="EG147" s="151"/>
      <c r="EH147" s="151"/>
      <c r="EI147" s="151"/>
      <c r="EJ147" s="151"/>
      <c r="EK147" s="151"/>
      <c r="EL147" s="151"/>
      <c r="EM147" s="151"/>
      <c r="EN147" s="151"/>
      <c r="EO147" s="151"/>
      <c r="EP147" s="151"/>
      <c r="EQ147" s="151"/>
      <c r="ER147" s="151"/>
      <c r="ES147" s="151"/>
      <c r="ET147" s="151"/>
      <c r="EU147" s="151"/>
      <c r="EV147" s="151"/>
      <c r="EW147" s="151"/>
      <c r="EX147" s="151"/>
      <c r="EY147" s="151"/>
      <c r="EZ147" s="151"/>
      <c r="FA147" s="151"/>
      <c r="FB147" s="151"/>
      <c r="FC147" s="151"/>
      <c r="FD147" s="151"/>
      <c r="FE147" s="151"/>
      <c r="FF147" s="151"/>
      <c r="FG147" s="151"/>
      <c r="FH147" s="151"/>
      <c r="FI147" s="151"/>
      <c r="FJ147" s="151"/>
      <c r="FK147" s="151"/>
      <c r="FL147" s="151"/>
      <c r="FM147" s="151"/>
      <c r="FN147" s="151"/>
      <c r="FO147" s="151"/>
      <c r="FP147" s="151"/>
      <c r="FQ147" s="151"/>
      <c r="FR147" s="151"/>
      <c r="FS147" s="151"/>
      <c r="FT147" s="151"/>
      <c r="FU147" s="151"/>
      <c r="FV147" s="151"/>
      <c r="FW147" s="151"/>
      <c r="FX147" s="151"/>
      <c r="FY147" s="151"/>
      <c r="FZ147" s="151"/>
      <c r="GA147" s="151"/>
      <c r="GB147" s="151"/>
      <c r="GC147" s="151"/>
      <c r="GD147" s="151"/>
      <c r="GE147" s="151"/>
      <c r="GF147" s="151"/>
      <c r="GG147" s="151"/>
      <c r="GH147" s="151"/>
      <c r="GI147" s="151"/>
      <c r="GJ147" s="151"/>
      <c r="GK147" s="151"/>
      <c r="GL147" s="151"/>
      <c r="GM147" s="151"/>
      <c r="GN147" s="151"/>
      <c r="GO147" s="151"/>
      <c r="GP147" s="151"/>
      <c r="GQ147" s="151"/>
      <c r="GR147" s="151"/>
      <c r="GS147" s="151"/>
      <c r="GT147" s="151"/>
      <c r="GU147" s="151"/>
      <c r="GV147" s="151"/>
      <c r="GW147" s="151"/>
      <c r="GX147" s="151"/>
      <c r="GY147" s="151"/>
      <c r="GZ147" s="151"/>
      <c r="HA147" s="151"/>
      <c r="HB147" s="151"/>
      <c r="HC147" s="151"/>
      <c r="HD147" s="151"/>
      <c r="HE147" s="151"/>
      <c r="HF147" s="151"/>
      <c r="HG147" s="151"/>
      <c r="HH147" s="151"/>
      <c r="HI147" s="151"/>
      <c r="HJ147" s="151"/>
      <c r="HK147" s="151"/>
      <c r="HL147" s="151"/>
      <c r="HM147" s="151"/>
      <c r="HN147" s="151"/>
      <c r="HO147" s="151"/>
      <c r="HP147" s="151"/>
      <c r="HQ147" s="151"/>
      <c r="HR147" s="151"/>
      <c r="HS147" s="151"/>
      <c r="HT147" s="151"/>
      <c r="HU147" s="151"/>
      <c r="HV147" s="151"/>
      <c r="HW147" s="151"/>
      <c r="HX147" s="151"/>
      <c r="HY147" s="151"/>
      <c r="HZ147" s="151"/>
      <c r="IA147" s="151"/>
      <c r="IB147" s="151"/>
      <c r="IC147" s="151"/>
      <c r="ID147" s="151"/>
      <c r="IE147" s="151"/>
      <c r="IF147" s="151"/>
      <c r="IG147" s="151"/>
      <c r="IH147" s="151"/>
      <c r="II147" s="151"/>
      <c r="IJ147" s="151"/>
      <c r="IK147" s="151"/>
      <c r="IL147" s="151"/>
      <c r="IM147" s="151"/>
      <c r="IN147" s="151"/>
      <c r="IO147" s="151"/>
      <c r="IP147" s="151"/>
      <c r="IQ147" s="151"/>
      <c r="IR147" s="151"/>
      <c r="IS147" s="151"/>
      <c r="IT147" s="151"/>
      <c r="IU147" s="151"/>
      <c r="IV147" s="151"/>
    </row>
    <row r="148" spans="1:256" x14ac:dyDescent="0.25">
      <c r="A148" s="117"/>
      <c r="B148" s="116"/>
      <c r="C148" s="311" t="str">
        <f>C145</f>
        <v>TRECHOS DE VIAS</v>
      </c>
      <c r="D148" s="116"/>
      <c r="E148" s="116"/>
      <c r="F148" s="329">
        <v>0.4</v>
      </c>
      <c r="G148" s="329">
        <v>4</v>
      </c>
      <c r="H148" s="329">
        <v>50</v>
      </c>
      <c r="I148" s="329"/>
      <c r="J148" s="329"/>
      <c r="K148" s="330">
        <f>ROUND((H148*G148*F148)+(I148*F148),2)</f>
        <v>80</v>
      </c>
      <c r="L148" s="545"/>
    </row>
    <row r="149" spans="1:256" hidden="1" x14ac:dyDescent="0.25">
      <c r="A149" s="117"/>
      <c r="B149" s="116"/>
      <c r="C149" s="311" t="e">
        <f>#REF!</f>
        <v>#REF!</v>
      </c>
      <c r="D149" s="116"/>
      <c r="E149" s="116"/>
      <c r="F149" s="329"/>
      <c r="G149" s="329"/>
      <c r="H149" s="329"/>
      <c r="I149" s="329"/>
      <c r="J149" s="329"/>
      <c r="K149" s="330">
        <f t="shared" ref="K149:K160" si="21">ROUND((H149*G149*F149)+(I149*F149),2)</f>
        <v>0</v>
      </c>
      <c r="L149" s="545"/>
    </row>
    <row r="150" spans="1:256" hidden="1" x14ac:dyDescent="0.25">
      <c r="A150" s="117"/>
      <c r="B150" s="116"/>
      <c r="C150" s="311" t="e">
        <f>#REF!</f>
        <v>#REF!</v>
      </c>
      <c r="D150" s="116"/>
      <c r="E150" s="116"/>
      <c r="F150" s="329">
        <v>0.4</v>
      </c>
      <c r="G150" s="329">
        <v>4</v>
      </c>
      <c r="H150" s="329"/>
      <c r="I150" s="329"/>
      <c r="J150" s="329"/>
      <c r="K150" s="330">
        <f t="shared" si="21"/>
        <v>0</v>
      </c>
      <c r="L150" s="545"/>
    </row>
    <row r="151" spans="1:256" hidden="1" x14ac:dyDescent="0.25">
      <c r="A151" s="117"/>
      <c r="B151" s="116"/>
      <c r="C151" s="311" t="e">
        <f>#REF!</f>
        <v>#REF!</v>
      </c>
      <c r="D151" s="116"/>
      <c r="E151" s="116"/>
      <c r="F151" s="329"/>
      <c r="G151" s="329"/>
      <c r="H151" s="329"/>
      <c r="I151" s="329"/>
      <c r="J151" s="329"/>
      <c r="K151" s="330">
        <f t="shared" si="21"/>
        <v>0</v>
      </c>
      <c r="L151" s="545"/>
    </row>
    <row r="152" spans="1:256" hidden="1" x14ac:dyDescent="0.25">
      <c r="A152" s="117"/>
      <c r="B152" s="116"/>
      <c r="C152" s="311" t="e">
        <f>#REF!</f>
        <v>#REF!</v>
      </c>
      <c r="D152" s="116"/>
      <c r="E152" s="116"/>
      <c r="F152" s="329">
        <v>0.4</v>
      </c>
      <c r="G152" s="329">
        <v>4</v>
      </c>
      <c r="H152" s="329"/>
      <c r="I152" s="329"/>
      <c r="J152" s="329"/>
      <c r="K152" s="330">
        <f t="shared" si="21"/>
        <v>0</v>
      </c>
      <c r="L152" s="545"/>
    </row>
    <row r="153" spans="1:256" hidden="1" x14ac:dyDescent="0.25">
      <c r="A153" s="117"/>
      <c r="B153" s="116"/>
      <c r="C153" s="311" t="e">
        <f>#REF!</f>
        <v>#REF!</v>
      </c>
      <c r="D153" s="410"/>
      <c r="E153" s="116"/>
      <c r="F153" s="329"/>
      <c r="G153" s="329"/>
      <c r="H153" s="329"/>
      <c r="I153" s="329"/>
      <c r="J153" s="329"/>
      <c r="K153" s="330">
        <f t="shared" si="21"/>
        <v>0</v>
      </c>
      <c r="L153" s="545"/>
    </row>
    <row r="154" spans="1:256" hidden="1" x14ac:dyDescent="0.25">
      <c r="A154" s="117"/>
      <c r="B154" s="116"/>
      <c r="C154" s="311" t="e">
        <f>#REF!</f>
        <v>#REF!</v>
      </c>
      <c r="D154" s="410"/>
      <c r="E154" s="116"/>
      <c r="F154" s="329"/>
      <c r="G154" s="329"/>
      <c r="H154" s="329"/>
      <c r="I154" s="329"/>
      <c r="J154" s="329"/>
      <c r="K154" s="330">
        <f t="shared" si="21"/>
        <v>0</v>
      </c>
      <c r="L154" s="545"/>
    </row>
    <row r="155" spans="1:256" hidden="1" x14ac:dyDescent="0.25">
      <c r="A155" s="117"/>
      <c r="B155" s="116"/>
      <c r="C155" s="311" t="e">
        <f>#REF!</f>
        <v>#REF!</v>
      </c>
      <c r="D155" s="410"/>
      <c r="E155" s="116"/>
      <c r="F155" s="329">
        <v>0.4</v>
      </c>
      <c r="G155" s="329">
        <v>4</v>
      </c>
      <c r="H155" s="329"/>
      <c r="I155" s="329"/>
      <c r="J155" s="329"/>
      <c r="K155" s="330">
        <f t="shared" si="21"/>
        <v>0</v>
      </c>
      <c r="L155" s="545"/>
    </row>
    <row r="156" spans="1:256" hidden="1" x14ac:dyDescent="0.25">
      <c r="A156" s="117"/>
      <c r="B156" s="116"/>
      <c r="C156" s="311" t="e">
        <f>#REF!</f>
        <v>#REF!</v>
      </c>
      <c r="D156" s="410"/>
      <c r="E156" s="116"/>
      <c r="F156" s="329"/>
      <c r="G156" s="329"/>
      <c r="H156" s="329"/>
      <c r="I156" s="329"/>
      <c r="J156" s="329"/>
      <c r="K156" s="330">
        <f t="shared" si="21"/>
        <v>0</v>
      </c>
      <c r="L156" s="545"/>
    </row>
    <row r="157" spans="1:256" hidden="1" x14ac:dyDescent="0.25">
      <c r="A157" s="117"/>
      <c r="B157" s="116"/>
      <c r="C157" s="311" t="e">
        <f>#REF!</f>
        <v>#REF!</v>
      </c>
      <c r="D157" s="410"/>
      <c r="E157" s="116"/>
      <c r="F157" s="329"/>
      <c r="G157" s="329"/>
      <c r="H157" s="329"/>
      <c r="I157" s="329"/>
      <c r="J157" s="329"/>
      <c r="K157" s="330">
        <f t="shared" si="21"/>
        <v>0</v>
      </c>
      <c r="L157" s="545"/>
    </row>
    <row r="158" spans="1:256" hidden="1" x14ac:dyDescent="0.25">
      <c r="A158" s="117"/>
      <c r="B158" s="116"/>
      <c r="C158" s="311" t="e">
        <f>#REF!</f>
        <v>#REF!</v>
      </c>
      <c r="D158" s="410"/>
      <c r="E158" s="116"/>
      <c r="F158" s="329"/>
      <c r="G158" s="329"/>
      <c r="H158" s="329"/>
      <c r="I158" s="329"/>
      <c r="J158" s="329"/>
      <c r="K158" s="330">
        <f t="shared" si="21"/>
        <v>0</v>
      </c>
      <c r="L158" s="545"/>
    </row>
    <row r="159" spans="1:256" hidden="1" x14ac:dyDescent="0.25">
      <c r="A159" s="117"/>
      <c r="B159" s="116"/>
      <c r="C159" s="311" t="e">
        <f>#REF!</f>
        <v>#REF!</v>
      </c>
      <c r="D159" s="410"/>
      <c r="E159" s="116"/>
      <c r="F159" s="329"/>
      <c r="G159" s="329"/>
      <c r="H159" s="329"/>
      <c r="I159" s="329"/>
      <c r="J159" s="329"/>
      <c r="K159" s="330">
        <f t="shared" si="21"/>
        <v>0</v>
      </c>
      <c r="L159" s="545"/>
    </row>
    <row r="160" spans="1:256" hidden="1" x14ac:dyDescent="0.25">
      <c r="A160" s="117"/>
      <c r="B160" s="116"/>
      <c r="C160" s="311" t="e">
        <f>#REF!</f>
        <v>#REF!</v>
      </c>
      <c r="D160" s="410"/>
      <c r="E160" s="116"/>
      <c r="F160" s="329"/>
      <c r="G160" s="329"/>
      <c r="H160" s="329"/>
      <c r="I160" s="329"/>
      <c r="J160" s="329"/>
      <c r="K160" s="330">
        <f t="shared" si="21"/>
        <v>0</v>
      </c>
      <c r="L160" s="545"/>
      <c r="N160" s="324" t="e">
        <f>J161-#REF!</f>
        <v>#REF!</v>
      </c>
    </row>
    <row r="161" spans="1:256" ht="13.8" thickBot="1" x14ac:dyDescent="0.3">
      <c r="A161" s="528"/>
      <c r="B161" s="529"/>
      <c r="C161" s="530"/>
      <c r="D161" s="119"/>
      <c r="E161" s="119"/>
      <c r="F161" s="331"/>
      <c r="G161" s="331"/>
      <c r="H161" s="332"/>
      <c r="I161" s="333"/>
      <c r="J161" s="333">
        <f>SUM(K148:K160)</f>
        <v>80</v>
      </c>
      <c r="K161" s="334" t="str">
        <f>D147</f>
        <v>m2</v>
      </c>
      <c r="L161" s="546"/>
    </row>
    <row r="162" spans="1:256" customFormat="1" ht="30.6" x14ac:dyDescent="0.3">
      <c r="A162" s="123" t="s">
        <v>245</v>
      </c>
      <c r="B162" s="120" t="s">
        <v>107</v>
      </c>
      <c r="C162" s="122" t="s">
        <v>225</v>
      </c>
      <c r="D162" s="312" t="s">
        <v>491</v>
      </c>
      <c r="E162" s="121" t="s">
        <v>118</v>
      </c>
      <c r="F162" s="326" t="s">
        <v>116</v>
      </c>
      <c r="G162" s="362" t="s">
        <v>115</v>
      </c>
      <c r="H162" s="326" t="s">
        <v>295</v>
      </c>
      <c r="I162" s="326" t="s">
        <v>288</v>
      </c>
      <c r="J162" s="326" t="s">
        <v>305</v>
      </c>
      <c r="K162" s="328" t="s">
        <v>10</v>
      </c>
      <c r="L162" s="544" t="s">
        <v>308</v>
      </c>
      <c r="M162" s="118"/>
      <c r="N162" s="118"/>
      <c r="O162" s="118"/>
      <c r="P162" s="151"/>
      <c r="Q162" s="151"/>
      <c r="R162" s="151"/>
      <c r="S162" s="151"/>
      <c r="T162" s="151"/>
      <c r="U162" s="361"/>
      <c r="V162" s="151"/>
      <c r="W162" s="151"/>
      <c r="X162" s="151"/>
      <c r="Y162" s="151"/>
      <c r="Z162" s="151"/>
      <c r="AA162" s="151"/>
      <c r="AB162" s="151"/>
      <c r="AC162" s="151"/>
      <c r="AD162" s="151"/>
      <c r="AE162" s="151"/>
      <c r="AF162" s="151"/>
      <c r="AG162" s="151"/>
      <c r="AH162" s="151"/>
      <c r="AI162" s="151"/>
      <c r="AJ162" s="151"/>
      <c r="AK162" s="151"/>
      <c r="AL162" s="151"/>
      <c r="AM162" s="151"/>
      <c r="AN162" s="151"/>
      <c r="AO162" s="151"/>
      <c r="AP162" s="151"/>
      <c r="AQ162" s="151"/>
      <c r="AR162" s="151"/>
      <c r="AS162" s="151"/>
      <c r="AT162" s="151"/>
      <c r="AU162" s="151"/>
      <c r="AV162" s="151"/>
      <c r="AW162" s="151"/>
      <c r="AX162" s="151"/>
      <c r="AY162" s="151"/>
      <c r="AZ162" s="151"/>
      <c r="BA162" s="151"/>
      <c r="BB162" s="151"/>
      <c r="BC162" s="151"/>
      <c r="BD162" s="151"/>
      <c r="BE162" s="151"/>
      <c r="BF162" s="151"/>
      <c r="BG162" s="151"/>
      <c r="BH162" s="151"/>
      <c r="BI162" s="151"/>
      <c r="BJ162" s="151"/>
      <c r="BK162" s="151"/>
      <c r="BL162" s="151"/>
      <c r="BM162" s="151"/>
      <c r="BN162" s="151"/>
      <c r="BO162" s="151"/>
      <c r="BP162" s="151"/>
      <c r="BQ162" s="151"/>
      <c r="BR162" s="151"/>
      <c r="BS162" s="151"/>
      <c r="BT162" s="151"/>
      <c r="BU162" s="151"/>
      <c r="BV162" s="151"/>
      <c r="BW162" s="151"/>
      <c r="BX162" s="151"/>
      <c r="BY162" s="151"/>
      <c r="BZ162" s="151"/>
      <c r="CA162" s="151"/>
      <c r="CB162" s="151"/>
      <c r="CC162" s="151"/>
      <c r="CD162" s="151"/>
      <c r="CE162" s="151"/>
      <c r="CF162" s="151"/>
      <c r="CG162" s="151"/>
      <c r="CH162" s="151"/>
      <c r="CI162" s="151"/>
      <c r="CJ162" s="151"/>
      <c r="CK162" s="151"/>
      <c r="CL162" s="151"/>
      <c r="CM162" s="151"/>
      <c r="CN162" s="151"/>
      <c r="CO162" s="151"/>
      <c r="CP162" s="151"/>
      <c r="CQ162" s="151"/>
      <c r="CR162" s="151"/>
      <c r="CS162" s="151"/>
      <c r="CT162" s="151"/>
      <c r="CU162" s="151"/>
      <c r="CV162" s="151"/>
      <c r="CW162" s="151"/>
      <c r="CX162" s="151"/>
      <c r="CY162" s="151"/>
      <c r="CZ162" s="151"/>
      <c r="DA162" s="151"/>
      <c r="DB162" s="151"/>
      <c r="DC162" s="151"/>
      <c r="DD162" s="151"/>
      <c r="DE162" s="151"/>
      <c r="DF162" s="151"/>
      <c r="DG162" s="151"/>
      <c r="DH162" s="151"/>
      <c r="DI162" s="151"/>
      <c r="DJ162" s="151"/>
      <c r="DK162" s="151"/>
      <c r="DL162" s="151"/>
      <c r="DM162" s="151"/>
      <c r="DN162" s="151"/>
      <c r="DO162" s="151"/>
      <c r="DP162" s="151"/>
      <c r="DQ162" s="151"/>
      <c r="DR162" s="151"/>
      <c r="DS162" s="151"/>
      <c r="DT162" s="151"/>
      <c r="DU162" s="151"/>
      <c r="DV162" s="151"/>
      <c r="DW162" s="151"/>
      <c r="DX162" s="151"/>
      <c r="DY162" s="151"/>
      <c r="DZ162" s="151"/>
      <c r="EA162" s="151"/>
      <c r="EB162" s="151"/>
      <c r="EC162" s="151"/>
      <c r="ED162" s="151"/>
      <c r="EE162" s="151"/>
      <c r="EF162" s="151"/>
      <c r="EG162" s="151"/>
      <c r="EH162" s="151"/>
      <c r="EI162" s="151"/>
      <c r="EJ162" s="151"/>
      <c r="EK162" s="151"/>
      <c r="EL162" s="151"/>
      <c r="EM162" s="151"/>
      <c r="EN162" s="151"/>
      <c r="EO162" s="151"/>
      <c r="EP162" s="151"/>
      <c r="EQ162" s="151"/>
      <c r="ER162" s="151"/>
      <c r="ES162" s="151"/>
      <c r="ET162" s="151"/>
      <c r="EU162" s="151"/>
      <c r="EV162" s="151"/>
      <c r="EW162" s="151"/>
      <c r="EX162" s="151"/>
      <c r="EY162" s="151"/>
      <c r="EZ162" s="151"/>
      <c r="FA162" s="151"/>
      <c r="FB162" s="151"/>
      <c r="FC162" s="151"/>
      <c r="FD162" s="151"/>
      <c r="FE162" s="151"/>
      <c r="FF162" s="151"/>
      <c r="FG162" s="151"/>
      <c r="FH162" s="151"/>
      <c r="FI162" s="151"/>
      <c r="FJ162" s="151"/>
      <c r="FK162" s="151"/>
      <c r="FL162" s="151"/>
      <c r="FM162" s="151"/>
      <c r="FN162" s="151"/>
      <c r="FO162" s="151"/>
      <c r="FP162" s="151"/>
      <c r="FQ162" s="151"/>
      <c r="FR162" s="151"/>
      <c r="FS162" s="151"/>
      <c r="FT162" s="151"/>
      <c r="FU162" s="151"/>
      <c r="FV162" s="151"/>
      <c r="FW162" s="151"/>
      <c r="FX162" s="151"/>
      <c r="FY162" s="151"/>
      <c r="FZ162" s="151"/>
      <c r="GA162" s="151"/>
      <c r="GB162" s="151"/>
      <c r="GC162" s="151"/>
      <c r="GD162" s="151"/>
      <c r="GE162" s="151"/>
      <c r="GF162" s="151"/>
      <c r="GG162" s="151"/>
      <c r="GH162" s="151"/>
      <c r="GI162" s="151"/>
      <c r="GJ162" s="151"/>
      <c r="GK162" s="151"/>
      <c r="GL162" s="151"/>
      <c r="GM162" s="151"/>
      <c r="GN162" s="151"/>
      <c r="GO162" s="151"/>
      <c r="GP162" s="151"/>
      <c r="GQ162" s="151"/>
      <c r="GR162" s="151"/>
      <c r="GS162" s="151"/>
      <c r="GT162" s="151"/>
      <c r="GU162" s="151"/>
      <c r="GV162" s="151"/>
      <c r="GW162" s="151"/>
      <c r="GX162" s="151"/>
      <c r="GY162" s="151"/>
      <c r="GZ162" s="151"/>
      <c r="HA162" s="151"/>
      <c r="HB162" s="151"/>
      <c r="HC162" s="151"/>
      <c r="HD162" s="151"/>
      <c r="HE162" s="151"/>
      <c r="HF162" s="151"/>
      <c r="HG162" s="151"/>
      <c r="HH162" s="151"/>
      <c r="HI162" s="151"/>
      <c r="HJ162" s="151"/>
      <c r="HK162" s="151"/>
      <c r="HL162" s="151"/>
      <c r="HM162" s="151"/>
      <c r="HN162" s="151"/>
      <c r="HO162" s="151"/>
      <c r="HP162" s="151"/>
      <c r="HQ162" s="151"/>
      <c r="HR162" s="151"/>
      <c r="HS162" s="151"/>
      <c r="HT162" s="151"/>
      <c r="HU162" s="151"/>
      <c r="HV162" s="151"/>
      <c r="HW162" s="151"/>
      <c r="HX162" s="151"/>
      <c r="HY162" s="151"/>
      <c r="HZ162" s="151"/>
      <c r="IA162" s="151"/>
      <c r="IB162" s="151"/>
      <c r="IC162" s="151"/>
      <c r="ID162" s="151"/>
      <c r="IE162" s="151"/>
      <c r="IF162" s="151"/>
      <c r="IG162" s="151"/>
      <c r="IH162" s="151"/>
      <c r="II162" s="151"/>
      <c r="IJ162" s="151"/>
      <c r="IK162" s="151"/>
      <c r="IL162" s="151"/>
      <c r="IM162" s="151"/>
      <c r="IN162" s="151"/>
      <c r="IO162" s="151"/>
      <c r="IP162" s="151"/>
      <c r="IQ162" s="151"/>
      <c r="IR162" s="151"/>
      <c r="IS162" s="151"/>
      <c r="IT162" s="151"/>
      <c r="IU162" s="151"/>
      <c r="IV162" s="151"/>
    </row>
    <row r="163" spans="1:256" x14ac:dyDescent="0.25">
      <c r="A163" s="117"/>
      <c r="B163" s="116"/>
      <c r="C163" s="311" t="str">
        <f t="shared" ref="C163:C175" si="22">C148</f>
        <v>TRECHOS DE VIAS</v>
      </c>
      <c r="D163" s="116"/>
      <c r="E163" s="116"/>
      <c r="F163" s="329">
        <v>0.1</v>
      </c>
      <c r="G163" s="329">
        <f>K28</f>
        <v>13160</v>
      </c>
      <c r="H163" s="329">
        <v>3</v>
      </c>
      <c r="I163" s="329"/>
      <c r="J163" s="329"/>
      <c r="K163" s="330">
        <f>ROUND(F163*G163*H163,2)</f>
        <v>3948</v>
      </c>
      <c r="L163" s="545"/>
    </row>
    <row r="164" spans="1:256" hidden="1" x14ac:dyDescent="0.25">
      <c r="A164" s="117"/>
      <c r="B164" s="116"/>
      <c r="C164" s="311" t="e">
        <f t="shared" si="22"/>
        <v>#REF!</v>
      </c>
      <c r="D164" s="116"/>
      <c r="E164" s="116"/>
      <c r="F164" s="329">
        <v>0.1</v>
      </c>
      <c r="G164" s="329" t="e">
        <f>#REF!</f>
        <v>#REF!</v>
      </c>
      <c r="H164" s="329">
        <v>3</v>
      </c>
      <c r="I164" s="329"/>
      <c r="J164" s="329"/>
      <c r="K164" s="330" t="e">
        <f t="shared" ref="K164:K170" si="23">ROUND(F164*G164*H164,2)</f>
        <v>#REF!</v>
      </c>
      <c r="L164" s="545"/>
    </row>
    <row r="165" spans="1:256" hidden="1" x14ac:dyDescent="0.25">
      <c r="A165" s="117"/>
      <c r="B165" s="116"/>
      <c r="C165" s="311" t="e">
        <f t="shared" si="22"/>
        <v>#REF!</v>
      </c>
      <c r="D165" s="116"/>
      <c r="E165" s="116"/>
      <c r="F165" s="329">
        <f>F163</f>
        <v>0.1</v>
      </c>
      <c r="G165" s="329" t="e">
        <f>#REF!</f>
        <v>#REF!</v>
      </c>
      <c r="H165" s="329">
        <v>3</v>
      </c>
      <c r="I165" s="329"/>
      <c r="J165" s="329"/>
      <c r="K165" s="330" t="e">
        <f t="shared" si="23"/>
        <v>#REF!</v>
      </c>
      <c r="L165" s="545"/>
    </row>
    <row r="166" spans="1:256" hidden="1" x14ac:dyDescent="0.25">
      <c r="A166" s="117"/>
      <c r="B166" s="116"/>
      <c r="C166" s="311" t="e">
        <f t="shared" si="22"/>
        <v>#REF!</v>
      </c>
      <c r="D166" s="116"/>
      <c r="E166" s="116"/>
      <c r="F166" s="329">
        <f t="shared" ref="F166:F175" si="24">F165</f>
        <v>0.1</v>
      </c>
      <c r="G166" s="329" t="e">
        <f>#REF!</f>
        <v>#REF!</v>
      </c>
      <c r="H166" s="329">
        <v>3</v>
      </c>
      <c r="I166" s="329"/>
      <c r="J166" s="329"/>
      <c r="K166" s="330" t="e">
        <f t="shared" si="23"/>
        <v>#REF!</v>
      </c>
      <c r="L166" s="545"/>
    </row>
    <row r="167" spans="1:256" hidden="1" x14ac:dyDescent="0.25">
      <c r="A167" s="117"/>
      <c r="B167" s="116"/>
      <c r="C167" s="311" t="e">
        <f t="shared" si="22"/>
        <v>#REF!</v>
      </c>
      <c r="D167" s="116"/>
      <c r="E167" s="116"/>
      <c r="F167" s="329">
        <f t="shared" si="24"/>
        <v>0.1</v>
      </c>
      <c r="G167" s="329" t="e">
        <f>#REF!</f>
        <v>#REF!</v>
      </c>
      <c r="H167" s="329">
        <v>3</v>
      </c>
      <c r="I167" s="329"/>
      <c r="J167" s="329"/>
      <c r="K167" s="330" t="e">
        <f t="shared" si="23"/>
        <v>#REF!</v>
      </c>
      <c r="L167" s="545"/>
    </row>
    <row r="168" spans="1:256" hidden="1" x14ac:dyDescent="0.25">
      <c r="A168" s="117"/>
      <c r="B168" s="116"/>
      <c r="C168" s="311" t="e">
        <f t="shared" si="22"/>
        <v>#REF!</v>
      </c>
      <c r="D168" s="116"/>
      <c r="E168" s="116"/>
      <c r="F168" s="329">
        <f t="shared" si="24"/>
        <v>0.1</v>
      </c>
      <c r="G168" s="329" t="e">
        <f>#REF!</f>
        <v>#REF!</v>
      </c>
      <c r="H168" s="329">
        <v>3</v>
      </c>
      <c r="I168" s="329"/>
      <c r="J168" s="329"/>
      <c r="K168" s="330" t="e">
        <f t="shared" si="23"/>
        <v>#REF!</v>
      </c>
      <c r="L168" s="545"/>
    </row>
    <row r="169" spans="1:256" hidden="1" x14ac:dyDescent="0.25">
      <c r="A169" s="117"/>
      <c r="B169" s="116"/>
      <c r="C169" s="311" t="e">
        <f t="shared" si="22"/>
        <v>#REF!</v>
      </c>
      <c r="D169" s="116"/>
      <c r="E169" s="116"/>
      <c r="F169" s="329">
        <f t="shared" si="24"/>
        <v>0.1</v>
      </c>
      <c r="G169" s="329" t="e">
        <f>#REF!</f>
        <v>#REF!</v>
      </c>
      <c r="H169" s="329">
        <v>3</v>
      </c>
      <c r="I169" s="329"/>
      <c r="J169" s="329"/>
      <c r="K169" s="330" t="e">
        <f t="shared" si="23"/>
        <v>#REF!</v>
      </c>
      <c r="L169" s="545"/>
    </row>
    <row r="170" spans="1:256" hidden="1" x14ac:dyDescent="0.25">
      <c r="A170" s="117"/>
      <c r="B170" s="116"/>
      <c r="C170" s="311" t="e">
        <f t="shared" si="22"/>
        <v>#REF!</v>
      </c>
      <c r="D170" s="116"/>
      <c r="E170" s="116"/>
      <c r="F170" s="329">
        <f t="shared" si="24"/>
        <v>0.1</v>
      </c>
      <c r="G170" s="329" t="e">
        <f>#REF!</f>
        <v>#REF!</v>
      </c>
      <c r="H170" s="329">
        <v>3</v>
      </c>
      <c r="I170" s="329"/>
      <c r="J170" s="329"/>
      <c r="K170" s="330" t="e">
        <f t="shared" si="23"/>
        <v>#REF!</v>
      </c>
      <c r="L170" s="545"/>
    </row>
    <row r="171" spans="1:256" hidden="1" x14ac:dyDescent="0.25">
      <c r="A171" s="117"/>
      <c r="B171" s="116"/>
      <c r="C171" s="311" t="e">
        <f t="shared" si="22"/>
        <v>#REF!</v>
      </c>
      <c r="D171" s="116"/>
      <c r="E171" s="116"/>
      <c r="F171" s="329">
        <f t="shared" si="24"/>
        <v>0.1</v>
      </c>
      <c r="G171" s="329"/>
      <c r="H171" s="329"/>
      <c r="I171" s="329"/>
      <c r="J171" s="329"/>
      <c r="K171" s="330">
        <f t="shared" ref="K171:K175" si="25">ROUND(F171*G171,2)</f>
        <v>0</v>
      </c>
      <c r="L171" s="545"/>
    </row>
    <row r="172" spans="1:256" hidden="1" x14ac:dyDescent="0.25">
      <c r="A172" s="117"/>
      <c r="B172" s="116"/>
      <c r="C172" s="311" t="e">
        <f t="shared" si="22"/>
        <v>#REF!</v>
      </c>
      <c r="D172" s="116"/>
      <c r="E172" s="116"/>
      <c r="F172" s="329">
        <f t="shared" si="24"/>
        <v>0.1</v>
      </c>
      <c r="G172" s="329"/>
      <c r="H172" s="329"/>
      <c r="I172" s="329"/>
      <c r="J172" s="329"/>
      <c r="K172" s="330">
        <f t="shared" si="25"/>
        <v>0</v>
      </c>
      <c r="L172" s="545"/>
    </row>
    <row r="173" spans="1:256" hidden="1" x14ac:dyDescent="0.25">
      <c r="A173" s="117"/>
      <c r="B173" s="116"/>
      <c r="C173" s="311" t="e">
        <f t="shared" si="22"/>
        <v>#REF!</v>
      </c>
      <c r="D173" s="116"/>
      <c r="E173" s="116"/>
      <c r="F173" s="329">
        <f t="shared" si="24"/>
        <v>0.1</v>
      </c>
      <c r="G173" s="329"/>
      <c r="H173" s="329"/>
      <c r="I173" s="329"/>
      <c r="J173" s="329"/>
      <c r="K173" s="330">
        <f t="shared" si="25"/>
        <v>0</v>
      </c>
      <c r="L173" s="545"/>
    </row>
    <row r="174" spans="1:256" hidden="1" x14ac:dyDescent="0.25">
      <c r="A174" s="407"/>
      <c r="B174" s="408"/>
      <c r="C174" s="311" t="e">
        <f t="shared" si="22"/>
        <v>#REF!</v>
      </c>
      <c r="D174" s="410"/>
      <c r="E174" s="410"/>
      <c r="F174" s="329">
        <f t="shared" si="24"/>
        <v>0.1</v>
      </c>
      <c r="G174" s="411"/>
      <c r="H174" s="411"/>
      <c r="I174" s="411"/>
      <c r="J174" s="411"/>
      <c r="K174" s="330">
        <f t="shared" si="25"/>
        <v>0</v>
      </c>
      <c r="L174" s="545"/>
    </row>
    <row r="175" spans="1:256" hidden="1" x14ac:dyDescent="0.25">
      <c r="A175" s="407"/>
      <c r="B175" s="408"/>
      <c r="C175" s="311" t="e">
        <f t="shared" si="22"/>
        <v>#REF!</v>
      </c>
      <c r="D175" s="410"/>
      <c r="E175" s="410"/>
      <c r="F175" s="329">
        <f t="shared" si="24"/>
        <v>0.1</v>
      </c>
      <c r="G175" s="411"/>
      <c r="H175" s="411"/>
      <c r="I175" s="411"/>
      <c r="J175" s="411"/>
      <c r="K175" s="330">
        <f t="shared" si="25"/>
        <v>0</v>
      </c>
      <c r="L175" s="545"/>
    </row>
    <row r="176" spans="1:256" ht="13.8" thickBot="1" x14ac:dyDescent="0.3">
      <c r="A176" s="528"/>
      <c r="B176" s="529"/>
      <c r="C176" s="530"/>
      <c r="D176" s="119"/>
      <c r="E176" s="119"/>
      <c r="F176" s="331"/>
      <c r="G176" s="331"/>
      <c r="H176" s="332"/>
      <c r="I176" s="333"/>
      <c r="J176" s="333">
        <f>K163</f>
        <v>3948</v>
      </c>
      <c r="K176" s="334" t="str">
        <f>D162</f>
        <v>M²</v>
      </c>
      <c r="L176" s="546"/>
    </row>
    <row r="177" spans="1:256" customFormat="1" ht="20.399999999999999" hidden="1" x14ac:dyDescent="0.3">
      <c r="A177" s="123">
        <v>5219606</v>
      </c>
      <c r="B177" s="120" t="s">
        <v>376</v>
      </c>
      <c r="C177" s="122" t="s">
        <v>493</v>
      </c>
      <c r="D177" s="312" t="s">
        <v>460</v>
      </c>
      <c r="E177" s="121" t="s">
        <v>118</v>
      </c>
      <c r="F177" s="335" t="s">
        <v>492</v>
      </c>
      <c r="G177" s="362" t="s">
        <v>115</v>
      </c>
      <c r="H177" s="326" t="s">
        <v>295</v>
      </c>
      <c r="I177" s="326" t="s">
        <v>288</v>
      </c>
      <c r="J177" s="326" t="s">
        <v>113</v>
      </c>
      <c r="K177" s="328" t="s">
        <v>10</v>
      </c>
      <c r="L177" s="544" t="s">
        <v>308</v>
      </c>
      <c r="M177" s="118"/>
      <c r="N177" s="118"/>
      <c r="O177" s="118"/>
      <c r="P177" s="151"/>
      <c r="Q177" s="151"/>
      <c r="R177" s="151"/>
      <c r="S177" s="151"/>
      <c r="T177" s="151"/>
      <c r="U177" s="361"/>
      <c r="V177" s="151"/>
      <c r="W177" s="151"/>
      <c r="X177" s="151"/>
      <c r="Y177" s="151"/>
      <c r="Z177" s="151"/>
      <c r="AA177" s="151"/>
      <c r="AB177" s="151"/>
      <c r="AC177" s="151"/>
      <c r="AD177" s="151"/>
      <c r="AE177" s="151"/>
      <c r="AF177" s="151"/>
      <c r="AG177" s="151"/>
      <c r="AH177" s="151"/>
      <c r="AI177" s="151"/>
      <c r="AJ177" s="151"/>
      <c r="AK177" s="151"/>
      <c r="AL177" s="151"/>
      <c r="AM177" s="151"/>
      <c r="AN177" s="151"/>
      <c r="AO177" s="151"/>
      <c r="AP177" s="151"/>
      <c r="AQ177" s="151"/>
      <c r="AR177" s="151"/>
      <c r="AS177" s="151"/>
      <c r="AT177" s="151"/>
      <c r="AU177" s="151"/>
      <c r="AV177" s="151"/>
      <c r="AW177" s="151"/>
      <c r="AX177" s="151"/>
      <c r="AY177" s="151"/>
      <c r="AZ177" s="151"/>
      <c r="BA177" s="151"/>
      <c r="BB177" s="151"/>
      <c r="BC177" s="151"/>
      <c r="BD177" s="151"/>
      <c r="BE177" s="151"/>
      <c r="BF177" s="151"/>
      <c r="BG177" s="151"/>
      <c r="BH177" s="151"/>
      <c r="BI177" s="151"/>
      <c r="BJ177" s="151"/>
      <c r="BK177" s="151"/>
      <c r="BL177" s="151"/>
      <c r="BM177" s="151"/>
      <c r="BN177" s="151"/>
      <c r="BO177" s="151"/>
      <c r="BP177" s="151"/>
      <c r="BQ177" s="151"/>
      <c r="BR177" s="151"/>
      <c r="BS177" s="151"/>
      <c r="BT177" s="151"/>
      <c r="BU177" s="151"/>
      <c r="BV177" s="151"/>
      <c r="BW177" s="151"/>
      <c r="BX177" s="151"/>
      <c r="BY177" s="151"/>
      <c r="BZ177" s="151"/>
      <c r="CA177" s="151"/>
      <c r="CB177" s="151"/>
      <c r="CC177" s="151"/>
      <c r="CD177" s="151"/>
      <c r="CE177" s="151"/>
      <c r="CF177" s="151"/>
      <c r="CG177" s="151"/>
      <c r="CH177" s="151"/>
      <c r="CI177" s="151"/>
      <c r="CJ177" s="151"/>
      <c r="CK177" s="151"/>
      <c r="CL177" s="151"/>
      <c r="CM177" s="151"/>
      <c r="CN177" s="151"/>
      <c r="CO177" s="151"/>
      <c r="CP177" s="151"/>
      <c r="CQ177" s="151"/>
      <c r="CR177" s="151"/>
      <c r="CS177" s="151"/>
      <c r="CT177" s="151"/>
      <c r="CU177" s="151"/>
      <c r="CV177" s="151"/>
      <c r="CW177" s="151"/>
      <c r="CX177" s="151"/>
      <c r="CY177" s="151"/>
      <c r="CZ177" s="151"/>
      <c r="DA177" s="151"/>
      <c r="DB177" s="151"/>
      <c r="DC177" s="151"/>
      <c r="DD177" s="151"/>
      <c r="DE177" s="151"/>
      <c r="DF177" s="151"/>
      <c r="DG177" s="151"/>
      <c r="DH177" s="151"/>
      <c r="DI177" s="151"/>
      <c r="DJ177" s="151"/>
      <c r="DK177" s="151"/>
      <c r="DL177" s="151"/>
      <c r="DM177" s="151"/>
      <c r="DN177" s="151"/>
      <c r="DO177" s="151"/>
      <c r="DP177" s="151"/>
      <c r="DQ177" s="151"/>
      <c r="DR177" s="151"/>
      <c r="DS177" s="151"/>
      <c r="DT177" s="151"/>
      <c r="DU177" s="151"/>
      <c r="DV177" s="151"/>
      <c r="DW177" s="151"/>
      <c r="DX177" s="151"/>
      <c r="DY177" s="151"/>
      <c r="DZ177" s="151"/>
      <c r="EA177" s="151"/>
      <c r="EB177" s="151"/>
      <c r="EC177" s="151"/>
      <c r="ED177" s="151"/>
      <c r="EE177" s="151"/>
      <c r="EF177" s="151"/>
      <c r="EG177" s="151"/>
      <c r="EH177" s="151"/>
      <c r="EI177" s="151"/>
      <c r="EJ177" s="151"/>
      <c r="EK177" s="151"/>
      <c r="EL177" s="151"/>
      <c r="EM177" s="151"/>
      <c r="EN177" s="151"/>
      <c r="EO177" s="151"/>
      <c r="EP177" s="151"/>
      <c r="EQ177" s="151"/>
      <c r="ER177" s="151"/>
      <c r="ES177" s="151"/>
      <c r="ET177" s="151"/>
      <c r="EU177" s="151"/>
      <c r="EV177" s="151"/>
      <c r="EW177" s="151"/>
      <c r="EX177" s="151"/>
      <c r="EY177" s="151"/>
      <c r="EZ177" s="151"/>
      <c r="FA177" s="151"/>
      <c r="FB177" s="151"/>
      <c r="FC177" s="151"/>
      <c r="FD177" s="151"/>
      <c r="FE177" s="151"/>
      <c r="FF177" s="151"/>
      <c r="FG177" s="151"/>
      <c r="FH177" s="151"/>
      <c r="FI177" s="151"/>
      <c r="FJ177" s="151"/>
      <c r="FK177" s="151"/>
      <c r="FL177" s="151"/>
      <c r="FM177" s="151"/>
      <c r="FN177" s="151"/>
      <c r="FO177" s="151"/>
      <c r="FP177" s="151"/>
      <c r="FQ177" s="151"/>
      <c r="FR177" s="151"/>
      <c r="FS177" s="151"/>
      <c r="FT177" s="151"/>
      <c r="FU177" s="151"/>
      <c r="FV177" s="151"/>
      <c r="FW177" s="151"/>
      <c r="FX177" s="151"/>
      <c r="FY177" s="151"/>
      <c r="FZ177" s="151"/>
      <c r="GA177" s="151"/>
      <c r="GB177" s="151"/>
      <c r="GC177" s="151"/>
      <c r="GD177" s="151"/>
      <c r="GE177" s="151"/>
      <c r="GF177" s="151"/>
      <c r="GG177" s="151"/>
      <c r="GH177" s="151"/>
      <c r="GI177" s="151"/>
      <c r="GJ177" s="151"/>
      <c r="GK177" s="151"/>
      <c r="GL177" s="151"/>
      <c r="GM177" s="151"/>
      <c r="GN177" s="151"/>
      <c r="GO177" s="151"/>
      <c r="GP177" s="151"/>
      <c r="GQ177" s="151"/>
      <c r="GR177" s="151"/>
      <c r="GS177" s="151"/>
      <c r="GT177" s="151"/>
      <c r="GU177" s="151"/>
      <c r="GV177" s="151"/>
      <c r="GW177" s="151"/>
      <c r="GX177" s="151"/>
      <c r="GY177" s="151"/>
      <c r="GZ177" s="151"/>
      <c r="HA177" s="151"/>
      <c r="HB177" s="151"/>
      <c r="HC177" s="151"/>
      <c r="HD177" s="151"/>
      <c r="HE177" s="151"/>
      <c r="HF177" s="151"/>
      <c r="HG177" s="151"/>
      <c r="HH177" s="151"/>
      <c r="HI177" s="151"/>
      <c r="HJ177" s="151"/>
      <c r="HK177" s="151"/>
      <c r="HL177" s="151"/>
      <c r="HM177" s="151"/>
      <c r="HN177" s="151"/>
      <c r="HO177" s="151"/>
      <c r="HP177" s="151"/>
      <c r="HQ177" s="151"/>
      <c r="HR177" s="151"/>
      <c r="HS177" s="151"/>
      <c r="HT177" s="151"/>
      <c r="HU177" s="151"/>
      <c r="HV177" s="151"/>
      <c r="HW177" s="151"/>
      <c r="HX177" s="151"/>
      <c r="HY177" s="151"/>
      <c r="HZ177" s="151"/>
      <c r="IA177" s="151"/>
      <c r="IB177" s="151"/>
      <c r="IC177" s="151"/>
      <c r="ID177" s="151"/>
      <c r="IE177" s="151"/>
      <c r="IF177" s="151"/>
      <c r="IG177" s="151"/>
      <c r="IH177" s="151"/>
      <c r="II177" s="151"/>
      <c r="IJ177" s="151"/>
      <c r="IK177" s="151"/>
      <c r="IL177" s="151"/>
      <c r="IM177" s="151"/>
      <c r="IN177" s="151"/>
      <c r="IO177" s="151"/>
      <c r="IP177" s="151"/>
      <c r="IQ177" s="151"/>
      <c r="IR177" s="151"/>
      <c r="IS177" s="151"/>
      <c r="IT177" s="151"/>
      <c r="IU177" s="151"/>
      <c r="IV177" s="151"/>
    </row>
    <row r="178" spans="1:256" hidden="1" x14ac:dyDescent="0.25">
      <c r="A178" s="117"/>
      <c r="B178" s="116"/>
      <c r="C178" s="311" t="str">
        <f t="shared" ref="C178:C190" si="26">C163</f>
        <v>TRECHOS DE VIAS</v>
      </c>
      <c r="D178" s="116"/>
      <c r="E178" s="116"/>
      <c r="F178" s="329"/>
      <c r="G178" s="329">
        <f>K28</f>
        <v>13160</v>
      </c>
      <c r="H178" s="329"/>
      <c r="I178" s="329"/>
      <c r="J178" s="329"/>
      <c r="K178" s="330" t="e">
        <f>ROUND((G178/F178),0)</f>
        <v>#DIV/0!</v>
      </c>
      <c r="L178" s="545"/>
    </row>
    <row r="179" spans="1:256" hidden="1" x14ac:dyDescent="0.25">
      <c r="A179" s="117"/>
      <c r="B179" s="116"/>
      <c r="C179" s="311" t="e">
        <f t="shared" si="26"/>
        <v>#REF!</v>
      </c>
      <c r="D179" s="116"/>
      <c r="E179" s="116"/>
      <c r="F179" s="329"/>
      <c r="G179" s="329" t="e">
        <f>#REF!</f>
        <v>#REF!</v>
      </c>
      <c r="H179" s="329"/>
      <c r="I179" s="329"/>
      <c r="J179" s="329"/>
      <c r="K179" s="330" t="e">
        <f t="shared" ref="K179:K190" si="27">ROUND((G179/F179),0)</f>
        <v>#REF!</v>
      </c>
      <c r="L179" s="545"/>
    </row>
    <row r="180" spans="1:256" hidden="1" x14ac:dyDescent="0.25">
      <c r="A180" s="117"/>
      <c r="B180" s="116"/>
      <c r="C180" s="311" t="e">
        <f t="shared" si="26"/>
        <v>#REF!</v>
      </c>
      <c r="D180" s="116"/>
      <c r="E180" s="116"/>
      <c r="F180" s="329"/>
      <c r="G180" s="329" t="e">
        <f>#REF!</f>
        <v>#REF!</v>
      </c>
      <c r="H180" s="329"/>
      <c r="I180" s="329"/>
      <c r="J180" s="329"/>
      <c r="K180" s="330" t="e">
        <f t="shared" si="27"/>
        <v>#REF!</v>
      </c>
      <c r="L180" s="545"/>
    </row>
    <row r="181" spans="1:256" hidden="1" x14ac:dyDescent="0.25">
      <c r="A181" s="117"/>
      <c r="B181" s="116"/>
      <c r="C181" s="311" t="e">
        <f t="shared" si="26"/>
        <v>#REF!</v>
      </c>
      <c r="D181" s="116"/>
      <c r="E181" s="116"/>
      <c r="F181" s="329"/>
      <c r="G181" s="329" t="e">
        <f>#REF!</f>
        <v>#REF!</v>
      </c>
      <c r="H181" s="329"/>
      <c r="I181" s="329"/>
      <c r="J181" s="329"/>
      <c r="K181" s="330" t="e">
        <f t="shared" si="27"/>
        <v>#REF!</v>
      </c>
      <c r="L181" s="545"/>
    </row>
    <row r="182" spans="1:256" hidden="1" x14ac:dyDescent="0.25">
      <c r="A182" s="117"/>
      <c r="B182" s="116"/>
      <c r="C182" s="311" t="e">
        <f t="shared" si="26"/>
        <v>#REF!</v>
      </c>
      <c r="D182" s="116"/>
      <c r="E182" s="116"/>
      <c r="F182" s="329"/>
      <c r="G182" s="329" t="e">
        <f>#REF!</f>
        <v>#REF!</v>
      </c>
      <c r="H182" s="329"/>
      <c r="I182" s="329"/>
      <c r="J182" s="329"/>
      <c r="K182" s="330" t="e">
        <f t="shared" si="27"/>
        <v>#REF!</v>
      </c>
      <c r="L182" s="545"/>
    </row>
    <row r="183" spans="1:256" hidden="1" x14ac:dyDescent="0.25">
      <c r="A183" s="117"/>
      <c r="B183" s="116"/>
      <c r="C183" s="311" t="e">
        <f t="shared" si="26"/>
        <v>#REF!</v>
      </c>
      <c r="D183" s="116"/>
      <c r="E183" s="116"/>
      <c r="F183" s="329"/>
      <c r="G183" s="329" t="e">
        <f>#REF!</f>
        <v>#REF!</v>
      </c>
      <c r="H183" s="329"/>
      <c r="I183" s="329"/>
      <c r="J183" s="329"/>
      <c r="K183" s="330" t="e">
        <f t="shared" si="27"/>
        <v>#REF!</v>
      </c>
      <c r="L183" s="545"/>
    </row>
    <row r="184" spans="1:256" hidden="1" x14ac:dyDescent="0.25">
      <c r="A184" s="117"/>
      <c r="B184" s="116"/>
      <c r="C184" s="311" t="e">
        <f t="shared" si="26"/>
        <v>#REF!</v>
      </c>
      <c r="D184" s="116"/>
      <c r="E184" s="116"/>
      <c r="F184" s="329"/>
      <c r="G184" s="329" t="e">
        <f>#REF!</f>
        <v>#REF!</v>
      </c>
      <c r="H184" s="329"/>
      <c r="I184" s="329"/>
      <c r="J184" s="329"/>
      <c r="K184" s="330" t="e">
        <f t="shared" si="27"/>
        <v>#REF!</v>
      </c>
      <c r="L184" s="545"/>
    </row>
    <row r="185" spans="1:256" hidden="1" x14ac:dyDescent="0.25">
      <c r="A185" s="117"/>
      <c r="B185" s="116"/>
      <c r="C185" s="311" t="e">
        <f t="shared" si="26"/>
        <v>#REF!</v>
      </c>
      <c r="D185" s="116"/>
      <c r="E185" s="116"/>
      <c r="F185" s="329"/>
      <c r="G185" s="329" t="e">
        <f>#REF!</f>
        <v>#REF!</v>
      </c>
      <c r="H185" s="329"/>
      <c r="I185" s="329"/>
      <c r="J185" s="329"/>
      <c r="K185" s="330" t="e">
        <f t="shared" si="27"/>
        <v>#REF!</v>
      </c>
      <c r="L185" s="545"/>
    </row>
    <row r="186" spans="1:256" hidden="1" x14ac:dyDescent="0.25">
      <c r="A186" s="117"/>
      <c r="B186" s="116"/>
      <c r="C186" s="311" t="e">
        <f t="shared" si="26"/>
        <v>#REF!</v>
      </c>
      <c r="D186" s="116"/>
      <c r="E186" s="116"/>
      <c r="F186" s="329"/>
      <c r="G186" s="329" t="e">
        <f>#REF!</f>
        <v>#REF!</v>
      </c>
      <c r="H186" s="329"/>
      <c r="I186" s="329"/>
      <c r="J186" s="329"/>
      <c r="K186" s="330" t="e">
        <f t="shared" si="27"/>
        <v>#REF!</v>
      </c>
      <c r="L186" s="545"/>
    </row>
    <row r="187" spans="1:256" hidden="1" x14ac:dyDescent="0.25">
      <c r="A187" s="117"/>
      <c r="B187" s="116"/>
      <c r="C187" s="311" t="e">
        <f t="shared" si="26"/>
        <v>#REF!</v>
      </c>
      <c r="D187" s="116"/>
      <c r="E187" s="116"/>
      <c r="F187" s="329"/>
      <c r="G187" s="329" t="e">
        <f>#REF!</f>
        <v>#REF!</v>
      </c>
      <c r="H187" s="329"/>
      <c r="I187" s="329"/>
      <c r="J187" s="329"/>
      <c r="K187" s="330" t="e">
        <f t="shared" si="27"/>
        <v>#REF!</v>
      </c>
      <c r="L187" s="545"/>
    </row>
    <row r="188" spans="1:256" hidden="1" x14ac:dyDescent="0.25">
      <c r="A188" s="117"/>
      <c r="B188" s="116"/>
      <c r="C188" s="311" t="e">
        <f t="shared" si="26"/>
        <v>#REF!</v>
      </c>
      <c r="D188" s="116"/>
      <c r="E188" s="116"/>
      <c r="F188" s="329"/>
      <c r="G188" s="329" t="e">
        <f>#REF!</f>
        <v>#REF!</v>
      </c>
      <c r="H188" s="329"/>
      <c r="I188" s="329"/>
      <c r="J188" s="329"/>
      <c r="K188" s="330" t="e">
        <f t="shared" si="27"/>
        <v>#REF!</v>
      </c>
      <c r="L188" s="545"/>
    </row>
    <row r="189" spans="1:256" hidden="1" x14ac:dyDescent="0.25">
      <c r="A189" s="407"/>
      <c r="B189" s="408"/>
      <c r="C189" s="311" t="e">
        <f t="shared" si="26"/>
        <v>#REF!</v>
      </c>
      <c r="D189" s="410"/>
      <c r="E189" s="410"/>
      <c r="F189" s="329"/>
      <c r="G189" s="329" t="e">
        <f>#REF!</f>
        <v>#REF!</v>
      </c>
      <c r="H189" s="411"/>
      <c r="I189" s="411"/>
      <c r="J189" s="329"/>
      <c r="K189" s="330" t="e">
        <f t="shared" si="27"/>
        <v>#REF!</v>
      </c>
      <c r="L189" s="545"/>
    </row>
    <row r="190" spans="1:256" hidden="1" x14ac:dyDescent="0.25">
      <c r="A190" s="407"/>
      <c r="B190" s="408"/>
      <c r="C190" s="311" t="e">
        <f t="shared" si="26"/>
        <v>#REF!</v>
      </c>
      <c r="D190" s="410"/>
      <c r="E190" s="410"/>
      <c r="F190" s="329"/>
      <c r="G190" s="329" t="e">
        <f>#REF!</f>
        <v>#REF!</v>
      </c>
      <c r="H190" s="411"/>
      <c r="I190" s="411"/>
      <c r="J190" s="329"/>
      <c r="K190" s="330" t="e">
        <f t="shared" si="27"/>
        <v>#REF!</v>
      </c>
      <c r="L190" s="545"/>
    </row>
    <row r="191" spans="1:256" ht="13.8" hidden="1" thickBot="1" x14ac:dyDescent="0.3">
      <c r="A191" s="528"/>
      <c r="B191" s="529"/>
      <c r="C191" s="530"/>
      <c r="D191" s="119"/>
      <c r="E191" s="119"/>
      <c r="F191" s="331"/>
      <c r="G191" s="331"/>
      <c r="H191" s="332"/>
      <c r="I191" s="333"/>
      <c r="J191" s="333" t="e">
        <f>SUM(K178:K190)</f>
        <v>#DIV/0!</v>
      </c>
      <c r="K191" s="334" t="str">
        <f>D177</f>
        <v xml:space="preserve">UN </v>
      </c>
      <c r="L191" s="546"/>
    </row>
    <row r="192" spans="1:256" customFormat="1" ht="20.399999999999999" hidden="1" x14ac:dyDescent="0.3">
      <c r="A192" s="123">
        <v>5219613</v>
      </c>
      <c r="B192" s="120" t="s">
        <v>376</v>
      </c>
      <c r="C192" s="122" t="s">
        <v>495</v>
      </c>
      <c r="D192" s="312" t="s">
        <v>460</v>
      </c>
      <c r="E192" s="121" t="s">
        <v>494</v>
      </c>
      <c r="F192" s="335" t="s">
        <v>492</v>
      </c>
      <c r="G192" s="362" t="s">
        <v>115</v>
      </c>
      <c r="H192" s="326" t="s">
        <v>295</v>
      </c>
      <c r="I192" s="326" t="s">
        <v>288</v>
      </c>
      <c r="J192" s="326" t="s">
        <v>113</v>
      </c>
      <c r="K192" s="328" t="s">
        <v>10</v>
      </c>
      <c r="L192" s="544" t="s">
        <v>308</v>
      </c>
      <c r="M192" s="118"/>
      <c r="N192" s="118"/>
      <c r="O192" s="118"/>
      <c r="P192" s="151"/>
      <c r="Q192" s="151"/>
      <c r="R192" s="151"/>
      <c r="S192" s="151"/>
      <c r="T192" s="151"/>
      <c r="U192" s="361"/>
      <c r="V192" s="151"/>
      <c r="W192" s="151"/>
      <c r="X192" s="151"/>
      <c r="Y192" s="151"/>
      <c r="Z192" s="151"/>
      <c r="AA192" s="151"/>
      <c r="AB192" s="151"/>
      <c r="AC192" s="151"/>
      <c r="AD192" s="151"/>
      <c r="AE192" s="151"/>
      <c r="AF192" s="151"/>
      <c r="AG192" s="151"/>
      <c r="AH192" s="151"/>
      <c r="AI192" s="151"/>
      <c r="AJ192" s="151"/>
      <c r="AK192" s="151"/>
      <c r="AL192" s="151"/>
      <c r="AM192" s="151"/>
      <c r="AN192" s="151"/>
      <c r="AO192" s="151"/>
      <c r="AP192" s="151"/>
      <c r="AQ192" s="151"/>
      <c r="AR192" s="151"/>
      <c r="AS192" s="151"/>
      <c r="AT192" s="151"/>
      <c r="AU192" s="151"/>
      <c r="AV192" s="151"/>
      <c r="AW192" s="151"/>
      <c r="AX192" s="151"/>
      <c r="AY192" s="151"/>
      <c r="AZ192" s="151"/>
      <c r="BA192" s="151"/>
      <c r="BB192" s="151"/>
      <c r="BC192" s="151"/>
      <c r="BD192" s="151"/>
      <c r="BE192" s="151"/>
      <c r="BF192" s="151"/>
      <c r="BG192" s="151"/>
      <c r="BH192" s="151"/>
      <c r="BI192" s="151"/>
      <c r="BJ192" s="151"/>
      <c r="BK192" s="151"/>
      <c r="BL192" s="151"/>
      <c r="BM192" s="151"/>
      <c r="BN192" s="151"/>
      <c r="BO192" s="151"/>
      <c r="BP192" s="151"/>
      <c r="BQ192" s="151"/>
      <c r="BR192" s="151"/>
      <c r="BS192" s="151"/>
      <c r="BT192" s="151"/>
      <c r="BU192" s="151"/>
      <c r="BV192" s="151"/>
      <c r="BW192" s="151"/>
      <c r="BX192" s="151"/>
      <c r="BY192" s="151"/>
      <c r="BZ192" s="151"/>
      <c r="CA192" s="151"/>
      <c r="CB192" s="151"/>
      <c r="CC192" s="151"/>
      <c r="CD192" s="151"/>
      <c r="CE192" s="151"/>
      <c r="CF192" s="151"/>
      <c r="CG192" s="151"/>
      <c r="CH192" s="151"/>
      <c r="CI192" s="151"/>
      <c r="CJ192" s="151"/>
      <c r="CK192" s="151"/>
      <c r="CL192" s="151"/>
      <c r="CM192" s="151"/>
      <c r="CN192" s="151"/>
      <c r="CO192" s="151"/>
      <c r="CP192" s="151"/>
      <c r="CQ192" s="151"/>
      <c r="CR192" s="151"/>
      <c r="CS192" s="151"/>
      <c r="CT192" s="151"/>
      <c r="CU192" s="151"/>
      <c r="CV192" s="151"/>
      <c r="CW192" s="151"/>
      <c r="CX192" s="151"/>
      <c r="CY192" s="151"/>
      <c r="CZ192" s="151"/>
      <c r="DA192" s="151"/>
      <c r="DB192" s="151"/>
      <c r="DC192" s="151"/>
      <c r="DD192" s="151"/>
      <c r="DE192" s="151"/>
      <c r="DF192" s="151"/>
      <c r="DG192" s="151"/>
      <c r="DH192" s="151"/>
      <c r="DI192" s="151"/>
      <c r="DJ192" s="151"/>
      <c r="DK192" s="151"/>
      <c r="DL192" s="151"/>
      <c r="DM192" s="151"/>
      <c r="DN192" s="151"/>
      <c r="DO192" s="151"/>
      <c r="DP192" s="151"/>
      <c r="DQ192" s="151"/>
      <c r="DR192" s="151"/>
      <c r="DS192" s="151"/>
      <c r="DT192" s="151"/>
      <c r="DU192" s="151"/>
      <c r="DV192" s="151"/>
      <c r="DW192" s="151"/>
      <c r="DX192" s="151"/>
      <c r="DY192" s="151"/>
      <c r="DZ192" s="151"/>
      <c r="EA192" s="151"/>
      <c r="EB192" s="151"/>
      <c r="EC192" s="151"/>
      <c r="ED192" s="151"/>
      <c r="EE192" s="151"/>
      <c r="EF192" s="151"/>
      <c r="EG192" s="151"/>
      <c r="EH192" s="151"/>
      <c r="EI192" s="151"/>
      <c r="EJ192" s="151"/>
      <c r="EK192" s="151"/>
      <c r="EL192" s="151"/>
      <c r="EM192" s="151"/>
      <c r="EN192" s="151"/>
      <c r="EO192" s="151"/>
      <c r="EP192" s="151"/>
      <c r="EQ192" s="151"/>
      <c r="ER192" s="151"/>
      <c r="ES192" s="151"/>
      <c r="ET192" s="151"/>
      <c r="EU192" s="151"/>
      <c r="EV192" s="151"/>
      <c r="EW192" s="151"/>
      <c r="EX192" s="151"/>
      <c r="EY192" s="151"/>
      <c r="EZ192" s="151"/>
      <c r="FA192" s="151"/>
      <c r="FB192" s="151"/>
      <c r="FC192" s="151"/>
      <c r="FD192" s="151"/>
      <c r="FE192" s="151"/>
      <c r="FF192" s="151"/>
      <c r="FG192" s="151"/>
      <c r="FH192" s="151"/>
      <c r="FI192" s="151"/>
      <c r="FJ192" s="151"/>
      <c r="FK192" s="151"/>
      <c r="FL192" s="151"/>
      <c r="FM192" s="151"/>
      <c r="FN192" s="151"/>
      <c r="FO192" s="151"/>
      <c r="FP192" s="151"/>
      <c r="FQ192" s="151"/>
      <c r="FR192" s="151"/>
      <c r="FS192" s="151"/>
      <c r="FT192" s="151"/>
      <c r="FU192" s="151"/>
      <c r="FV192" s="151"/>
      <c r="FW192" s="151"/>
      <c r="FX192" s="151"/>
      <c r="FY192" s="151"/>
      <c r="FZ192" s="151"/>
      <c r="GA192" s="151"/>
      <c r="GB192" s="151"/>
      <c r="GC192" s="151"/>
      <c r="GD192" s="151"/>
      <c r="GE192" s="151"/>
      <c r="GF192" s="151"/>
      <c r="GG192" s="151"/>
      <c r="GH192" s="151"/>
      <c r="GI192" s="151"/>
      <c r="GJ192" s="151"/>
      <c r="GK192" s="151"/>
      <c r="GL192" s="151"/>
      <c r="GM192" s="151"/>
      <c r="GN192" s="151"/>
      <c r="GO192" s="151"/>
      <c r="GP192" s="151"/>
      <c r="GQ192" s="151"/>
      <c r="GR192" s="151"/>
      <c r="GS192" s="151"/>
      <c r="GT192" s="151"/>
      <c r="GU192" s="151"/>
      <c r="GV192" s="151"/>
      <c r="GW192" s="151"/>
      <c r="GX192" s="151"/>
      <c r="GY192" s="151"/>
      <c r="GZ192" s="151"/>
      <c r="HA192" s="151"/>
      <c r="HB192" s="151"/>
      <c r="HC192" s="151"/>
      <c r="HD192" s="151"/>
      <c r="HE192" s="151"/>
      <c r="HF192" s="151"/>
      <c r="HG192" s="151"/>
      <c r="HH192" s="151"/>
      <c r="HI192" s="151"/>
      <c r="HJ192" s="151"/>
      <c r="HK192" s="151"/>
      <c r="HL192" s="151"/>
      <c r="HM192" s="151"/>
      <c r="HN192" s="151"/>
      <c r="HO192" s="151"/>
      <c r="HP192" s="151"/>
      <c r="HQ192" s="151"/>
      <c r="HR192" s="151"/>
      <c r="HS192" s="151"/>
      <c r="HT192" s="151"/>
      <c r="HU192" s="151"/>
      <c r="HV192" s="151"/>
      <c r="HW192" s="151"/>
      <c r="HX192" s="151"/>
      <c r="HY192" s="151"/>
      <c r="HZ192" s="151"/>
      <c r="IA192" s="151"/>
      <c r="IB192" s="151"/>
      <c r="IC192" s="151"/>
      <c r="ID192" s="151"/>
      <c r="IE192" s="151"/>
      <c r="IF192" s="151"/>
      <c r="IG192" s="151"/>
      <c r="IH192" s="151"/>
      <c r="II192" s="151"/>
      <c r="IJ192" s="151"/>
      <c r="IK192" s="151"/>
      <c r="IL192" s="151"/>
      <c r="IM192" s="151"/>
      <c r="IN192" s="151"/>
      <c r="IO192" s="151"/>
      <c r="IP192" s="151"/>
      <c r="IQ192" s="151"/>
      <c r="IR192" s="151"/>
      <c r="IS192" s="151"/>
      <c r="IT192" s="151"/>
      <c r="IU192" s="151"/>
      <c r="IV192" s="151"/>
    </row>
    <row r="193" spans="1:12" hidden="1" x14ac:dyDescent="0.25">
      <c r="A193" s="117"/>
      <c r="B193" s="116"/>
      <c r="C193" s="311" t="str">
        <f t="shared" ref="C193:C205" si="28">C178</f>
        <v>TRECHOS DE VIAS</v>
      </c>
      <c r="D193" s="116"/>
      <c r="E193" s="116">
        <v>2</v>
      </c>
      <c r="F193" s="329"/>
      <c r="G193" s="329">
        <f>G178</f>
        <v>13160</v>
      </c>
      <c r="H193" s="329"/>
      <c r="I193" s="329"/>
      <c r="J193" s="329"/>
      <c r="K193" s="330" t="e">
        <f>ROUND((G193/F193)*E193,0)</f>
        <v>#DIV/0!</v>
      </c>
      <c r="L193" s="545"/>
    </row>
    <row r="194" spans="1:12" hidden="1" x14ac:dyDescent="0.25">
      <c r="A194" s="117"/>
      <c r="B194" s="116"/>
      <c r="C194" s="311" t="e">
        <f t="shared" si="28"/>
        <v>#REF!</v>
      </c>
      <c r="D194" s="116"/>
      <c r="E194" s="116">
        <f>E193</f>
        <v>2</v>
      </c>
      <c r="F194" s="329"/>
      <c r="G194" s="329" t="e">
        <f t="shared" ref="G194:G205" si="29">G179</f>
        <v>#REF!</v>
      </c>
      <c r="H194" s="329"/>
      <c r="I194" s="329"/>
      <c r="J194" s="329"/>
      <c r="K194" s="330" t="e">
        <f t="shared" ref="K194:K205" si="30">ROUND((G194/F194)*E194,0)</f>
        <v>#REF!</v>
      </c>
      <c r="L194" s="545"/>
    </row>
    <row r="195" spans="1:12" hidden="1" x14ac:dyDescent="0.25">
      <c r="A195" s="117"/>
      <c r="B195" s="116"/>
      <c r="C195" s="311" t="e">
        <f t="shared" si="28"/>
        <v>#REF!</v>
      </c>
      <c r="D195" s="116"/>
      <c r="E195" s="116">
        <f t="shared" ref="E195:E205" si="31">E194</f>
        <v>2</v>
      </c>
      <c r="F195" s="329"/>
      <c r="G195" s="329" t="e">
        <f t="shared" si="29"/>
        <v>#REF!</v>
      </c>
      <c r="H195" s="329"/>
      <c r="I195" s="329"/>
      <c r="J195" s="329"/>
      <c r="K195" s="330" t="e">
        <f t="shared" si="30"/>
        <v>#REF!</v>
      </c>
      <c r="L195" s="545"/>
    </row>
    <row r="196" spans="1:12" hidden="1" x14ac:dyDescent="0.25">
      <c r="A196" s="117"/>
      <c r="B196" s="116"/>
      <c r="C196" s="311" t="e">
        <f t="shared" si="28"/>
        <v>#REF!</v>
      </c>
      <c r="D196" s="116"/>
      <c r="E196" s="116">
        <f t="shared" si="31"/>
        <v>2</v>
      </c>
      <c r="F196" s="329"/>
      <c r="G196" s="329" t="e">
        <f t="shared" si="29"/>
        <v>#REF!</v>
      </c>
      <c r="H196" s="329"/>
      <c r="I196" s="329"/>
      <c r="J196" s="329"/>
      <c r="K196" s="330" t="e">
        <f t="shared" si="30"/>
        <v>#REF!</v>
      </c>
      <c r="L196" s="545"/>
    </row>
    <row r="197" spans="1:12" hidden="1" x14ac:dyDescent="0.25">
      <c r="A197" s="117"/>
      <c r="B197" s="116"/>
      <c r="C197" s="311" t="e">
        <f t="shared" si="28"/>
        <v>#REF!</v>
      </c>
      <c r="D197" s="116"/>
      <c r="E197" s="116">
        <f t="shared" si="31"/>
        <v>2</v>
      </c>
      <c r="F197" s="329"/>
      <c r="G197" s="329" t="e">
        <f t="shared" si="29"/>
        <v>#REF!</v>
      </c>
      <c r="H197" s="329"/>
      <c r="I197" s="329"/>
      <c r="J197" s="329"/>
      <c r="K197" s="330" t="e">
        <f t="shared" si="30"/>
        <v>#REF!</v>
      </c>
      <c r="L197" s="545"/>
    </row>
    <row r="198" spans="1:12" hidden="1" x14ac:dyDescent="0.25">
      <c r="A198" s="117"/>
      <c r="B198" s="116"/>
      <c r="C198" s="311" t="e">
        <f t="shared" si="28"/>
        <v>#REF!</v>
      </c>
      <c r="D198" s="116"/>
      <c r="E198" s="116">
        <f t="shared" si="31"/>
        <v>2</v>
      </c>
      <c r="F198" s="329"/>
      <c r="G198" s="329" t="e">
        <f t="shared" si="29"/>
        <v>#REF!</v>
      </c>
      <c r="H198" s="329"/>
      <c r="I198" s="329"/>
      <c r="J198" s="329"/>
      <c r="K198" s="330" t="e">
        <f t="shared" si="30"/>
        <v>#REF!</v>
      </c>
      <c r="L198" s="545"/>
    </row>
    <row r="199" spans="1:12" hidden="1" x14ac:dyDescent="0.25">
      <c r="A199" s="117"/>
      <c r="B199" s="116"/>
      <c r="C199" s="311" t="e">
        <f t="shared" si="28"/>
        <v>#REF!</v>
      </c>
      <c r="D199" s="116"/>
      <c r="E199" s="116">
        <f t="shared" si="31"/>
        <v>2</v>
      </c>
      <c r="F199" s="329"/>
      <c r="G199" s="329" t="e">
        <f t="shared" si="29"/>
        <v>#REF!</v>
      </c>
      <c r="H199" s="329"/>
      <c r="I199" s="329"/>
      <c r="J199" s="329"/>
      <c r="K199" s="330" t="e">
        <f t="shared" si="30"/>
        <v>#REF!</v>
      </c>
      <c r="L199" s="545"/>
    </row>
    <row r="200" spans="1:12" hidden="1" x14ac:dyDescent="0.25">
      <c r="A200" s="117"/>
      <c r="B200" s="116"/>
      <c r="C200" s="311" t="e">
        <f t="shared" si="28"/>
        <v>#REF!</v>
      </c>
      <c r="D200" s="116"/>
      <c r="E200" s="116">
        <f t="shared" si="31"/>
        <v>2</v>
      </c>
      <c r="F200" s="329"/>
      <c r="G200" s="329" t="e">
        <f t="shared" si="29"/>
        <v>#REF!</v>
      </c>
      <c r="H200" s="329"/>
      <c r="I200" s="329"/>
      <c r="J200" s="329"/>
      <c r="K200" s="330" t="e">
        <f t="shared" si="30"/>
        <v>#REF!</v>
      </c>
      <c r="L200" s="545"/>
    </row>
    <row r="201" spans="1:12" hidden="1" x14ac:dyDescent="0.25">
      <c r="A201" s="117"/>
      <c r="B201" s="116"/>
      <c r="C201" s="311" t="e">
        <f t="shared" si="28"/>
        <v>#REF!</v>
      </c>
      <c r="D201" s="116"/>
      <c r="E201" s="116">
        <f t="shared" si="31"/>
        <v>2</v>
      </c>
      <c r="F201" s="329"/>
      <c r="G201" s="329" t="e">
        <f t="shared" si="29"/>
        <v>#REF!</v>
      </c>
      <c r="H201" s="329"/>
      <c r="I201" s="329"/>
      <c r="J201" s="329"/>
      <c r="K201" s="330" t="e">
        <f t="shared" si="30"/>
        <v>#REF!</v>
      </c>
      <c r="L201" s="545"/>
    </row>
    <row r="202" spans="1:12" hidden="1" x14ac:dyDescent="0.25">
      <c r="A202" s="117"/>
      <c r="B202" s="116"/>
      <c r="C202" s="311" t="e">
        <f t="shared" si="28"/>
        <v>#REF!</v>
      </c>
      <c r="D202" s="116"/>
      <c r="E202" s="116">
        <f t="shared" si="31"/>
        <v>2</v>
      </c>
      <c r="F202" s="329"/>
      <c r="G202" s="329" t="e">
        <f t="shared" si="29"/>
        <v>#REF!</v>
      </c>
      <c r="H202" s="329"/>
      <c r="I202" s="329"/>
      <c r="J202" s="329"/>
      <c r="K202" s="330" t="e">
        <f t="shared" si="30"/>
        <v>#REF!</v>
      </c>
      <c r="L202" s="545"/>
    </row>
    <row r="203" spans="1:12" hidden="1" x14ac:dyDescent="0.25">
      <c r="A203" s="117"/>
      <c r="B203" s="116"/>
      <c r="C203" s="311" t="e">
        <f t="shared" si="28"/>
        <v>#REF!</v>
      </c>
      <c r="D203" s="116"/>
      <c r="E203" s="116">
        <f t="shared" si="31"/>
        <v>2</v>
      </c>
      <c r="F203" s="329"/>
      <c r="G203" s="329" t="e">
        <f t="shared" si="29"/>
        <v>#REF!</v>
      </c>
      <c r="H203" s="329"/>
      <c r="I203" s="329"/>
      <c r="J203" s="329"/>
      <c r="K203" s="330" t="e">
        <f t="shared" si="30"/>
        <v>#REF!</v>
      </c>
      <c r="L203" s="545"/>
    </row>
    <row r="204" spans="1:12" hidden="1" x14ac:dyDescent="0.25">
      <c r="A204" s="407"/>
      <c r="B204" s="408"/>
      <c r="C204" s="311" t="e">
        <f t="shared" si="28"/>
        <v>#REF!</v>
      </c>
      <c r="D204" s="410"/>
      <c r="E204" s="116">
        <f t="shared" si="31"/>
        <v>2</v>
      </c>
      <c r="F204" s="329"/>
      <c r="G204" s="329" t="e">
        <f t="shared" si="29"/>
        <v>#REF!</v>
      </c>
      <c r="H204" s="411"/>
      <c r="I204" s="411"/>
      <c r="J204" s="329"/>
      <c r="K204" s="330" t="e">
        <f t="shared" si="30"/>
        <v>#REF!</v>
      </c>
      <c r="L204" s="545"/>
    </row>
    <row r="205" spans="1:12" hidden="1" x14ac:dyDescent="0.25">
      <c r="A205" s="407"/>
      <c r="B205" s="408"/>
      <c r="C205" s="311" t="e">
        <f t="shared" si="28"/>
        <v>#REF!</v>
      </c>
      <c r="D205" s="410"/>
      <c r="E205" s="116">
        <f t="shared" si="31"/>
        <v>2</v>
      </c>
      <c r="F205" s="329"/>
      <c r="G205" s="329" t="e">
        <f t="shared" si="29"/>
        <v>#REF!</v>
      </c>
      <c r="H205" s="411"/>
      <c r="I205" s="411"/>
      <c r="J205" s="329"/>
      <c r="K205" s="330" t="e">
        <f t="shared" si="30"/>
        <v>#REF!</v>
      </c>
      <c r="L205" s="545"/>
    </row>
    <row r="206" spans="1:12" ht="13.8" hidden="1" thickBot="1" x14ac:dyDescent="0.3">
      <c r="A206" s="528"/>
      <c r="B206" s="529"/>
      <c r="C206" s="530"/>
      <c r="D206" s="119"/>
      <c r="E206" s="119"/>
      <c r="F206" s="331"/>
      <c r="G206" s="331"/>
      <c r="H206" s="332"/>
      <c r="I206" s="333"/>
      <c r="J206" s="333" t="e">
        <f>SUM(K193:K205)</f>
        <v>#DIV/0!</v>
      </c>
      <c r="K206" s="334" t="str">
        <f>D192</f>
        <v xml:space="preserve">UN </v>
      </c>
      <c r="L206" s="546"/>
    </row>
    <row r="207" spans="1:12" ht="13.8" hidden="1" thickBot="1" x14ac:dyDescent="0.3">
      <c r="A207" s="531" t="s">
        <v>329</v>
      </c>
      <c r="B207" s="532"/>
      <c r="C207" s="532"/>
      <c r="D207" s="532"/>
      <c r="E207" s="532"/>
      <c r="F207" s="532"/>
      <c r="G207" s="532"/>
      <c r="H207" s="532"/>
      <c r="I207" s="532"/>
      <c r="J207" s="532"/>
      <c r="K207" s="532"/>
      <c r="L207" s="533"/>
    </row>
    <row r="208" spans="1:12" ht="68.400000000000006" hidden="1" customHeight="1" x14ac:dyDescent="0.25">
      <c r="A208" s="123" t="s">
        <v>330</v>
      </c>
      <c r="B208" s="120" t="s">
        <v>107</v>
      </c>
      <c r="C208" s="122" t="s">
        <v>331</v>
      </c>
      <c r="D208" s="312" t="s">
        <v>226</v>
      </c>
      <c r="E208" s="121" t="s">
        <v>295</v>
      </c>
      <c r="F208" s="338" t="s">
        <v>117</v>
      </c>
      <c r="G208" s="337" t="s">
        <v>116</v>
      </c>
      <c r="H208" s="337" t="s">
        <v>115</v>
      </c>
      <c r="I208" s="337" t="s">
        <v>298</v>
      </c>
      <c r="J208" s="337" t="s">
        <v>305</v>
      </c>
      <c r="K208" s="328" t="s">
        <v>10</v>
      </c>
      <c r="L208" s="525" t="s">
        <v>332</v>
      </c>
    </row>
    <row r="209" spans="1:21" hidden="1" x14ac:dyDescent="0.25">
      <c r="A209" s="117"/>
      <c r="B209" s="116"/>
      <c r="C209" s="311" t="s">
        <v>370</v>
      </c>
      <c r="D209" s="116"/>
      <c r="E209" s="116"/>
      <c r="F209" s="329">
        <f>30.37+30.61+15.72+15.98+27.38+19.72+20.01+19.87+(56.43-45.73)+7.31</f>
        <v>197.67000000000002</v>
      </c>
      <c r="G209" s="329">
        <v>0.13</v>
      </c>
      <c r="H209" s="329"/>
      <c r="I209" s="329"/>
      <c r="J209" s="329"/>
      <c r="K209" s="330">
        <f>ROUND(F209/G209,2)</f>
        <v>1520.54</v>
      </c>
      <c r="L209" s="526"/>
    </row>
    <row r="210" spans="1:21" ht="13.8" hidden="1" thickBot="1" x14ac:dyDescent="0.3">
      <c r="A210" s="528"/>
      <c r="B210" s="529"/>
      <c r="C210" s="530"/>
      <c r="D210" s="119"/>
      <c r="E210" s="119"/>
      <c r="F210" s="331"/>
      <c r="G210" s="331"/>
      <c r="H210" s="332"/>
      <c r="I210" s="333"/>
      <c r="J210" s="333">
        <f>SUM(K209:K209)</f>
        <v>1520.54</v>
      </c>
      <c r="K210" s="334" t="str">
        <f>D208</f>
        <v>M</v>
      </c>
      <c r="L210" s="527"/>
    </row>
    <row r="211" spans="1:21" ht="40.950000000000003" hidden="1" customHeight="1" x14ac:dyDescent="0.25">
      <c r="A211" s="123">
        <v>95240</v>
      </c>
      <c r="B211" s="120" t="s">
        <v>107</v>
      </c>
      <c r="C211" s="122" t="s">
        <v>253</v>
      </c>
      <c r="D211" s="312" t="s">
        <v>304</v>
      </c>
      <c r="E211" s="121" t="s">
        <v>118</v>
      </c>
      <c r="F211" s="338" t="s">
        <v>117</v>
      </c>
      <c r="G211" s="337" t="s">
        <v>116</v>
      </c>
      <c r="H211" s="337" t="s">
        <v>115</v>
      </c>
      <c r="I211" s="337" t="s">
        <v>288</v>
      </c>
      <c r="J211" s="337" t="s">
        <v>334</v>
      </c>
      <c r="K211" s="328" t="s">
        <v>10</v>
      </c>
      <c r="L211" s="525" t="s">
        <v>335</v>
      </c>
    </row>
    <row r="212" spans="1:21" hidden="1" x14ac:dyDescent="0.25">
      <c r="A212" s="117"/>
      <c r="B212" s="116"/>
      <c r="C212" s="311" t="str">
        <f>C209</f>
        <v>Av. Dona Verde</v>
      </c>
      <c r="D212" s="116"/>
      <c r="E212" s="116"/>
      <c r="F212" s="329">
        <f>K215</f>
        <v>201.96</v>
      </c>
      <c r="G212" s="329"/>
      <c r="H212" s="329"/>
      <c r="I212" s="329"/>
      <c r="J212" s="329"/>
      <c r="K212" s="330">
        <f>F212</f>
        <v>201.96</v>
      </c>
      <c r="L212" s="526"/>
    </row>
    <row r="213" spans="1:21" ht="13.8" hidden="1" thickBot="1" x14ac:dyDescent="0.3">
      <c r="A213" s="528"/>
      <c r="B213" s="529"/>
      <c r="C213" s="530"/>
      <c r="D213" s="119"/>
      <c r="E213" s="119"/>
      <c r="F213" s="331"/>
      <c r="G213" s="331"/>
      <c r="H213" s="332"/>
      <c r="I213" s="333"/>
      <c r="J213" s="333">
        <f>SUM(K212:K212)</f>
        <v>201.96</v>
      </c>
      <c r="K213" s="334" t="str">
        <f>D211</f>
        <v>m2</v>
      </c>
      <c r="L213" s="527"/>
    </row>
    <row r="214" spans="1:21" ht="40.950000000000003" hidden="1" customHeight="1" x14ac:dyDescent="0.25">
      <c r="A214" s="123">
        <v>1244</v>
      </c>
      <c r="B214" s="120" t="s">
        <v>258</v>
      </c>
      <c r="C214" s="122" t="s">
        <v>333</v>
      </c>
      <c r="D214" s="312" t="s">
        <v>205</v>
      </c>
      <c r="E214" s="121" t="s">
        <v>118</v>
      </c>
      <c r="F214" s="338" t="s">
        <v>117</v>
      </c>
      <c r="G214" s="337" t="s">
        <v>116</v>
      </c>
      <c r="H214" s="337" t="s">
        <v>115</v>
      </c>
      <c r="I214" s="337" t="s">
        <v>288</v>
      </c>
      <c r="J214" s="337" t="s">
        <v>334</v>
      </c>
      <c r="K214" s="328" t="s">
        <v>10</v>
      </c>
      <c r="L214" s="525" t="s">
        <v>335</v>
      </c>
    </row>
    <row r="215" spans="1:21" hidden="1" x14ac:dyDescent="0.25">
      <c r="A215" s="117"/>
      <c r="B215" s="116"/>
      <c r="C215" s="311" t="str">
        <f>C209</f>
        <v>Av. Dona Verde</v>
      </c>
      <c r="D215" s="116"/>
      <c r="E215" s="116"/>
      <c r="F215" s="329"/>
      <c r="G215" s="329">
        <v>0.3</v>
      </c>
      <c r="H215" s="329">
        <v>673.21</v>
      </c>
      <c r="J215" s="329"/>
      <c r="K215" s="330">
        <f>ROUND(H215*G215,2)</f>
        <v>201.96</v>
      </c>
      <c r="L215" s="526"/>
    </row>
    <row r="216" spans="1:21" ht="13.8" hidden="1" thickBot="1" x14ac:dyDescent="0.3">
      <c r="A216" s="528"/>
      <c r="B216" s="529"/>
      <c r="C216" s="530"/>
      <c r="D216" s="119"/>
      <c r="E216" s="119"/>
      <c r="F216" s="331"/>
      <c r="G216" s="331"/>
      <c r="H216" s="332"/>
      <c r="I216" s="333"/>
      <c r="J216" s="333">
        <f>SUM(K215:K215)</f>
        <v>201.96</v>
      </c>
      <c r="K216" s="334" t="str">
        <f>D214</f>
        <v>m²</v>
      </c>
      <c r="L216" s="527"/>
    </row>
    <row r="217" spans="1:21" customFormat="1" ht="34.200000000000003" hidden="1" customHeight="1" x14ac:dyDescent="0.3">
      <c r="A217" s="123">
        <v>94991</v>
      </c>
      <c r="B217" s="120" t="s">
        <v>107</v>
      </c>
      <c r="C217" s="122" t="s">
        <v>336</v>
      </c>
      <c r="D217" s="312" t="s">
        <v>207</v>
      </c>
      <c r="E217" s="121" t="s">
        <v>114</v>
      </c>
      <c r="F217" s="335" t="s">
        <v>337</v>
      </c>
      <c r="G217" s="362" t="s">
        <v>338</v>
      </c>
      <c r="H217" s="335" t="s">
        <v>255</v>
      </c>
      <c r="I217" s="326" t="s">
        <v>288</v>
      </c>
      <c r="J217" s="335" t="s">
        <v>417</v>
      </c>
      <c r="K217" s="328" t="s">
        <v>10</v>
      </c>
      <c r="L217" s="544" t="s">
        <v>339</v>
      </c>
      <c r="U217" s="369"/>
    </row>
    <row r="218" spans="1:21" hidden="1" x14ac:dyDescent="0.25">
      <c r="A218" s="117"/>
      <c r="B218" s="116"/>
      <c r="C218" s="311" t="str">
        <f>C215</f>
        <v>Av. Dona Verde</v>
      </c>
      <c r="D218" s="116"/>
      <c r="E218" s="116">
        <v>0.06</v>
      </c>
      <c r="F218" s="329">
        <v>813.57</v>
      </c>
      <c r="G218" s="329"/>
      <c r="H218" s="329"/>
      <c r="I218" s="329"/>
      <c r="J218" s="421">
        <f>J216</f>
        <v>201.96</v>
      </c>
      <c r="K218" s="330">
        <f>ROUND(E218*(F218-J218),2)</f>
        <v>36.700000000000003</v>
      </c>
      <c r="L218" s="545"/>
    </row>
    <row r="219" spans="1:21" ht="13.8" hidden="1" thickBot="1" x14ac:dyDescent="0.3">
      <c r="A219" s="528"/>
      <c r="B219" s="529"/>
      <c r="C219" s="530"/>
      <c r="D219" s="119"/>
      <c r="E219" s="119"/>
      <c r="F219" s="331"/>
      <c r="G219" s="331"/>
      <c r="H219" s="332"/>
      <c r="I219" s="333"/>
      <c r="J219" s="333">
        <f>SUM(K218:K218)</f>
        <v>36.700000000000003</v>
      </c>
      <c r="K219" s="334" t="str">
        <f>D217</f>
        <v>m³</v>
      </c>
      <c r="L219" s="546"/>
    </row>
    <row r="220" spans="1:21" customFormat="1" ht="20.399999999999999" hidden="1" x14ac:dyDescent="0.3">
      <c r="A220" s="123">
        <v>94319</v>
      </c>
      <c r="B220" s="120" t="s">
        <v>107</v>
      </c>
      <c r="C220" s="122" t="s">
        <v>340</v>
      </c>
      <c r="D220" s="312" t="s">
        <v>341</v>
      </c>
      <c r="E220" s="335" t="s">
        <v>337</v>
      </c>
      <c r="F220" s="337" t="s">
        <v>116</v>
      </c>
      <c r="G220" s="337" t="s">
        <v>115</v>
      </c>
      <c r="H220" s="335" t="s">
        <v>114</v>
      </c>
      <c r="I220" s="326" t="s">
        <v>288</v>
      </c>
      <c r="J220" s="326" t="s">
        <v>305</v>
      </c>
      <c r="K220" s="328" t="s">
        <v>10</v>
      </c>
      <c r="L220" s="544"/>
      <c r="U220" s="369"/>
    </row>
    <row r="221" spans="1:21" hidden="1" x14ac:dyDescent="0.25">
      <c r="A221" s="117"/>
      <c r="B221" s="116"/>
      <c r="C221" s="311" t="str">
        <f>C218</f>
        <v>Av. Dona Verde</v>
      </c>
      <c r="D221" s="116"/>
      <c r="E221" s="418">
        <f>F218</f>
        <v>813.57</v>
      </c>
      <c r="F221" s="329"/>
      <c r="G221" s="329"/>
      <c r="H221" s="329">
        <v>0.09</v>
      </c>
      <c r="I221" s="329"/>
      <c r="J221" s="329"/>
      <c r="K221" s="330">
        <f>ROUND(E221*H221,2)</f>
        <v>73.22</v>
      </c>
      <c r="L221" s="545"/>
    </row>
    <row r="222" spans="1:21" ht="13.8" hidden="1" thickBot="1" x14ac:dyDescent="0.3">
      <c r="A222" s="528"/>
      <c r="B222" s="529"/>
      <c r="C222" s="530"/>
      <c r="D222" s="119"/>
      <c r="E222" s="119"/>
      <c r="F222" s="331"/>
      <c r="G222" s="331"/>
      <c r="H222" s="332"/>
      <c r="I222" s="333"/>
      <c r="J222" s="333">
        <f>SUM(K221:K221)</f>
        <v>73.22</v>
      </c>
      <c r="K222" s="334" t="str">
        <f>D220</f>
        <v>m3</v>
      </c>
      <c r="L222" s="546"/>
    </row>
    <row r="223" spans="1:21" ht="13.8" hidden="1" thickBot="1" x14ac:dyDescent="0.3">
      <c r="A223" s="531" t="s">
        <v>285</v>
      </c>
      <c r="B223" s="532"/>
      <c r="C223" s="532"/>
      <c r="D223" s="532"/>
      <c r="E223" s="532"/>
      <c r="F223" s="532"/>
      <c r="G223" s="532"/>
      <c r="H223" s="532"/>
      <c r="I223" s="532"/>
      <c r="J223" s="532"/>
      <c r="K223" s="532"/>
      <c r="L223" s="533"/>
    </row>
    <row r="224" spans="1:21" ht="36" hidden="1" customHeight="1" x14ac:dyDescent="0.25">
      <c r="A224" s="365">
        <v>98525</v>
      </c>
      <c r="B224" s="366" t="s">
        <v>107</v>
      </c>
      <c r="C224" s="367" t="s">
        <v>350</v>
      </c>
      <c r="D224" s="368" t="s">
        <v>205</v>
      </c>
      <c r="E224" s="422" t="s">
        <v>118</v>
      </c>
      <c r="F224" s="423" t="s">
        <v>254</v>
      </c>
      <c r="G224" s="424" t="s">
        <v>116</v>
      </c>
      <c r="H224" s="424" t="s">
        <v>115</v>
      </c>
      <c r="I224" s="424" t="s">
        <v>256</v>
      </c>
      <c r="J224" s="424"/>
      <c r="K224" s="425" t="s">
        <v>10</v>
      </c>
      <c r="L224" s="534"/>
    </row>
    <row r="225" spans="1:13" hidden="1" x14ac:dyDescent="0.25">
      <c r="A225" s="426"/>
      <c r="B225" s="427"/>
      <c r="C225" s="428" t="str">
        <f>C221</f>
        <v>Av. Dona Verde</v>
      </c>
      <c r="D225" s="427"/>
      <c r="E225" s="427">
        <v>2</v>
      </c>
      <c r="F225" s="429"/>
      <c r="G225" s="429">
        <v>10</v>
      </c>
      <c r="H225" s="429">
        <f>F329</f>
        <v>37.770000000000003</v>
      </c>
      <c r="I225" s="429"/>
      <c r="J225" s="429"/>
      <c r="K225" s="430">
        <f>ROUND(E225*G225*H225,2)</f>
        <v>755.4</v>
      </c>
      <c r="L225" s="535"/>
    </row>
    <row r="226" spans="1:13" ht="13.8" hidden="1" thickBot="1" x14ac:dyDescent="0.3">
      <c r="A226" s="563"/>
      <c r="B226" s="564"/>
      <c r="C226" s="565"/>
      <c r="D226" s="431"/>
      <c r="E226" s="431"/>
      <c r="F226" s="432"/>
      <c r="G226" s="432"/>
      <c r="H226" s="433"/>
      <c r="I226" s="434"/>
      <c r="J226" s="434">
        <f>SUM(K225:K225)</f>
        <v>755.4</v>
      </c>
      <c r="K226" s="435" t="str">
        <f>D224</f>
        <v>m²</v>
      </c>
      <c r="L226" s="536"/>
    </row>
    <row r="227" spans="1:13" customFormat="1" ht="40.799999999999997" hidden="1" x14ac:dyDescent="0.3">
      <c r="A227" s="120" t="s">
        <v>431</v>
      </c>
      <c r="B227" s="120" t="s">
        <v>107</v>
      </c>
      <c r="C227" s="122" t="s">
        <v>432</v>
      </c>
      <c r="D227" s="363" t="s">
        <v>207</v>
      </c>
      <c r="E227" s="121" t="s">
        <v>118</v>
      </c>
      <c r="F227" s="121" t="s">
        <v>117</v>
      </c>
      <c r="G227" s="335" t="s">
        <v>116</v>
      </c>
      <c r="H227" s="326" t="s">
        <v>115</v>
      </c>
      <c r="I227" s="335" t="s">
        <v>433</v>
      </c>
      <c r="J227" s="326" t="s">
        <v>113</v>
      </c>
      <c r="K227" s="328" t="s">
        <v>10</v>
      </c>
      <c r="L227" s="547" t="s">
        <v>434</v>
      </c>
    </row>
    <row r="228" spans="1:13" customFormat="1" ht="14.4" hidden="1" x14ac:dyDescent="0.3">
      <c r="A228" s="117"/>
      <c r="B228" s="116"/>
      <c r="C228" s="383" t="s">
        <v>406</v>
      </c>
      <c r="D228" s="116"/>
      <c r="E228" s="418"/>
      <c r="F228" s="116"/>
      <c r="G228" s="329"/>
      <c r="H228" s="329"/>
      <c r="I228" s="329"/>
      <c r="J228" s="329"/>
      <c r="K228" s="430">
        <f>SUM(K229:K263)</f>
        <v>912.67</v>
      </c>
      <c r="L228" s="551"/>
    </row>
    <row r="229" spans="1:13" customFormat="1" ht="14.4" hidden="1" x14ac:dyDescent="0.3">
      <c r="A229" s="117"/>
      <c r="B229" s="116"/>
      <c r="C229" s="311" t="s">
        <v>435</v>
      </c>
      <c r="D229" s="116"/>
      <c r="E229" s="418"/>
      <c r="F229" s="116"/>
      <c r="G229" s="329">
        <v>0.3</v>
      </c>
      <c r="H229" s="329">
        <v>7</v>
      </c>
      <c r="I229" s="329">
        <v>1.3</v>
      </c>
      <c r="J229" s="329"/>
      <c r="K229" s="442">
        <f>ROUND(G229*H229*I229,2)</f>
        <v>2.73</v>
      </c>
      <c r="L229" s="551"/>
    </row>
    <row r="230" spans="1:13" customFormat="1" ht="14.4" hidden="1" x14ac:dyDescent="0.3">
      <c r="A230" s="117"/>
      <c r="B230" s="116"/>
      <c r="C230" s="311" t="s">
        <v>436</v>
      </c>
      <c r="D230" s="116"/>
      <c r="E230" s="418"/>
      <c r="F230" s="116"/>
      <c r="G230" s="329">
        <v>1.4</v>
      </c>
      <c r="H230" s="329">
        <v>1.4</v>
      </c>
      <c r="I230" s="329">
        <v>2.2000000000000002</v>
      </c>
      <c r="J230" s="329"/>
      <c r="K230" s="442">
        <f>ROUND(G230*H230*I230,2)</f>
        <v>4.3099999999999996</v>
      </c>
      <c r="L230" s="552"/>
    </row>
    <row r="231" spans="1:13" customFormat="1" ht="14.4" hidden="1" x14ac:dyDescent="0.3">
      <c r="A231" s="117"/>
      <c r="B231" s="116"/>
      <c r="C231" s="311" t="s">
        <v>437</v>
      </c>
      <c r="D231" s="116"/>
      <c r="E231" s="418"/>
      <c r="F231" s="116"/>
      <c r="G231" s="329">
        <f>G230</f>
        <v>1.4</v>
      </c>
      <c r="H231" s="329">
        <f>H230</f>
        <v>1.4</v>
      </c>
      <c r="I231" s="329">
        <v>2.2000000000000002</v>
      </c>
      <c r="J231" s="329"/>
      <c r="K231" s="442">
        <f t="shared" ref="K231:K232" si="32">ROUND(G231*H231*I231,2)</f>
        <v>4.3099999999999996</v>
      </c>
      <c r="L231" s="552"/>
      <c r="M231" s="440"/>
    </row>
    <row r="232" spans="1:13" customFormat="1" ht="14.4" hidden="1" x14ac:dyDescent="0.3">
      <c r="A232" s="117"/>
      <c r="B232" s="116"/>
      <c r="C232" s="311" t="s">
        <v>438</v>
      </c>
      <c r="D232" s="116"/>
      <c r="E232" s="418"/>
      <c r="F232" s="116"/>
      <c r="G232" s="329">
        <f>G231</f>
        <v>1.4</v>
      </c>
      <c r="H232" s="329">
        <f>H231</f>
        <v>1.4</v>
      </c>
      <c r="I232" s="329">
        <v>2.2000000000000002</v>
      </c>
      <c r="J232" s="329"/>
      <c r="K232" s="442">
        <f t="shared" si="32"/>
        <v>4.3099999999999996</v>
      </c>
      <c r="L232" s="552"/>
    </row>
    <row r="233" spans="1:13" customFormat="1" ht="14.4" hidden="1" x14ac:dyDescent="0.3">
      <c r="A233" s="117"/>
      <c r="B233" s="116"/>
      <c r="C233" s="311" t="s">
        <v>439</v>
      </c>
      <c r="D233" s="116"/>
      <c r="E233" s="418"/>
      <c r="F233" s="116"/>
      <c r="G233" s="329">
        <f t="shared" ref="G233:G239" si="33">G232</f>
        <v>1.4</v>
      </c>
      <c r="H233" s="329">
        <f t="shared" ref="H233:H239" si="34">H232</f>
        <v>1.4</v>
      </c>
      <c r="I233" s="329">
        <v>2.4</v>
      </c>
      <c r="J233" s="329"/>
      <c r="K233" s="442">
        <f>ROUND(G233*H233*I233,2)</f>
        <v>4.7</v>
      </c>
      <c r="L233" s="552"/>
    </row>
    <row r="234" spans="1:13" customFormat="1" ht="14.4" hidden="1" x14ac:dyDescent="0.3">
      <c r="A234" s="117"/>
      <c r="B234" s="116"/>
      <c r="C234" s="311" t="s">
        <v>440</v>
      </c>
      <c r="D234" s="116"/>
      <c r="E234" s="418"/>
      <c r="F234" s="116"/>
      <c r="G234" s="329">
        <f t="shared" si="33"/>
        <v>1.4</v>
      </c>
      <c r="H234" s="329">
        <f t="shared" si="34"/>
        <v>1.4</v>
      </c>
      <c r="I234" s="329">
        <v>3.4</v>
      </c>
      <c r="J234" s="329"/>
      <c r="K234" s="442">
        <f t="shared" ref="K234:K235" si="35">ROUND(G234*H234*I234,2)</f>
        <v>6.66</v>
      </c>
      <c r="L234" s="552"/>
    </row>
    <row r="235" spans="1:13" customFormat="1" ht="14.4" hidden="1" x14ac:dyDescent="0.3">
      <c r="A235" s="117"/>
      <c r="B235" s="116"/>
      <c r="C235" s="311" t="s">
        <v>441</v>
      </c>
      <c r="D235" s="116"/>
      <c r="E235" s="418"/>
      <c r="F235" s="116"/>
      <c r="G235" s="329">
        <f t="shared" si="33"/>
        <v>1.4</v>
      </c>
      <c r="H235" s="329">
        <f t="shared" si="34"/>
        <v>1.4</v>
      </c>
      <c r="I235" s="329">
        <v>3.9</v>
      </c>
      <c r="J235" s="329"/>
      <c r="K235" s="442">
        <f t="shared" si="35"/>
        <v>7.64</v>
      </c>
      <c r="L235" s="552"/>
    </row>
    <row r="236" spans="1:13" customFormat="1" ht="14.4" hidden="1" x14ac:dyDescent="0.3">
      <c r="A236" s="117"/>
      <c r="B236" s="116"/>
      <c r="C236" s="311" t="s">
        <v>442</v>
      </c>
      <c r="D236" s="116"/>
      <c r="E236" s="418"/>
      <c r="F236" s="116"/>
      <c r="G236" s="329">
        <f t="shared" si="33"/>
        <v>1.4</v>
      </c>
      <c r="H236" s="329">
        <f t="shared" si="34"/>
        <v>1.4</v>
      </c>
      <c r="I236" s="329">
        <v>2.9</v>
      </c>
      <c r="J236" s="329"/>
      <c r="K236" s="442">
        <f>ROUND(G236*H236*I236,2)</f>
        <v>5.68</v>
      </c>
      <c r="L236" s="552"/>
    </row>
    <row r="237" spans="1:13" customFormat="1" ht="14.4" hidden="1" x14ac:dyDescent="0.3">
      <c r="A237" s="117"/>
      <c r="B237" s="116"/>
      <c r="C237" s="311" t="s">
        <v>443</v>
      </c>
      <c r="D237" s="116"/>
      <c r="E237" s="418"/>
      <c r="F237" s="116"/>
      <c r="G237" s="329">
        <f t="shared" si="33"/>
        <v>1.4</v>
      </c>
      <c r="H237" s="329">
        <f t="shared" si="34"/>
        <v>1.4</v>
      </c>
      <c r="I237" s="329">
        <v>2.2000000000000002</v>
      </c>
      <c r="J237" s="329"/>
      <c r="K237" s="442">
        <f t="shared" ref="K237:K239" si="36">ROUND(G237*H237*I237,2)</f>
        <v>4.3099999999999996</v>
      </c>
      <c r="L237" s="552"/>
    </row>
    <row r="238" spans="1:13" customFormat="1" ht="14.4" hidden="1" x14ac:dyDescent="0.3">
      <c r="A238" s="117"/>
      <c r="B238" s="116"/>
      <c r="C238" s="311" t="s">
        <v>444</v>
      </c>
      <c r="D238" s="116"/>
      <c r="E238" s="418"/>
      <c r="F238" s="116"/>
      <c r="G238" s="329">
        <f t="shared" si="33"/>
        <v>1.4</v>
      </c>
      <c r="H238" s="329">
        <f t="shared" si="34"/>
        <v>1.4</v>
      </c>
      <c r="I238" s="329">
        <v>2.2000000000000002</v>
      </c>
      <c r="J238" s="329"/>
      <c r="K238" s="442">
        <f t="shared" si="36"/>
        <v>4.3099999999999996</v>
      </c>
      <c r="L238" s="552"/>
    </row>
    <row r="239" spans="1:13" customFormat="1" ht="14.4" hidden="1" x14ac:dyDescent="0.3">
      <c r="A239" s="117"/>
      <c r="B239" s="116"/>
      <c r="C239" s="311" t="s">
        <v>445</v>
      </c>
      <c r="D239" s="116"/>
      <c r="E239" s="418"/>
      <c r="F239" s="116"/>
      <c r="G239" s="329">
        <f t="shared" si="33"/>
        <v>1.4</v>
      </c>
      <c r="H239" s="329">
        <f t="shared" si="34"/>
        <v>1.4</v>
      </c>
      <c r="I239" s="329">
        <v>4.2</v>
      </c>
      <c r="J239" s="329"/>
      <c r="K239" s="442">
        <f t="shared" si="36"/>
        <v>8.23</v>
      </c>
      <c r="L239" s="552"/>
    </row>
    <row r="240" spans="1:13" customFormat="1" ht="14.4" hidden="1" x14ac:dyDescent="0.3">
      <c r="A240" s="117"/>
      <c r="B240" s="116"/>
      <c r="C240" s="311" t="s">
        <v>467</v>
      </c>
      <c r="D240" s="116"/>
      <c r="E240" s="418"/>
      <c r="F240" s="116"/>
      <c r="G240" s="329">
        <v>0.6</v>
      </c>
      <c r="H240" s="329">
        <v>1</v>
      </c>
      <c r="I240" s="329">
        <v>1.2</v>
      </c>
      <c r="J240" s="329"/>
      <c r="K240" s="442">
        <f>ROUND(G240*H240*I240,2)</f>
        <v>0.72</v>
      </c>
      <c r="L240" s="552"/>
    </row>
    <row r="241" spans="1:12" customFormat="1" ht="14.4" hidden="1" x14ac:dyDescent="0.3">
      <c r="A241" s="117"/>
      <c r="B241" s="116"/>
      <c r="C241" s="311" t="s">
        <v>468</v>
      </c>
      <c r="D241" s="116"/>
      <c r="E241" s="418"/>
      <c r="F241" s="116"/>
      <c r="G241" s="329">
        <f>G240</f>
        <v>0.6</v>
      </c>
      <c r="H241" s="329">
        <f>H240</f>
        <v>1</v>
      </c>
      <c r="I241" s="329">
        <f>I240</f>
        <v>1.2</v>
      </c>
      <c r="J241" s="329"/>
      <c r="K241" s="442">
        <f t="shared" ref="K241" si="37">ROUND(G241*H241*I241,2)</f>
        <v>0.72</v>
      </c>
      <c r="L241" s="552"/>
    </row>
    <row r="242" spans="1:12" customFormat="1" ht="14.4" hidden="1" x14ac:dyDescent="0.3">
      <c r="A242" s="117"/>
      <c r="B242" s="116"/>
      <c r="C242" s="311" t="s">
        <v>469</v>
      </c>
      <c r="D242" s="116"/>
      <c r="E242" s="418"/>
      <c r="F242" s="116"/>
      <c r="G242" s="329">
        <f t="shared" ref="G242:G249" si="38">G241</f>
        <v>0.6</v>
      </c>
      <c r="H242" s="329">
        <f t="shared" ref="H242:H249" si="39">H241</f>
        <v>1</v>
      </c>
      <c r="I242" s="329">
        <f t="shared" ref="I242:I249" si="40">I241</f>
        <v>1.2</v>
      </c>
      <c r="J242" s="329"/>
      <c r="K242" s="442">
        <f t="shared" ref="K242" si="41">ROUND(G242*H242*I242,2)</f>
        <v>0.72</v>
      </c>
      <c r="L242" s="552"/>
    </row>
    <row r="243" spans="1:12" customFormat="1" ht="14.4" hidden="1" x14ac:dyDescent="0.3">
      <c r="A243" s="117"/>
      <c r="B243" s="116"/>
      <c r="C243" s="311" t="s">
        <v>470</v>
      </c>
      <c r="D243" s="116"/>
      <c r="E243" s="418"/>
      <c r="F243" s="116"/>
      <c r="G243" s="329">
        <f t="shared" si="38"/>
        <v>0.6</v>
      </c>
      <c r="H243" s="329">
        <f t="shared" si="39"/>
        <v>1</v>
      </c>
      <c r="I243" s="329">
        <f t="shared" si="40"/>
        <v>1.2</v>
      </c>
      <c r="J243" s="329"/>
      <c r="K243" s="442">
        <f t="shared" ref="K243:K246" si="42">ROUND(G243*H243*I243,2)</f>
        <v>0.72</v>
      </c>
      <c r="L243" s="552"/>
    </row>
    <row r="244" spans="1:12" customFormat="1" ht="14.4" hidden="1" x14ac:dyDescent="0.3">
      <c r="A244" s="117"/>
      <c r="B244" s="116"/>
      <c r="C244" s="311" t="s">
        <v>471</v>
      </c>
      <c r="D244" s="116"/>
      <c r="E244" s="418"/>
      <c r="F244" s="116"/>
      <c r="G244" s="329">
        <f t="shared" si="38"/>
        <v>0.6</v>
      </c>
      <c r="H244" s="329">
        <f t="shared" si="39"/>
        <v>1</v>
      </c>
      <c r="I244" s="329">
        <f t="shared" si="40"/>
        <v>1.2</v>
      </c>
      <c r="J244" s="329"/>
      <c r="K244" s="442">
        <f t="shared" si="42"/>
        <v>0.72</v>
      </c>
      <c r="L244" s="552"/>
    </row>
    <row r="245" spans="1:12" customFormat="1" ht="14.4" hidden="1" x14ac:dyDescent="0.3">
      <c r="A245" s="117"/>
      <c r="B245" s="116"/>
      <c r="C245" s="311" t="s">
        <v>472</v>
      </c>
      <c r="D245" s="116"/>
      <c r="E245" s="418"/>
      <c r="F245" s="116"/>
      <c r="G245" s="329">
        <f t="shared" si="38"/>
        <v>0.6</v>
      </c>
      <c r="H245" s="329">
        <f t="shared" si="39"/>
        <v>1</v>
      </c>
      <c r="I245" s="329">
        <f t="shared" si="40"/>
        <v>1.2</v>
      </c>
      <c r="J245" s="329"/>
      <c r="K245" s="442">
        <f t="shared" si="42"/>
        <v>0.72</v>
      </c>
      <c r="L245" s="552"/>
    </row>
    <row r="246" spans="1:12" customFormat="1" ht="14.4" hidden="1" x14ac:dyDescent="0.3">
      <c r="A246" s="117"/>
      <c r="B246" s="116"/>
      <c r="C246" s="311" t="s">
        <v>473</v>
      </c>
      <c r="D246" s="116"/>
      <c r="E246" s="418"/>
      <c r="F246" s="116"/>
      <c r="G246" s="329">
        <f t="shared" si="38"/>
        <v>0.6</v>
      </c>
      <c r="H246" s="329">
        <f t="shared" si="39"/>
        <v>1</v>
      </c>
      <c r="I246" s="329">
        <f t="shared" si="40"/>
        <v>1.2</v>
      </c>
      <c r="J246" s="329"/>
      <c r="K246" s="442">
        <f t="shared" si="42"/>
        <v>0.72</v>
      </c>
      <c r="L246" s="552"/>
    </row>
    <row r="247" spans="1:12" customFormat="1" ht="14.4" hidden="1" x14ac:dyDescent="0.3">
      <c r="A247" s="117"/>
      <c r="B247" s="116"/>
      <c r="C247" s="311" t="s">
        <v>474</v>
      </c>
      <c r="D247" s="116"/>
      <c r="E247" s="418"/>
      <c r="F247" s="116"/>
      <c r="G247" s="329">
        <f t="shared" si="38"/>
        <v>0.6</v>
      </c>
      <c r="H247" s="329">
        <f t="shared" si="39"/>
        <v>1</v>
      </c>
      <c r="I247" s="329">
        <f t="shared" si="40"/>
        <v>1.2</v>
      </c>
      <c r="J247" s="329"/>
      <c r="K247" s="442">
        <f t="shared" ref="K247:K248" si="43">ROUND(G247*H247*I247,2)</f>
        <v>0.72</v>
      </c>
      <c r="L247" s="552"/>
    </row>
    <row r="248" spans="1:12" customFormat="1" ht="14.4" hidden="1" x14ac:dyDescent="0.3">
      <c r="A248" s="117"/>
      <c r="B248" s="116"/>
      <c r="C248" s="311" t="s">
        <v>475</v>
      </c>
      <c r="D248" s="116"/>
      <c r="E248" s="418"/>
      <c r="F248" s="116"/>
      <c r="G248" s="329">
        <f t="shared" si="38"/>
        <v>0.6</v>
      </c>
      <c r="H248" s="329">
        <f t="shared" si="39"/>
        <v>1</v>
      </c>
      <c r="I248" s="329">
        <f t="shared" si="40"/>
        <v>1.2</v>
      </c>
      <c r="J248" s="329"/>
      <c r="K248" s="442">
        <f t="shared" si="43"/>
        <v>0.72</v>
      </c>
      <c r="L248" s="552"/>
    </row>
    <row r="249" spans="1:12" customFormat="1" ht="14.4" hidden="1" x14ac:dyDescent="0.3">
      <c r="A249" s="117"/>
      <c r="B249" s="116"/>
      <c r="C249" s="311" t="s">
        <v>476</v>
      </c>
      <c r="D249" s="116"/>
      <c r="E249" s="418"/>
      <c r="F249" s="116"/>
      <c r="G249" s="329">
        <f t="shared" si="38"/>
        <v>0.6</v>
      </c>
      <c r="H249" s="329">
        <f t="shared" si="39"/>
        <v>1</v>
      </c>
      <c r="I249" s="329">
        <f t="shared" si="40"/>
        <v>1.2</v>
      </c>
      <c r="J249" s="329"/>
      <c r="K249" s="442">
        <f t="shared" ref="K249" si="44">ROUND(G249*H249*I249,2)</f>
        <v>0.72</v>
      </c>
      <c r="L249" s="552"/>
    </row>
    <row r="250" spans="1:12" customFormat="1" ht="14.4" hidden="1" x14ac:dyDescent="0.3">
      <c r="A250" s="117"/>
      <c r="B250" s="116"/>
      <c r="C250" s="311" t="s">
        <v>466</v>
      </c>
      <c r="D250" s="116"/>
      <c r="E250" s="418"/>
      <c r="F250" s="116"/>
      <c r="G250" s="329">
        <v>0.6</v>
      </c>
      <c r="H250" s="329">
        <v>12.8</v>
      </c>
      <c r="I250" s="329">
        <f>ROUND(I229+I231,2)/2</f>
        <v>1.75</v>
      </c>
      <c r="J250" s="329"/>
      <c r="K250" s="442">
        <f>ROUND(G250*H250*I250,2)</f>
        <v>13.44</v>
      </c>
      <c r="L250" s="552"/>
    </row>
    <row r="251" spans="1:12" customFormat="1" ht="14.4" hidden="1" x14ac:dyDescent="0.3">
      <c r="A251" s="117"/>
      <c r="B251" s="116"/>
      <c r="C251" s="311" t="s">
        <v>446</v>
      </c>
      <c r="D251" s="116"/>
      <c r="E251" s="418"/>
      <c r="F251" s="116"/>
      <c r="G251" s="329">
        <v>1</v>
      </c>
      <c r="H251" s="329">
        <v>13.48</v>
      </c>
      <c r="I251" s="329">
        <f t="shared" ref="I251:I258" si="45">ROUND(I230+I231,2)/2</f>
        <v>2.2000000000000002</v>
      </c>
      <c r="J251" s="329"/>
      <c r="K251" s="442">
        <f>ROUND(G251*H251*I251,2)</f>
        <v>29.66</v>
      </c>
      <c r="L251" s="552"/>
    </row>
    <row r="252" spans="1:12" customFormat="1" ht="14.4" hidden="1" x14ac:dyDescent="0.3">
      <c r="A252" s="117"/>
      <c r="B252" s="116"/>
      <c r="C252" s="311" t="s">
        <v>447</v>
      </c>
      <c r="D252" s="116"/>
      <c r="E252" s="418"/>
      <c r="F252" s="116"/>
      <c r="G252" s="329">
        <f>G251</f>
        <v>1</v>
      </c>
      <c r="H252" s="329">
        <v>40</v>
      </c>
      <c r="I252" s="329">
        <f t="shared" si="45"/>
        <v>2.2000000000000002</v>
      </c>
      <c r="J252" s="329"/>
      <c r="K252" s="442">
        <f t="shared" ref="K252:K259" si="46">ROUND(G252*H252*I252,2)</f>
        <v>88</v>
      </c>
      <c r="L252" s="552"/>
    </row>
    <row r="253" spans="1:12" customFormat="1" ht="14.4" hidden="1" x14ac:dyDescent="0.3">
      <c r="A253" s="117"/>
      <c r="B253" s="116"/>
      <c r="C253" s="311" t="s">
        <v>448</v>
      </c>
      <c r="D253" s="116"/>
      <c r="E253" s="418"/>
      <c r="F253" s="116"/>
      <c r="G253" s="329">
        <f t="shared" ref="G253:G258" si="47">G252</f>
        <v>1</v>
      </c>
      <c r="H253" s="329">
        <v>44.89</v>
      </c>
      <c r="I253" s="329">
        <f t="shared" si="45"/>
        <v>2.2999999999999998</v>
      </c>
      <c r="J253" s="329"/>
      <c r="K253" s="442">
        <f t="shared" si="46"/>
        <v>103.25</v>
      </c>
      <c r="L253" s="552"/>
    </row>
    <row r="254" spans="1:12" customFormat="1" ht="14.4" hidden="1" x14ac:dyDescent="0.3">
      <c r="A254" s="117"/>
      <c r="B254" s="116"/>
      <c r="C254" s="311" t="s">
        <v>449</v>
      </c>
      <c r="D254" s="116"/>
      <c r="E254" s="418"/>
      <c r="F254" s="116"/>
      <c r="G254" s="329">
        <f t="shared" si="47"/>
        <v>1</v>
      </c>
      <c r="H254" s="329">
        <v>15.11</v>
      </c>
      <c r="I254" s="329">
        <f t="shared" si="45"/>
        <v>2.9</v>
      </c>
      <c r="J254" s="329"/>
      <c r="K254" s="442">
        <f t="shared" si="46"/>
        <v>43.82</v>
      </c>
      <c r="L254" s="552"/>
    </row>
    <row r="255" spans="1:12" customFormat="1" ht="14.4" hidden="1" x14ac:dyDescent="0.3">
      <c r="A255" s="117"/>
      <c r="B255" s="116"/>
      <c r="C255" s="311" t="s">
        <v>450</v>
      </c>
      <c r="D255" s="116"/>
      <c r="E255" s="418"/>
      <c r="F255" s="116"/>
      <c r="G255" s="329">
        <f t="shared" si="47"/>
        <v>1</v>
      </c>
      <c r="H255" s="329">
        <v>40</v>
      </c>
      <c r="I255" s="329">
        <f t="shared" si="45"/>
        <v>3.65</v>
      </c>
      <c r="J255" s="329"/>
      <c r="K255" s="442">
        <f t="shared" si="46"/>
        <v>146</v>
      </c>
      <c r="L255" s="552"/>
    </row>
    <row r="256" spans="1:12" customFormat="1" ht="14.4" hidden="1" x14ac:dyDescent="0.3">
      <c r="A256" s="117"/>
      <c r="B256" s="116"/>
      <c r="C256" s="311" t="s">
        <v>451</v>
      </c>
      <c r="D256" s="116"/>
      <c r="E256" s="418"/>
      <c r="F256" s="116"/>
      <c r="G256" s="329">
        <f t="shared" si="47"/>
        <v>1</v>
      </c>
      <c r="H256" s="329">
        <v>49.72</v>
      </c>
      <c r="I256" s="329">
        <f t="shared" si="45"/>
        <v>3.4</v>
      </c>
      <c r="J256" s="329"/>
      <c r="K256" s="442">
        <f t="shared" si="46"/>
        <v>169.05</v>
      </c>
      <c r="L256" s="552"/>
    </row>
    <row r="257" spans="1:12" customFormat="1" ht="14.4" hidden="1" x14ac:dyDescent="0.3">
      <c r="A257" s="117"/>
      <c r="B257" s="116"/>
      <c r="C257" s="311" t="s">
        <v>452</v>
      </c>
      <c r="D257" s="116"/>
      <c r="E257" s="418"/>
      <c r="F257" s="116"/>
      <c r="G257" s="329">
        <f t="shared" si="47"/>
        <v>1</v>
      </c>
      <c r="H257" s="329">
        <v>40</v>
      </c>
      <c r="I257" s="329">
        <f t="shared" si="45"/>
        <v>2.5499999999999998</v>
      </c>
      <c r="J257" s="329"/>
      <c r="K257" s="442">
        <f t="shared" si="46"/>
        <v>102</v>
      </c>
      <c r="L257" s="552"/>
    </row>
    <row r="258" spans="1:12" customFormat="1" ht="14.4" hidden="1" x14ac:dyDescent="0.3">
      <c r="A258" s="117"/>
      <c r="B258" s="116"/>
      <c r="C258" s="311" t="s">
        <v>453</v>
      </c>
      <c r="D258" s="116"/>
      <c r="E258" s="418"/>
      <c r="F258" s="116"/>
      <c r="G258" s="329">
        <f t="shared" si="47"/>
        <v>1</v>
      </c>
      <c r="H258" s="329">
        <v>45</v>
      </c>
      <c r="I258" s="329">
        <f t="shared" si="45"/>
        <v>2.2000000000000002</v>
      </c>
      <c r="J258" s="329"/>
      <c r="K258" s="442">
        <f t="shared" si="46"/>
        <v>99</v>
      </c>
      <c r="L258" s="552"/>
    </row>
    <row r="259" spans="1:12" customFormat="1" ht="14.4" hidden="1" x14ac:dyDescent="0.3">
      <c r="A259" s="117"/>
      <c r="B259" s="116"/>
      <c r="C259" s="311" t="s">
        <v>477</v>
      </c>
      <c r="D259" s="116"/>
      <c r="E259" s="418"/>
      <c r="F259" s="116"/>
      <c r="G259" s="329">
        <f>G250</f>
        <v>0.6</v>
      </c>
      <c r="H259" s="329">
        <f>ROUND(6.83+8.41,2)</f>
        <v>15.24</v>
      </c>
      <c r="I259" s="329">
        <f>ROUND((H259*0.01)+I240,2)</f>
        <v>1.35</v>
      </c>
      <c r="J259" s="329"/>
      <c r="K259" s="442">
        <f t="shared" si="46"/>
        <v>12.34</v>
      </c>
      <c r="L259" s="552"/>
    </row>
    <row r="260" spans="1:12" customFormat="1" ht="14.4" hidden="1" x14ac:dyDescent="0.3">
      <c r="A260" s="117"/>
      <c r="B260" s="116"/>
      <c r="C260" s="311" t="s">
        <v>478</v>
      </c>
      <c r="D260" s="116"/>
      <c r="E260" s="418"/>
      <c r="F260" s="116"/>
      <c r="G260" s="329">
        <f>G259</f>
        <v>0.6</v>
      </c>
      <c r="H260" s="329">
        <f>ROUND(3.65+5.46,2)</f>
        <v>9.11</v>
      </c>
      <c r="I260" s="329">
        <f t="shared" ref="I260:I263" si="48">ROUND((H260*0.01)+I241,2)</f>
        <v>1.29</v>
      </c>
      <c r="J260" s="329"/>
      <c r="K260" s="442">
        <f t="shared" ref="K260" si="49">ROUND(G260*H260*I260,2)</f>
        <v>7.05</v>
      </c>
      <c r="L260" s="552"/>
    </row>
    <row r="261" spans="1:12" customFormat="1" ht="14.4" hidden="1" x14ac:dyDescent="0.3">
      <c r="A261" s="117"/>
      <c r="B261" s="116"/>
      <c r="C261" s="311" t="s">
        <v>479</v>
      </c>
      <c r="D261" s="116"/>
      <c r="E261" s="418"/>
      <c r="F261" s="116"/>
      <c r="G261" s="329">
        <f t="shared" ref="G261:G263" si="50">G260</f>
        <v>0.6</v>
      </c>
      <c r="H261" s="329">
        <f>ROUND(6.85+6.1,2)</f>
        <v>12.95</v>
      </c>
      <c r="I261" s="329">
        <f t="shared" si="48"/>
        <v>1.33</v>
      </c>
      <c r="J261" s="329"/>
      <c r="K261" s="442">
        <f t="shared" ref="K261" si="51">ROUND(G261*H261*I261,2)</f>
        <v>10.33</v>
      </c>
      <c r="L261" s="552"/>
    </row>
    <row r="262" spans="1:12" customFormat="1" ht="14.4" hidden="1" x14ac:dyDescent="0.3">
      <c r="A262" s="117"/>
      <c r="B262" s="116"/>
      <c r="C262" s="311" t="s">
        <v>480</v>
      </c>
      <c r="D262" s="116"/>
      <c r="E262" s="418"/>
      <c r="F262" s="116"/>
      <c r="G262" s="329">
        <f t="shared" si="50"/>
        <v>0.6</v>
      </c>
      <c r="H262" s="329">
        <f>ROUND(7.76+6.81,2)</f>
        <v>14.57</v>
      </c>
      <c r="I262" s="329">
        <f t="shared" si="48"/>
        <v>1.35</v>
      </c>
      <c r="J262" s="329"/>
      <c r="K262" s="442">
        <f t="shared" ref="K262" si="52">ROUND(G262*H262*I262,2)</f>
        <v>11.8</v>
      </c>
      <c r="L262" s="552"/>
    </row>
    <row r="263" spans="1:12" customFormat="1" ht="14.4" hidden="1" x14ac:dyDescent="0.3">
      <c r="A263" s="117"/>
      <c r="B263" s="116"/>
      <c r="C263" s="311" t="s">
        <v>481</v>
      </c>
      <c r="D263" s="116"/>
      <c r="E263" s="418"/>
      <c r="F263" s="116"/>
      <c r="G263" s="329">
        <f t="shared" si="50"/>
        <v>0.6</v>
      </c>
      <c r="H263" s="329">
        <f>ROUND(7.68+7.8,2)</f>
        <v>15.48</v>
      </c>
      <c r="I263" s="329">
        <f t="shared" si="48"/>
        <v>1.35</v>
      </c>
      <c r="J263" s="329"/>
      <c r="K263" s="442">
        <f t="shared" ref="K263" si="53">ROUND(G263*H263*I263,2)</f>
        <v>12.54</v>
      </c>
      <c r="L263" s="552"/>
    </row>
    <row r="264" spans="1:12" hidden="1" x14ac:dyDescent="0.25">
      <c r="A264" s="426"/>
      <c r="B264" s="427"/>
      <c r="C264" s="441" t="str">
        <f>C225</f>
        <v>Av. Dona Verde</v>
      </c>
      <c r="D264" s="427"/>
      <c r="E264" s="427"/>
      <c r="F264" s="429"/>
      <c r="G264" s="429">
        <v>2</v>
      </c>
      <c r="H264" s="429">
        <v>14</v>
      </c>
      <c r="I264" s="429">
        <v>2.5</v>
      </c>
      <c r="J264" s="429"/>
      <c r="K264" s="430">
        <f>ROUND(G264*H264*I264,2)</f>
        <v>70</v>
      </c>
      <c r="L264" s="552"/>
    </row>
    <row r="265" spans="1:12" customFormat="1" ht="15" hidden="1" thickBot="1" x14ac:dyDescent="0.35">
      <c r="A265" s="528"/>
      <c r="B265" s="529"/>
      <c r="C265" s="530"/>
      <c r="D265" s="119"/>
      <c r="E265" s="119"/>
      <c r="F265" s="331"/>
      <c r="G265" s="331"/>
      <c r="H265" s="332"/>
      <c r="I265" s="333"/>
      <c r="J265" s="434">
        <f>K228+K264</f>
        <v>982.67</v>
      </c>
      <c r="K265" s="334" t="str">
        <f>D227</f>
        <v>m³</v>
      </c>
      <c r="L265" s="549"/>
    </row>
    <row r="266" spans="1:12" customFormat="1" ht="40.799999999999997" hidden="1" x14ac:dyDescent="0.3">
      <c r="A266" s="123">
        <v>93373</v>
      </c>
      <c r="B266" s="120" t="s">
        <v>107</v>
      </c>
      <c r="C266" s="122" t="s">
        <v>454</v>
      </c>
      <c r="D266" s="363" t="s">
        <v>207</v>
      </c>
      <c r="E266" s="121" t="s">
        <v>118</v>
      </c>
      <c r="F266" s="121" t="s">
        <v>117</v>
      </c>
      <c r="G266" s="335" t="s">
        <v>346</v>
      </c>
      <c r="H266" s="326" t="s">
        <v>347</v>
      </c>
      <c r="I266" s="335" t="s">
        <v>483</v>
      </c>
      <c r="J266" s="436" t="s">
        <v>113</v>
      </c>
      <c r="K266" s="328" t="s">
        <v>10</v>
      </c>
      <c r="L266" s="553" t="s">
        <v>434</v>
      </c>
    </row>
    <row r="267" spans="1:12" customFormat="1" ht="14.4" hidden="1" x14ac:dyDescent="0.3">
      <c r="A267" s="117"/>
      <c r="B267" s="116"/>
      <c r="C267" s="415" t="e">
        <f>C173</f>
        <v>#REF!</v>
      </c>
      <c r="D267" s="116"/>
      <c r="E267" s="418"/>
      <c r="F267" s="418"/>
      <c r="G267" s="329">
        <f>K228</f>
        <v>912.67</v>
      </c>
      <c r="H267" s="329">
        <f>ROUND((PI()*0.4^2)+(PI()*0.2^2)*J299,2)</f>
        <v>36.72</v>
      </c>
      <c r="I267" s="329">
        <f>SUM(K229:K249)</f>
        <v>64.389999999999986</v>
      </c>
      <c r="J267" s="329"/>
      <c r="K267" s="330">
        <f>ROUND(G267-H267-I267,2)</f>
        <v>811.56</v>
      </c>
      <c r="L267" s="551"/>
    </row>
    <row r="268" spans="1:12" hidden="1" x14ac:dyDescent="0.25">
      <c r="A268" s="117"/>
      <c r="B268" s="116"/>
      <c r="C268" s="311" t="str">
        <f>C264</f>
        <v>Av. Dona Verde</v>
      </c>
      <c r="D268" s="116"/>
      <c r="E268" s="116"/>
      <c r="F268" s="329"/>
      <c r="G268" s="329">
        <v>70</v>
      </c>
      <c r="H268" s="329">
        <v>43.98</v>
      </c>
      <c r="I268" s="329"/>
      <c r="J268" s="329"/>
      <c r="K268" s="330">
        <f>ROUND(G268-H268,2)</f>
        <v>26.02</v>
      </c>
      <c r="L268" s="551"/>
    </row>
    <row r="269" spans="1:12" customFormat="1" ht="15" hidden="1" thickBot="1" x14ac:dyDescent="0.35">
      <c r="A269" s="528"/>
      <c r="B269" s="529"/>
      <c r="C269" s="530"/>
      <c r="D269" s="119"/>
      <c r="E269" s="119"/>
      <c r="F269" s="331"/>
      <c r="G269" s="331"/>
      <c r="H269" s="332"/>
      <c r="I269" s="333"/>
      <c r="J269" s="333">
        <f>SUM(K267:K268)</f>
        <v>837.57999999999993</v>
      </c>
      <c r="K269" s="334" t="str">
        <f>D266</f>
        <v>m³</v>
      </c>
      <c r="L269" s="554"/>
    </row>
    <row r="270" spans="1:12" customFormat="1" ht="30.6" hidden="1" x14ac:dyDescent="0.3">
      <c r="A270" s="123" t="s">
        <v>455</v>
      </c>
      <c r="B270" s="120" t="s">
        <v>107</v>
      </c>
      <c r="C270" s="122" t="s">
        <v>456</v>
      </c>
      <c r="D270" s="363" t="s">
        <v>207</v>
      </c>
      <c r="E270" s="121" t="s">
        <v>295</v>
      </c>
      <c r="F270" s="326" t="s">
        <v>296</v>
      </c>
      <c r="G270" s="326" t="s">
        <v>346</v>
      </c>
      <c r="H270" s="327" t="s">
        <v>457</v>
      </c>
      <c r="I270" s="326" t="s">
        <v>288</v>
      </c>
      <c r="J270" s="326" t="s">
        <v>349</v>
      </c>
      <c r="K270" s="328" t="s">
        <v>10</v>
      </c>
      <c r="L270" s="547" t="s">
        <v>458</v>
      </c>
    </row>
    <row r="271" spans="1:12" customFormat="1" ht="14.4" hidden="1" x14ac:dyDescent="0.3">
      <c r="A271" s="117"/>
      <c r="B271" s="116"/>
      <c r="C271" s="311" t="e">
        <f>C267</f>
        <v>#REF!</v>
      </c>
      <c r="D271" s="116"/>
      <c r="E271" s="116"/>
      <c r="F271" s="329"/>
      <c r="G271" s="329">
        <f>G267</f>
        <v>912.67</v>
      </c>
      <c r="H271" s="329">
        <f>K267</f>
        <v>811.56</v>
      </c>
      <c r="I271" s="329"/>
      <c r="J271" s="329">
        <v>1.3</v>
      </c>
      <c r="K271" s="330">
        <f>ROUND((G271-H271)*J271,2)</f>
        <v>131.44</v>
      </c>
      <c r="L271" s="548"/>
    </row>
    <row r="272" spans="1:12" customFormat="1" ht="14.4" hidden="1" x14ac:dyDescent="0.3">
      <c r="A272" s="117"/>
      <c r="B272" s="116"/>
      <c r="C272" s="311" t="str">
        <f>C268</f>
        <v>Av. Dona Verde</v>
      </c>
      <c r="D272" s="116"/>
      <c r="E272" s="116"/>
      <c r="F272" s="329"/>
      <c r="G272" s="329">
        <f>G268</f>
        <v>70</v>
      </c>
      <c r="H272" s="329">
        <f>K268</f>
        <v>26.02</v>
      </c>
      <c r="I272" s="329"/>
      <c r="J272" s="329">
        <v>1.3</v>
      </c>
      <c r="K272" s="330">
        <f>ROUND((G272-H272)*J272,2)</f>
        <v>57.17</v>
      </c>
      <c r="L272" s="552"/>
    </row>
    <row r="273" spans="1:21" customFormat="1" ht="15" hidden="1" thickBot="1" x14ac:dyDescent="0.35">
      <c r="A273" s="528"/>
      <c r="B273" s="529"/>
      <c r="C273" s="530"/>
      <c r="D273" s="119"/>
      <c r="E273" s="119"/>
      <c r="F273" s="331"/>
      <c r="G273" s="331"/>
      <c r="H273" s="332"/>
      <c r="I273" s="333"/>
      <c r="J273" s="333">
        <f>SUM(K271:K272)</f>
        <v>188.61</v>
      </c>
      <c r="K273" s="334" t="str">
        <f>D270</f>
        <v>m³</v>
      </c>
      <c r="L273" s="549"/>
    </row>
    <row r="274" spans="1:21" customFormat="1" ht="34.200000000000003" hidden="1" customHeight="1" x14ac:dyDescent="0.3">
      <c r="A274" s="123" t="s">
        <v>321</v>
      </c>
      <c r="B274" s="120" t="s">
        <v>107</v>
      </c>
      <c r="C274" s="122" t="s">
        <v>320</v>
      </c>
      <c r="D274" s="363" t="s">
        <v>206</v>
      </c>
      <c r="E274" s="121" t="s">
        <v>118</v>
      </c>
      <c r="F274" s="326" t="s">
        <v>117</v>
      </c>
      <c r="G274" s="326" t="s">
        <v>296</v>
      </c>
      <c r="H274" s="326" t="s">
        <v>348</v>
      </c>
      <c r="I274" s="326" t="s">
        <v>114</v>
      </c>
      <c r="J274" s="326" t="s">
        <v>349</v>
      </c>
      <c r="K274" s="328" t="s">
        <v>10</v>
      </c>
      <c r="L274" s="544" t="s">
        <v>342</v>
      </c>
      <c r="U274" s="369"/>
    </row>
    <row r="275" spans="1:21" customFormat="1" ht="14.4" hidden="1" x14ac:dyDescent="0.3">
      <c r="A275" s="117"/>
      <c r="B275" s="116"/>
      <c r="C275" s="311" t="e">
        <f>C271</f>
        <v>#REF!</v>
      </c>
      <c r="D275" s="116"/>
      <c r="E275" s="116"/>
      <c r="F275" s="329"/>
      <c r="G275" s="329">
        <f>K271</f>
        <v>131.44</v>
      </c>
      <c r="H275" s="329">
        <v>7.7</v>
      </c>
      <c r="I275" s="329"/>
      <c r="J275" s="329">
        <v>1.2</v>
      </c>
      <c r="K275" s="330">
        <f>ROUND(G275*H275*J275,2)</f>
        <v>1214.51</v>
      </c>
      <c r="L275" s="545"/>
    </row>
    <row r="276" spans="1:21" hidden="1" x14ac:dyDescent="0.25">
      <c r="A276" s="117"/>
      <c r="B276" s="116"/>
      <c r="C276" s="311" t="str">
        <f>C272</f>
        <v>Av. Dona Verde</v>
      </c>
      <c r="D276" s="116"/>
      <c r="E276" s="116"/>
      <c r="F276" s="329"/>
      <c r="G276" s="329">
        <f>K272</f>
        <v>57.17</v>
      </c>
      <c r="H276" s="329">
        <f>H275</f>
        <v>7.7</v>
      </c>
      <c r="I276" s="329"/>
      <c r="J276" s="329">
        <f>J275</f>
        <v>1.2</v>
      </c>
      <c r="K276" s="330">
        <f>ROUND(G276*H276*J276,2)</f>
        <v>528.25</v>
      </c>
      <c r="L276" s="545"/>
    </row>
    <row r="277" spans="1:21" ht="13.8" hidden="1" thickBot="1" x14ac:dyDescent="0.3">
      <c r="A277" s="528"/>
      <c r="B277" s="529"/>
      <c r="C277" s="530"/>
      <c r="D277" s="119"/>
      <c r="E277" s="119"/>
      <c r="F277" s="331"/>
      <c r="G277" s="331"/>
      <c r="H277" s="332"/>
      <c r="I277" s="333"/>
      <c r="J277" s="333">
        <f>SUM(K275:K276)</f>
        <v>1742.76</v>
      </c>
      <c r="K277" s="334" t="str">
        <f>D274</f>
        <v>M3XKM</v>
      </c>
      <c r="L277" s="546"/>
    </row>
    <row r="278" spans="1:21" customFormat="1" ht="20.399999999999999" hidden="1" x14ac:dyDescent="0.3">
      <c r="A278" s="123">
        <v>101622</v>
      </c>
      <c r="B278" s="120" t="s">
        <v>107</v>
      </c>
      <c r="C278" s="122" t="s">
        <v>489</v>
      </c>
      <c r="D278" s="363" t="s">
        <v>207</v>
      </c>
      <c r="E278" s="121" t="s">
        <v>295</v>
      </c>
      <c r="F278" s="326" t="s">
        <v>117</v>
      </c>
      <c r="G278" s="326" t="s">
        <v>116</v>
      </c>
      <c r="H278" s="327" t="s">
        <v>115</v>
      </c>
      <c r="I278" s="326" t="s">
        <v>288</v>
      </c>
      <c r="J278" s="326" t="s">
        <v>305</v>
      </c>
      <c r="K278" s="328" t="s">
        <v>10</v>
      </c>
      <c r="L278" s="547" t="s">
        <v>461</v>
      </c>
    </row>
    <row r="279" spans="1:21" customFormat="1" ht="14.4" hidden="1" x14ac:dyDescent="0.3">
      <c r="A279" s="117"/>
      <c r="B279" s="116"/>
      <c r="C279" s="383" t="e">
        <f>C292</f>
        <v>#REF!</v>
      </c>
      <c r="D279" s="116"/>
      <c r="E279" s="116"/>
      <c r="F279" s="329"/>
      <c r="G279" s="329"/>
      <c r="H279" s="329"/>
      <c r="I279" s="329"/>
      <c r="J279" s="329"/>
      <c r="K279" s="330">
        <f>SUM(K280:K281)</f>
        <v>32.86</v>
      </c>
      <c r="L279" s="548"/>
    </row>
    <row r="280" spans="1:21" customFormat="1" ht="14.4" hidden="1" x14ac:dyDescent="0.3">
      <c r="A280" s="117"/>
      <c r="B280" s="116"/>
      <c r="C280" s="311" t="s">
        <v>485</v>
      </c>
      <c r="D280" s="116"/>
      <c r="E280" s="418"/>
      <c r="F280" s="116"/>
      <c r="G280" s="329">
        <v>1</v>
      </c>
      <c r="H280" s="329">
        <f>ROUND(SUM(H251:H258),2)</f>
        <v>288.2</v>
      </c>
      <c r="I280" s="329">
        <v>0.1</v>
      </c>
      <c r="J280" s="329"/>
      <c r="K280" s="438">
        <f>ROUND(G280*H280*I280,2)</f>
        <v>28.82</v>
      </c>
      <c r="L280" s="552"/>
    </row>
    <row r="281" spans="1:21" customFormat="1" ht="14.4" hidden="1" x14ac:dyDescent="0.3">
      <c r="A281" s="117"/>
      <c r="B281" s="116"/>
      <c r="C281" s="311" t="s">
        <v>486</v>
      </c>
      <c r="D281" s="116"/>
      <c r="E281" s="418"/>
      <c r="F281" s="116"/>
      <c r="G281" s="329">
        <v>0.6</v>
      </c>
      <c r="H281" s="329">
        <f>ROUND(SUM(H259:H263),2)</f>
        <v>67.349999999999994</v>
      </c>
      <c r="I281" s="329">
        <v>0.1</v>
      </c>
      <c r="J281" s="329"/>
      <c r="K281" s="438">
        <f>ROUND(G281*H281*I281,2)</f>
        <v>4.04</v>
      </c>
      <c r="L281" s="552"/>
    </row>
    <row r="282" spans="1:21" hidden="1" x14ac:dyDescent="0.25">
      <c r="A282" s="117"/>
      <c r="B282" s="116"/>
      <c r="C282" s="383" t="str">
        <f>C276</f>
        <v>Av. Dona Verde</v>
      </c>
      <c r="D282" s="116"/>
      <c r="E282" s="116"/>
      <c r="F282" s="329"/>
      <c r="G282" s="329">
        <v>1.2</v>
      </c>
      <c r="H282" s="329">
        <v>14</v>
      </c>
      <c r="I282" s="329">
        <v>0.1</v>
      </c>
      <c r="J282" s="329"/>
      <c r="K282" s="330">
        <f>ROUND(G282*H282*I282,2)</f>
        <v>1.68</v>
      </c>
      <c r="L282" s="552"/>
    </row>
    <row r="283" spans="1:21" customFormat="1" ht="15" hidden="1" thickBot="1" x14ac:dyDescent="0.35">
      <c r="A283" s="528"/>
      <c r="B283" s="529"/>
      <c r="C283" s="530"/>
      <c r="D283" s="119"/>
      <c r="E283" s="119"/>
      <c r="F283" s="331"/>
      <c r="G283" s="331"/>
      <c r="H283" s="332"/>
      <c r="I283" s="333"/>
      <c r="J283" s="333">
        <f>K279+K282</f>
        <v>34.54</v>
      </c>
      <c r="K283" s="334" t="str">
        <f>D278</f>
        <v>m³</v>
      </c>
      <c r="L283" s="549"/>
    </row>
    <row r="284" spans="1:21" customFormat="1" ht="34.200000000000003" hidden="1" customHeight="1" x14ac:dyDescent="0.3">
      <c r="A284" s="123" t="s">
        <v>418</v>
      </c>
      <c r="B284" s="120" t="s">
        <v>107</v>
      </c>
      <c r="C284" s="122" t="s">
        <v>419</v>
      </c>
      <c r="D284" s="312" t="s">
        <v>220</v>
      </c>
      <c r="E284" s="121" t="s">
        <v>118</v>
      </c>
      <c r="F284" s="326" t="s">
        <v>117</v>
      </c>
      <c r="G284" s="326" t="s">
        <v>116</v>
      </c>
      <c r="H284" s="327" t="s">
        <v>115</v>
      </c>
      <c r="I284" s="326" t="s">
        <v>114</v>
      </c>
      <c r="J284" s="326" t="s">
        <v>113</v>
      </c>
      <c r="K284" s="328" t="s">
        <v>10</v>
      </c>
      <c r="L284" s="544" t="s">
        <v>342</v>
      </c>
      <c r="U284" s="369"/>
    </row>
    <row r="285" spans="1:21" hidden="1" x14ac:dyDescent="0.25">
      <c r="A285" s="117"/>
      <c r="B285" s="116"/>
      <c r="C285" s="311" t="str">
        <f>C282</f>
        <v>Av. Dona Verde</v>
      </c>
      <c r="D285" s="371">
        <v>2</v>
      </c>
      <c r="E285" s="116"/>
      <c r="F285" s="329"/>
      <c r="G285" s="329"/>
      <c r="H285" s="329"/>
      <c r="I285" s="329"/>
      <c r="J285" s="329"/>
      <c r="K285" s="330">
        <f>D285</f>
        <v>2</v>
      </c>
      <c r="L285" s="545"/>
    </row>
    <row r="286" spans="1:21" ht="13.8" hidden="1" thickBot="1" x14ac:dyDescent="0.3">
      <c r="A286" s="528"/>
      <c r="B286" s="529"/>
      <c r="C286" s="530"/>
      <c r="D286" s="119"/>
      <c r="E286" s="119"/>
      <c r="F286" s="331"/>
      <c r="G286" s="331"/>
      <c r="H286" s="332"/>
      <c r="I286" s="333"/>
      <c r="J286" s="333">
        <f>SUM(K285:K285)</f>
        <v>2</v>
      </c>
      <c r="K286" s="334" t="str">
        <f>D284</f>
        <v>UN</v>
      </c>
      <c r="L286" s="546"/>
    </row>
    <row r="287" spans="1:21" customFormat="1" ht="20.399999999999999" hidden="1" x14ac:dyDescent="0.3">
      <c r="A287" s="123">
        <v>97956</v>
      </c>
      <c r="B287" s="120" t="s">
        <v>107</v>
      </c>
      <c r="C287" s="122" t="s">
        <v>482</v>
      </c>
      <c r="D287" s="363" t="s">
        <v>301</v>
      </c>
      <c r="E287" s="121" t="s">
        <v>118</v>
      </c>
      <c r="F287" s="326" t="s">
        <v>117</v>
      </c>
      <c r="G287" s="326" t="s">
        <v>116</v>
      </c>
      <c r="H287" s="327" t="s">
        <v>115</v>
      </c>
      <c r="I287" s="326" t="s">
        <v>114</v>
      </c>
      <c r="J287" s="326" t="s">
        <v>113</v>
      </c>
      <c r="K287" s="328" t="s">
        <v>10</v>
      </c>
      <c r="L287" s="553" t="s">
        <v>434</v>
      </c>
    </row>
    <row r="288" spans="1:21" customFormat="1" ht="14.4" hidden="1" x14ac:dyDescent="0.3">
      <c r="A288" s="117"/>
      <c r="B288" s="116"/>
      <c r="C288" s="415" t="e">
        <f>C173</f>
        <v>#REF!</v>
      </c>
      <c r="D288" s="116"/>
      <c r="E288" s="443">
        <v>10</v>
      </c>
      <c r="F288" s="418"/>
      <c r="G288" s="329"/>
      <c r="H288" s="329"/>
      <c r="I288" s="329"/>
      <c r="J288" s="329"/>
      <c r="K288" s="330">
        <f>E288</f>
        <v>10</v>
      </c>
      <c r="L288" s="551"/>
    </row>
    <row r="289" spans="1:21" hidden="1" x14ac:dyDescent="0.25">
      <c r="A289" s="117"/>
      <c r="B289" s="116"/>
      <c r="C289" s="311" t="str">
        <f>C285</f>
        <v>Av. Dona Verde</v>
      </c>
      <c r="D289" s="371"/>
      <c r="E289" s="443">
        <v>1</v>
      </c>
      <c r="F289" s="329"/>
      <c r="G289" s="329"/>
      <c r="H289" s="329"/>
      <c r="I289" s="329"/>
      <c r="J289" s="329"/>
      <c r="K289" s="330">
        <f>E289</f>
        <v>1</v>
      </c>
      <c r="L289" s="551"/>
    </row>
    <row r="290" spans="1:21" customFormat="1" ht="15" hidden="1" thickBot="1" x14ac:dyDescent="0.35">
      <c r="A290" s="528"/>
      <c r="B290" s="529"/>
      <c r="C290" s="530"/>
      <c r="D290" s="119"/>
      <c r="E290" s="119"/>
      <c r="F290" s="331"/>
      <c r="G290" s="331"/>
      <c r="H290" s="332"/>
      <c r="I290" s="333"/>
      <c r="J290" s="333">
        <f>SUM(K288:K289)</f>
        <v>11</v>
      </c>
      <c r="K290" s="334" t="str">
        <f>D287</f>
        <v>Un</v>
      </c>
      <c r="L290" s="554"/>
    </row>
    <row r="291" spans="1:21" customFormat="1" ht="20.399999999999999" hidden="1" x14ac:dyDescent="0.3">
      <c r="A291" s="123">
        <v>2735</v>
      </c>
      <c r="B291" s="120" t="s">
        <v>315</v>
      </c>
      <c r="C291" s="122" t="s">
        <v>484</v>
      </c>
      <c r="D291" s="363" t="s">
        <v>460</v>
      </c>
      <c r="E291" s="121" t="s">
        <v>118</v>
      </c>
      <c r="F291" s="326" t="s">
        <v>296</v>
      </c>
      <c r="G291" s="326" t="s">
        <v>348</v>
      </c>
      <c r="H291" s="327" t="s">
        <v>115</v>
      </c>
      <c r="I291" s="326" t="s">
        <v>288</v>
      </c>
      <c r="J291" s="326" t="s">
        <v>305</v>
      </c>
      <c r="K291" s="328" t="s">
        <v>10</v>
      </c>
      <c r="L291" s="547" t="s">
        <v>459</v>
      </c>
    </row>
    <row r="292" spans="1:21" customFormat="1" ht="14.4" hidden="1" x14ac:dyDescent="0.3">
      <c r="A292" s="439"/>
      <c r="B292" s="437"/>
      <c r="C292" s="311" t="e">
        <f>C288</f>
        <v>#REF!</v>
      </c>
      <c r="D292" s="437"/>
      <c r="E292" s="418">
        <v>10</v>
      </c>
      <c r="F292" s="329"/>
      <c r="G292" s="329"/>
      <c r="H292" s="329"/>
      <c r="I292" s="329"/>
      <c r="J292" s="329"/>
      <c r="K292" s="330">
        <f t="shared" ref="K292" si="54">E292</f>
        <v>10</v>
      </c>
      <c r="L292" s="550"/>
      <c r="M292" s="151"/>
      <c r="N292" s="151"/>
      <c r="O292" s="151"/>
      <c r="P292" s="151"/>
      <c r="Q292" s="151"/>
      <c r="R292" s="151"/>
      <c r="S292" s="151"/>
    </row>
    <row r="293" spans="1:21" customFormat="1" ht="15" hidden="1" thickBot="1" x14ac:dyDescent="0.35">
      <c r="A293" s="528"/>
      <c r="B293" s="529"/>
      <c r="C293" s="530"/>
      <c r="D293" s="119"/>
      <c r="E293" s="119"/>
      <c r="F293" s="331"/>
      <c r="G293" s="331"/>
      <c r="H293" s="332"/>
      <c r="I293" s="333"/>
      <c r="J293" s="333">
        <f>SUM(K292:K292)</f>
        <v>10</v>
      </c>
      <c r="K293" s="334" t="str">
        <f>D291</f>
        <v xml:space="preserve">UN </v>
      </c>
      <c r="L293" s="549"/>
    </row>
    <row r="294" spans="1:21" customFormat="1" ht="40.950000000000003" hidden="1" customHeight="1" x14ac:dyDescent="0.3">
      <c r="A294" s="120" t="s">
        <v>345</v>
      </c>
      <c r="B294" s="120" t="s">
        <v>107</v>
      </c>
      <c r="C294" s="122" t="s">
        <v>344</v>
      </c>
      <c r="D294" s="312" t="s">
        <v>343</v>
      </c>
      <c r="E294" s="121" t="s">
        <v>118</v>
      </c>
      <c r="F294" s="326" t="s">
        <v>117</v>
      </c>
      <c r="G294" s="326" t="s">
        <v>116</v>
      </c>
      <c r="H294" s="327" t="s">
        <v>115</v>
      </c>
      <c r="I294" s="326" t="s">
        <v>114</v>
      </c>
      <c r="J294" s="326" t="s">
        <v>113</v>
      </c>
      <c r="K294" s="328" t="s">
        <v>10</v>
      </c>
      <c r="L294" s="544" t="s">
        <v>342</v>
      </c>
      <c r="U294" s="369"/>
    </row>
    <row r="295" spans="1:21" hidden="1" x14ac:dyDescent="0.25">
      <c r="A295" s="117"/>
      <c r="B295" s="116"/>
      <c r="C295" s="311" t="str">
        <f>C285</f>
        <v>Av. Dona Verde</v>
      </c>
      <c r="D295" s="116"/>
      <c r="E295" s="116"/>
      <c r="F295" s="329"/>
      <c r="G295" s="329"/>
      <c r="H295" s="329">
        <v>14</v>
      </c>
      <c r="I295" s="329"/>
      <c r="J295" s="329"/>
      <c r="K295" s="330">
        <f>H295</f>
        <v>14</v>
      </c>
      <c r="L295" s="545"/>
    </row>
    <row r="296" spans="1:21" ht="13.8" hidden="1" thickBot="1" x14ac:dyDescent="0.3">
      <c r="A296" s="528"/>
      <c r="B296" s="529"/>
      <c r="C296" s="530"/>
      <c r="D296" s="119"/>
      <c r="E296" s="119"/>
      <c r="F296" s="331"/>
      <c r="G296" s="331"/>
      <c r="H296" s="332"/>
      <c r="I296" s="333"/>
      <c r="J296" s="333">
        <f>SUM(K295:K295)</f>
        <v>14</v>
      </c>
      <c r="K296" s="334" t="str">
        <f>D294</f>
        <v>m</v>
      </c>
      <c r="L296" s="546"/>
    </row>
    <row r="297" spans="1:21" customFormat="1" ht="30.6" hidden="1" x14ac:dyDescent="0.3">
      <c r="A297" s="123">
        <v>92214</v>
      </c>
      <c r="B297" s="120" t="s">
        <v>107</v>
      </c>
      <c r="C297" s="367" t="s">
        <v>487</v>
      </c>
      <c r="D297" s="363" t="s">
        <v>226</v>
      </c>
      <c r="E297" s="121" t="s">
        <v>295</v>
      </c>
      <c r="F297" s="326" t="s">
        <v>117</v>
      </c>
      <c r="G297" s="326" t="s">
        <v>116</v>
      </c>
      <c r="H297" s="327" t="s">
        <v>115</v>
      </c>
      <c r="I297" s="326" t="s">
        <v>288</v>
      </c>
      <c r="J297" s="326" t="s">
        <v>305</v>
      </c>
      <c r="K297" s="328" t="s">
        <v>10</v>
      </c>
      <c r="L297" s="547" t="s">
        <v>462</v>
      </c>
    </row>
    <row r="298" spans="1:21" customFormat="1" ht="14.4" hidden="1" x14ac:dyDescent="0.3">
      <c r="A298" s="439"/>
      <c r="B298" s="437"/>
      <c r="C298" s="311" t="e">
        <f>C292</f>
        <v>#REF!</v>
      </c>
      <c r="D298" s="437"/>
      <c r="E298" s="418"/>
      <c r="F298" s="329"/>
      <c r="G298" s="329"/>
      <c r="H298" s="329">
        <f>H280</f>
        <v>288.2</v>
      </c>
      <c r="I298" s="329"/>
      <c r="J298" s="329"/>
      <c r="K298" s="330">
        <f t="shared" ref="K298" si="55">H298</f>
        <v>288.2</v>
      </c>
      <c r="L298" s="550"/>
      <c r="M298" s="151"/>
      <c r="N298" s="151"/>
      <c r="O298" s="151"/>
      <c r="P298" s="151"/>
      <c r="Q298" s="151"/>
      <c r="R298" s="151"/>
      <c r="S298" s="151"/>
    </row>
    <row r="299" spans="1:21" customFormat="1" ht="15" hidden="1" thickBot="1" x14ac:dyDescent="0.35">
      <c r="A299" s="528"/>
      <c r="B299" s="529"/>
      <c r="C299" s="530"/>
      <c r="D299" s="119"/>
      <c r="E299" s="119"/>
      <c r="F299" s="331"/>
      <c r="G299" s="331"/>
      <c r="H299" s="332"/>
      <c r="I299" s="333"/>
      <c r="J299" s="333">
        <f>SUM(K298:K298)</f>
        <v>288.2</v>
      </c>
      <c r="K299" s="334" t="str">
        <f>D297</f>
        <v>M</v>
      </c>
      <c r="L299" s="549"/>
    </row>
    <row r="300" spans="1:21" customFormat="1" ht="30.6" hidden="1" x14ac:dyDescent="0.3">
      <c r="A300" s="123">
        <v>92210</v>
      </c>
      <c r="B300" s="120" t="s">
        <v>107</v>
      </c>
      <c r="C300" s="367" t="s">
        <v>488</v>
      </c>
      <c r="D300" s="363" t="s">
        <v>226</v>
      </c>
      <c r="E300" s="121" t="s">
        <v>295</v>
      </c>
      <c r="F300" s="326" t="s">
        <v>117</v>
      </c>
      <c r="G300" s="326" t="s">
        <v>116</v>
      </c>
      <c r="H300" s="327" t="s">
        <v>115</v>
      </c>
      <c r="I300" s="326" t="s">
        <v>288</v>
      </c>
      <c r="J300" s="326" t="s">
        <v>305</v>
      </c>
      <c r="K300" s="328" t="s">
        <v>10</v>
      </c>
      <c r="L300" s="547" t="s">
        <v>462</v>
      </c>
    </row>
    <row r="301" spans="1:21" customFormat="1" ht="14.4" hidden="1" x14ac:dyDescent="0.3">
      <c r="A301" s="439"/>
      <c r="B301" s="437"/>
      <c r="C301" s="311" t="e">
        <f>C279</f>
        <v>#REF!</v>
      </c>
      <c r="D301" s="437"/>
      <c r="E301" s="418"/>
      <c r="F301" s="329"/>
      <c r="G301" s="329"/>
      <c r="H301" s="329">
        <f>H281</f>
        <v>67.349999999999994</v>
      </c>
      <c r="I301" s="329"/>
      <c r="J301" s="329"/>
      <c r="K301" s="330">
        <f t="shared" ref="K301" si="56">H301</f>
        <v>67.349999999999994</v>
      </c>
      <c r="L301" s="550"/>
      <c r="M301" s="151"/>
      <c r="N301" s="151"/>
      <c r="O301" s="151"/>
      <c r="P301" s="151"/>
      <c r="Q301" s="151"/>
      <c r="R301" s="151"/>
      <c r="S301" s="151"/>
    </row>
    <row r="302" spans="1:21" customFormat="1" ht="15" hidden="1" thickBot="1" x14ac:dyDescent="0.35">
      <c r="A302" s="528"/>
      <c r="B302" s="529"/>
      <c r="C302" s="530"/>
      <c r="D302" s="119"/>
      <c r="E302" s="119"/>
      <c r="F302" s="331"/>
      <c r="G302" s="331"/>
      <c r="H302" s="332"/>
      <c r="I302" s="333"/>
      <c r="J302" s="333">
        <f>SUM(K301:K301)</f>
        <v>67.349999999999994</v>
      </c>
      <c r="K302" s="334" t="str">
        <f>D300</f>
        <v>M</v>
      </c>
      <c r="L302" s="549"/>
    </row>
    <row r="303" spans="1:21" customFormat="1" ht="20.399999999999999" hidden="1" x14ac:dyDescent="0.3">
      <c r="A303" s="123" t="s">
        <v>463</v>
      </c>
      <c r="B303" s="120" t="s">
        <v>210</v>
      </c>
      <c r="C303" s="122" t="s">
        <v>464</v>
      </c>
      <c r="D303" s="363" t="s">
        <v>226</v>
      </c>
      <c r="E303" s="121" t="s">
        <v>118</v>
      </c>
      <c r="F303" s="326" t="s">
        <v>117</v>
      </c>
      <c r="G303" s="326" t="s">
        <v>116</v>
      </c>
      <c r="H303" s="327" t="s">
        <v>115</v>
      </c>
      <c r="I303" s="326" t="s">
        <v>288</v>
      </c>
      <c r="J303" s="326" t="s">
        <v>305</v>
      </c>
      <c r="K303" s="328" t="s">
        <v>10</v>
      </c>
      <c r="L303" s="547" t="s">
        <v>465</v>
      </c>
    </row>
    <row r="304" spans="1:21" customFormat="1" ht="14.4" hidden="1" x14ac:dyDescent="0.3">
      <c r="A304" s="117"/>
      <c r="B304" s="116"/>
      <c r="C304" s="311" t="e">
        <f>C298</f>
        <v>#REF!</v>
      </c>
      <c r="D304" s="116"/>
      <c r="E304" s="116"/>
      <c r="F304" s="329"/>
      <c r="G304" s="329"/>
      <c r="H304" s="329">
        <v>7</v>
      </c>
      <c r="I304" s="329"/>
      <c r="J304" s="329"/>
      <c r="K304" s="330">
        <f>H304</f>
        <v>7</v>
      </c>
      <c r="L304" s="548"/>
    </row>
    <row r="305" spans="1:21" customFormat="1" ht="15" hidden="1" thickBot="1" x14ac:dyDescent="0.35">
      <c r="A305" s="528"/>
      <c r="B305" s="529"/>
      <c r="C305" s="530"/>
      <c r="D305" s="119"/>
      <c r="E305" s="119"/>
      <c r="F305" s="331"/>
      <c r="G305" s="331"/>
      <c r="H305" s="332"/>
      <c r="I305" s="333"/>
      <c r="J305" s="333">
        <f>SUM(K304:K304)</f>
        <v>7</v>
      </c>
      <c r="K305" s="334" t="str">
        <f>D303</f>
        <v>M</v>
      </c>
      <c r="L305" s="549"/>
    </row>
    <row r="306" spans="1:21" customFormat="1" ht="20.399999999999999" hidden="1" x14ac:dyDescent="0.3">
      <c r="A306" s="123">
        <v>101584</v>
      </c>
      <c r="B306" s="120" t="s">
        <v>107</v>
      </c>
      <c r="C306" s="122" t="s">
        <v>490</v>
      </c>
      <c r="D306" s="363" t="s">
        <v>205</v>
      </c>
      <c r="E306" s="121" t="s">
        <v>118</v>
      </c>
      <c r="F306" s="121" t="s">
        <v>117</v>
      </c>
      <c r="G306" s="335" t="s">
        <v>116</v>
      </c>
      <c r="H306" s="326" t="s">
        <v>115</v>
      </c>
      <c r="I306" s="335" t="s">
        <v>433</v>
      </c>
      <c r="J306" s="326" t="s">
        <v>113</v>
      </c>
      <c r="K306" s="328" t="s">
        <v>10</v>
      </c>
      <c r="L306" s="547" t="s">
        <v>465</v>
      </c>
    </row>
    <row r="307" spans="1:21" customFormat="1" ht="14.4" hidden="1" x14ac:dyDescent="0.3">
      <c r="A307" s="117"/>
      <c r="B307" s="116"/>
      <c r="C307" s="311" t="s">
        <v>446</v>
      </c>
      <c r="D307" s="116"/>
      <c r="E307" s="418">
        <v>2</v>
      </c>
      <c r="F307" s="116"/>
      <c r="G307" s="329"/>
      <c r="H307" s="329">
        <f t="shared" ref="H307:I314" si="57">H251</f>
        <v>13.48</v>
      </c>
      <c r="I307" s="329">
        <f t="shared" si="57"/>
        <v>2.2000000000000002</v>
      </c>
      <c r="J307" s="329"/>
      <c r="K307" s="438">
        <f>ROUND(E307*H307*I307,2)</f>
        <v>59.31</v>
      </c>
      <c r="L307" s="550"/>
    </row>
    <row r="308" spans="1:21" customFormat="1" ht="14.4" hidden="1" x14ac:dyDescent="0.3">
      <c r="A308" s="117"/>
      <c r="B308" s="116"/>
      <c r="C308" s="311" t="s">
        <v>447</v>
      </c>
      <c r="D308" s="116"/>
      <c r="E308" s="418">
        <f>E307</f>
        <v>2</v>
      </c>
      <c r="F308" s="116"/>
      <c r="G308" s="329"/>
      <c r="H308" s="329">
        <f t="shared" si="57"/>
        <v>40</v>
      </c>
      <c r="I308" s="329">
        <f t="shared" si="57"/>
        <v>2.2000000000000002</v>
      </c>
      <c r="J308" s="329"/>
      <c r="K308" s="438">
        <f t="shared" ref="K308:K314" si="58">ROUND(E308*H308*I308,2)</f>
        <v>176</v>
      </c>
      <c r="L308" s="550"/>
    </row>
    <row r="309" spans="1:21" customFormat="1" ht="14.4" hidden="1" x14ac:dyDescent="0.3">
      <c r="A309" s="117"/>
      <c r="B309" s="116"/>
      <c r="C309" s="311" t="s">
        <v>448</v>
      </c>
      <c r="D309" s="116"/>
      <c r="E309" s="418">
        <f t="shared" ref="E309:E314" si="59">E308</f>
        <v>2</v>
      </c>
      <c r="F309" s="116"/>
      <c r="G309" s="329"/>
      <c r="H309" s="329">
        <f t="shared" si="57"/>
        <v>44.89</v>
      </c>
      <c r="I309" s="329">
        <f t="shared" si="57"/>
        <v>2.2999999999999998</v>
      </c>
      <c r="J309" s="329"/>
      <c r="K309" s="438">
        <f t="shared" si="58"/>
        <v>206.49</v>
      </c>
      <c r="L309" s="550"/>
    </row>
    <row r="310" spans="1:21" customFormat="1" ht="14.4" hidden="1" x14ac:dyDescent="0.3">
      <c r="A310" s="117"/>
      <c r="B310" s="116"/>
      <c r="C310" s="311" t="s">
        <v>449</v>
      </c>
      <c r="D310" s="116"/>
      <c r="E310" s="418">
        <f t="shared" si="59"/>
        <v>2</v>
      </c>
      <c r="F310" s="116"/>
      <c r="G310" s="329"/>
      <c r="H310" s="329">
        <f t="shared" si="57"/>
        <v>15.11</v>
      </c>
      <c r="I310" s="329">
        <f t="shared" si="57"/>
        <v>2.9</v>
      </c>
      <c r="J310" s="329"/>
      <c r="K310" s="438">
        <f t="shared" si="58"/>
        <v>87.64</v>
      </c>
      <c r="L310" s="550"/>
    </row>
    <row r="311" spans="1:21" customFormat="1" ht="14.4" hidden="1" x14ac:dyDescent="0.3">
      <c r="A311" s="117"/>
      <c r="B311" s="116"/>
      <c r="C311" s="311" t="s">
        <v>450</v>
      </c>
      <c r="D311" s="116"/>
      <c r="E311" s="418">
        <f t="shared" si="59"/>
        <v>2</v>
      </c>
      <c r="F311" s="116"/>
      <c r="G311" s="329"/>
      <c r="H311" s="329">
        <f t="shared" si="57"/>
        <v>40</v>
      </c>
      <c r="I311" s="329">
        <f t="shared" si="57"/>
        <v>3.65</v>
      </c>
      <c r="J311" s="329"/>
      <c r="K311" s="438">
        <f t="shared" si="58"/>
        <v>292</v>
      </c>
      <c r="L311" s="550"/>
    </row>
    <row r="312" spans="1:21" customFormat="1" ht="14.4" hidden="1" x14ac:dyDescent="0.3">
      <c r="A312" s="117"/>
      <c r="B312" s="116"/>
      <c r="C312" s="311" t="s">
        <v>451</v>
      </c>
      <c r="D312" s="116"/>
      <c r="E312" s="418">
        <f t="shared" si="59"/>
        <v>2</v>
      </c>
      <c r="F312" s="116"/>
      <c r="G312" s="329"/>
      <c r="H312" s="329">
        <f t="shared" si="57"/>
        <v>49.72</v>
      </c>
      <c r="I312" s="329">
        <f t="shared" si="57"/>
        <v>3.4</v>
      </c>
      <c r="J312" s="329"/>
      <c r="K312" s="438">
        <f t="shared" si="58"/>
        <v>338.1</v>
      </c>
      <c r="L312" s="550"/>
    </row>
    <row r="313" spans="1:21" customFormat="1" ht="14.4" hidden="1" x14ac:dyDescent="0.3">
      <c r="A313" s="117"/>
      <c r="B313" s="116"/>
      <c r="C313" s="311" t="s">
        <v>452</v>
      </c>
      <c r="D313" s="116"/>
      <c r="E313" s="418">
        <f t="shared" si="59"/>
        <v>2</v>
      </c>
      <c r="F313" s="116"/>
      <c r="G313" s="329"/>
      <c r="H313" s="329">
        <f t="shared" si="57"/>
        <v>40</v>
      </c>
      <c r="I313" s="329">
        <f t="shared" si="57"/>
        <v>2.5499999999999998</v>
      </c>
      <c r="J313" s="329"/>
      <c r="K313" s="438">
        <f t="shared" si="58"/>
        <v>204</v>
      </c>
      <c r="L313" s="550"/>
    </row>
    <row r="314" spans="1:21" customFormat="1" ht="14.4" hidden="1" x14ac:dyDescent="0.3">
      <c r="A314" s="117"/>
      <c r="B314" s="116"/>
      <c r="C314" s="311" t="s">
        <v>453</v>
      </c>
      <c r="D314" s="116"/>
      <c r="E314" s="418">
        <f t="shared" si="59"/>
        <v>2</v>
      </c>
      <c r="F314" s="116"/>
      <c r="G314" s="329"/>
      <c r="H314" s="329">
        <f t="shared" si="57"/>
        <v>45</v>
      </c>
      <c r="I314" s="329">
        <f t="shared" si="57"/>
        <v>2.2000000000000002</v>
      </c>
      <c r="J314" s="329"/>
      <c r="K314" s="438">
        <f t="shared" si="58"/>
        <v>198</v>
      </c>
      <c r="L314" s="550"/>
    </row>
    <row r="315" spans="1:21" customFormat="1" ht="15" hidden="1" thickBot="1" x14ac:dyDescent="0.35">
      <c r="A315" s="528"/>
      <c r="B315" s="529"/>
      <c r="C315" s="530"/>
      <c r="D315" s="119"/>
      <c r="E315" s="119"/>
      <c r="F315" s="331"/>
      <c r="G315" s="331"/>
      <c r="H315" s="332"/>
      <c r="I315" s="333"/>
      <c r="J315" s="333">
        <f>SUM(K307:K314)</f>
        <v>1561.54</v>
      </c>
      <c r="K315" s="334" t="str">
        <f>D306</f>
        <v>m²</v>
      </c>
      <c r="L315" s="549"/>
    </row>
    <row r="316" spans="1:21" ht="13.8" hidden="1" thickBot="1" x14ac:dyDescent="0.3">
      <c r="A316" s="531" t="s">
        <v>352</v>
      </c>
      <c r="B316" s="532"/>
      <c r="C316" s="532"/>
      <c r="D316" s="532"/>
      <c r="E316" s="532"/>
      <c r="F316" s="532"/>
      <c r="G316" s="532"/>
      <c r="H316" s="532"/>
      <c r="I316" s="532"/>
      <c r="J316" s="532"/>
      <c r="K316" s="532"/>
      <c r="L316" s="533"/>
    </row>
    <row r="317" spans="1:21" customFormat="1" ht="32.4" hidden="1" customHeight="1" x14ac:dyDescent="0.3">
      <c r="A317" s="123">
        <v>103800</v>
      </c>
      <c r="B317" s="120" t="s">
        <v>107</v>
      </c>
      <c r="C317" s="122" t="s">
        <v>429</v>
      </c>
      <c r="D317" s="312" t="s">
        <v>354</v>
      </c>
      <c r="E317" s="121" t="s">
        <v>118</v>
      </c>
      <c r="F317" s="335" t="s">
        <v>401</v>
      </c>
      <c r="G317" s="326" t="s">
        <v>116</v>
      </c>
      <c r="H317" s="327" t="s">
        <v>115</v>
      </c>
      <c r="I317" s="326" t="s">
        <v>114</v>
      </c>
      <c r="J317" s="326" t="s">
        <v>113</v>
      </c>
      <c r="K317" s="328" t="s">
        <v>10</v>
      </c>
      <c r="L317" s="544" t="s">
        <v>360</v>
      </c>
      <c r="U317" s="369"/>
    </row>
    <row r="318" spans="1:21" hidden="1" x14ac:dyDescent="0.25">
      <c r="A318" s="117"/>
      <c r="B318" s="116"/>
      <c r="C318" s="383" t="str">
        <f>C276</f>
        <v>Av. Dona Verde</v>
      </c>
      <c r="D318" s="116"/>
      <c r="E318" s="116"/>
      <c r="F318" s="329"/>
      <c r="G318" s="329"/>
      <c r="H318" s="329"/>
      <c r="I318" s="329"/>
      <c r="J318" s="329"/>
      <c r="K318" s="330"/>
      <c r="L318" s="545"/>
    </row>
    <row r="319" spans="1:21" hidden="1" x14ac:dyDescent="0.25">
      <c r="A319" s="117"/>
      <c r="B319" s="116"/>
      <c r="C319" s="311" t="s">
        <v>367</v>
      </c>
      <c r="D319" s="116"/>
      <c r="E319" s="116">
        <v>2</v>
      </c>
      <c r="F319" s="329">
        <v>0.8</v>
      </c>
      <c r="G319" s="329"/>
      <c r="H319" s="329">
        <v>37.770000000000003</v>
      </c>
      <c r="I319" s="329"/>
      <c r="J319" s="329"/>
      <c r="K319" s="330">
        <f>ROUND(F319*H319*E319,2)</f>
        <v>60.43</v>
      </c>
      <c r="L319" s="545"/>
    </row>
    <row r="320" spans="1:21" hidden="1" x14ac:dyDescent="0.25">
      <c r="A320" s="117"/>
      <c r="B320" s="116"/>
      <c r="C320" s="311" t="s">
        <v>368</v>
      </c>
      <c r="D320" s="116"/>
      <c r="E320" s="116">
        <v>2</v>
      </c>
      <c r="F320" s="329">
        <v>1.1000000000000001</v>
      </c>
      <c r="G320" s="329"/>
      <c r="H320" s="329">
        <v>37.770000000000003</v>
      </c>
      <c r="I320" s="329"/>
      <c r="J320" s="329"/>
      <c r="K320" s="330">
        <f>ROUND(F320*H320*E320,2)</f>
        <v>83.09</v>
      </c>
      <c r="L320" s="545"/>
    </row>
    <row r="321" spans="1:21" ht="13.8" hidden="1" thickBot="1" x14ac:dyDescent="0.3">
      <c r="A321" s="528"/>
      <c r="B321" s="529"/>
      <c r="C321" s="530"/>
      <c r="D321" s="119"/>
      <c r="E321" s="119"/>
      <c r="F321" s="331"/>
      <c r="G321" s="331"/>
      <c r="H321" s="332"/>
      <c r="I321" s="333"/>
      <c r="J321" s="333">
        <f>SUM(K319:K320)</f>
        <v>143.52000000000001</v>
      </c>
      <c r="K321" s="334" t="str">
        <f>D317</f>
        <v>M3</v>
      </c>
      <c r="L321" s="546"/>
    </row>
    <row r="322" spans="1:21" customFormat="1" ht="45.75" hidden="1" customHeight="1" x14ac:dyDescent="0.3">
      <c r="A322" s="123">
        <v>102713</v>
      </c>
      <c r="B322" s="120" t="s">
        <v>107</v>
      </c>
      <c r="C322" s="122" t="s">
        <v>355</v>
      </c>
      <c r="D322" s="312" t="s">
        <v>356</v>
      </c>
      <c r="E322" s="121" t="s">
        <v>118</v>
      </c>
      <c r="F322" s="326" t="s">
        <v>117</v>
      </c>
      <c r="G322" s="326" t="s">
        <v>116</v>
      </c>
      <c r="H322" s="327" t="s">
        <v>115</v>
      </c>
      <c r="I322" s="326" t="s">
        <v>114</v>
      </c>
      <c r="J322" s="326" t="s">
        <v>113</v>
      </c>
      <c r="K322" s="328" t="s">
        <v>10</v>
      </c>
      <c r="L322" s="544" t="s">
        <v>362</v>
      </c>
      <c r="U322" s="369"/>
    </row>
    <row r="323" spans="1:21" hidden="1" x14ac:dyDescent="0.25">
      <c r="A323" s="117"/>
      <c r="B323" s="116"/>
      <c r="C323" s="311" t="str">
        <f>C318</f>
        <v>Av. Dona Verde</v>
      </c>
      <c r="D323" s="116"/>
      <c r="E323" s="371">
        <f>2*(F329/G329)</f>
        <v>50.360000000000007</v>
      </c>
      <c r="F323" s="329">
        <v>0.16</v>
      </c>
      <c r="G323" s="329"/>
      <c r="H323" s="329"/>
      <c r="I323" s="329"/>
      <c r="J323" s="329"/>
      <c r="K323" s="330">
        <f>ROUND(E323*F323,2)</f>
        <v>8.06</v>
      </c>
      <c r="L323" s="545"/>
    </row>
    <row r="324" spans="1:21" ht="13.8" hidden="1" thickBot="1" x14ac:dyDescent="0.3">
      <c r="A324" s="528"/>
      <c r="B324" s="529"/>
      <c r="C324" s="530"/>
      <c r="D324" s="119"/>
      <c r="E324" s="119"/>
      <c r="F324" s="331"/>
      <c r="G324" s="331"/>
      <c r="H324" s="332"/>
      <c r="I324" s="333"/>
      <c r="J324" s="333">
        <f>SUM(K323:K323)</f>
        <v>8.06</v>
      </c>
      <c r="K324" s="334" t="str">
        <f>D322</f>
        <v>M2</v>
      </c>
      <c r="L324" s="546"/>
    </row>
    <row r="325" spans="1:21" customFormat="1" ht="23.4" hidden="1" customHeight="1" x14ac:dyDescent="0.3">
      <c r="A325" s="123">
        <v>102718</v>
      </c>
      <c r="B325" s="120" t="s">
        <v>107</v>
      </c>
      <c r="C325" s="122" t="s">
        <v>357</v>
      </c>
      <c r="D325" s="312" t="s">
        <v>354</v>
      </c>
      <c r="E325" s="121" t="s">
        <v>118</v>
      </c>
      <c r="F325" s="326" t="s">
        <v>117</v>
      </c>
      <c r="G325" s="326" t="s">
        <v>116</v>
      </c>
      <c r="H325" s="327" t="s">
        <v>115</v>
      </c>
      <c r="I325" s="326" t="s">
        <v>114</v>
      </c>
      <c r="J325" s="326" t="s">
        <v>113</v>
      </c>
      <c r="K325" s="328" t="s">
        <v>10</v>
      </c>
      <c r="L325" s="544" t="s">
        <v>363</v>
      </c>
      <c r="U325" s="369"/>
    </row>
    <row r="326" spans="1:21" hidden="1" x14ac:dyDescent="0.25">
      <c r="A326" s="117"/>
      <c r="B326" s="116"/>
      <c r="C326" s="311" t="str">
        <f>C323</f>
        <v>Av. Dona Verde</v>
      </c>
      <c r="D326" s="116"/>
      <c r="E326" s="116">
        <v>2</v>
      </c>
      <c r="F326" s="329"/>
      <c r="G326" s="329">
        <v>0.1</v>
      </c>
      <c r="H326" s="329">
        <v>37.770000000000003</v>
      </c>
      <c r="I326" s="329">
        <v>2</v>
      </c>
      <c r="J326" s="329"/>
      <c r="K326" s="330">
        <f>ROUND(G326*H326*I326*E326,2)</f>
        <v>15.11</v>
      </c>
      <c r="L326" s="545"/>
    </row>
    <row r="327" spans="1:21" ht="13.8" hidden="1" thickBot="1" x14ac:dyDescent="0.3">
      <c r="A327" s="528"/>
      <c r="B327" s="529"/>
      <c r="C327" s="530"/>
      <c r="D327" s="119"/>
      <c r="E327" s="119"/>
      <c r="F327" s="331"/>
      <c r="G327" s="331"/>
      <c r="H327" s="332"/>
      <c r="I327" s="333"/>
      <c r="J327" s="333">
        <f>SUM(K326:K326)</f>
        <v>15.11</v>
      </c>
      <c r="K327" s="334" t="str">
        <f>D325</f>
        <v>M3</v>
      </c>
      <c r="L327" s="546"/>
    </row>
    <row r="328" spans="1:21" customFormat="1" ht="29.4" hidden="1" customHeight="1" x14ac:dyDescent="0.3">
      <c r="A328" s="123">
        <v>89576</v>
      </c>
      <c r="B328" s="120" t="s">
        <v>107</v>
      </c>
      <c r="C328" s="122" t="s">
        <v>358</v>
      </c>
      <c r="D328" s="312" t="s">
        <v>226</v>
      </c>
      <c r="E328" s="121" t="s">
        <v>118</v>
      </c>
      <c r="F328" s="372" t="s">
        <v>364</v>
      </c>
      <c r="G328" s="335" t="s">
        <v>365</v>
      </c>
      <c r="H328" s="373" t="s">
        <v>366</v>
      </c>
      <c r="I328" s="326" t="s">
        <v>114</v>
      </c>
      <c r="J328" s="326" t="s">
        <v>113</v>
      </c>
      <c r="K328" s="328" t="s">
        <v>10</v>
      </c>
      <c r="L328" s="544" t="s">
        <v>361</v>
      </c>
      <c r="U328" s="369"/>
    </row>
    <row r="329" spans="1:21" hidden="1" x14ac:dyDescent="0.25">
      <c r="A329" s="117"/>
      <c r="B329" s="116"/>
      <c r="C329" s="311" t="str">
        <f>C326</f>
        <v>Av. Dona Verde</v>
      </c>
      <c r="D329" s="116"/>
      <c r="E329" s="371">
        <v>2</v>
      </c>
      <c r="F329" s="329">
        <v>37.770000000000003</v>
      </c>
      <c r="G329" s="329">
        <v>1.5</v>
      </c>
      <c r="H329" s="329">
        <v>0.75</v>
      </c>
      <c r="I329" s="329"/>
      <c r="J329" s="329"/>
      <c r="K329" s="330">
        <f>ROUND((F329/G329)*H329*E329,2)</f>
        <v>37.770000000000003</v>
      </c>
      <c r="L329" s="545"/>
    </row>
    <row r="330" spans="1:21" ht="13.8" hidden="1" thickBot="1" x14ac:dyDescent="0.3">
      <c r="A330" s="528"/>
      <c r="B330" s="529"/>
      <c r="C330" s="530"/>
      <c r="D330" s="119"/>
      <c r="E330" s="119"/>
      <c r="F330" s="331"/>
      <c r="G330" s="331"/>
      <c r="H330" s="332"/>
      <c r="I330" s="333"/>
      <c r="J330" s="333">
        <f>SUM(K329:K329)</f>
        <v>37.770000000000003</v>
      </c>
      <c r="K330" s="334" t="str">
        <f>D328</f>
        <v>M</v>
      </c>
      <c r="L330" s="546"/>
    </row>
    <row r="331" spans="1:21" ht="13.8" hidden="1" thickBot="1" x14ac:dyDescent="0.3">
      <c r="A331" s="531" t="s">
        <v>351</v>
      </c>
      <c r="B331" s="532"/>
      <c r="C331" s="532"/>
      <c r="D331" s="532"/>
      <c r="E331" s="532"/>
      <c r="F331" s="532"/>
      <c r="G331" s="532"/>
      <c r="H331" s="532"/>
      <c r="I331" s="532"/>
      <c r="J331" s="532"/>
      <c r="K331" s="532"/>
      <c r="L331" s="533"/>
    </row>
    <row r="332" spans="1:21" customFormat="1" ht="13.2" hidden="1" customHeight="1" x14ac:dyDescent="0.3">
      <c r="A332" s="123" t="s">
        <v>496</v>
      </c>
      <c r="B332" s="120" t="s">
        <v>210</v>
      </c>
      <c r="C332" s="122" t="s">
        <v>497</v>
      </c>
      <c r="D332" s="312" t="s">
        <v>220</v>
      </c>
      <c r="E332" s="121" t="s">
        <v>118</v>
      </c>
      <c r="F332" s="326" t="s">
        <v>117</v>
      </c>
      <c r="G332" s="326" t="s">
        <v>116</v>
      </c>
      <c r="H332" s="327" t="s">
        <v>115</v>
      </c>
      <c r="I332" s="326" t="s">
        <v>114</v>
      </c>
      <c r="J332" s="326" t="s">
        <v>113</v>
      </c>
      <c r="K332" s="328" t="s">
        <v>10</v>
      </c>
      <c r="L332" s="544"/>
      <c r="U332" s="369"/>
    </row>
    <row r="333" spans="1:21" ht="13.2" hidden="1" customHeight="1" x14ac:dyDescent="0.25">
      <c r="A333" s="117"/>
      <c r="B333" s="116"/>
      <c r="C333" s="311" t="str">
        <f>C329</f>
        <v>Av. Dona Verde</v>
      </c>
      <c r="D333" s="371"/>
      <c r="E333" s="116">
        <v>36</v>
      </c>
      <c r="F333" s="329"/>
      <c r="G333" s="329"/>
      <c r="H333" s="329"/>
      <c r="I333" s="329"/>
      <c r="J333" s="329"/>
      <c r="K333" s="330">
        <f>E333</f>
        <v>36</v>
      </c>
      <c r="L333" s="545"/>
    </row>
    <row r="334" spans="1:21" ht="13.2" hidden="1" customHeight="1" thickBot="1" x14ac:dyDescent="0.3">
      <c r="A334" s="528"/>
      <c r="B334" s="529"/>
      <c r="C334" s="530"/>
      <c r="D334" s="119"/>
      <c r="E334" s="119"/>
      <c r="F334" s="331"/>
      <c r="G334" s="331"/>
      <c r="H334" s="332"/>
      <c r="I334" s="333"/>
      <c r="J334" s="333">
        <f>SUM(K333:K333)</f>
        <v>36</v>
      </c>
      <c r="K334" s="334" t="str">
        <f>D332</f>
        <v>UN</v>
      </c>
      <c r="L334" s="545"/>
    </row>
    <row r="335" spans="1:21" ht="13.2" customHeight="1" x14ac:dyDescent="0.25">
      <c r="A335" s="151"/>
      <c r="B335" s="151"/>
      <c r="C335" s="151"/>
      <c r="D335" s="151"/>
      <c r="E335" s="151"/>
      <c r="F335" s="151"/>
      <c r="G335" s="151"/>
      <c r="H335" s="151"/>
      <c r="I335" s="151"/>
      <c r="J335" s="151"/>
      <c r="K335" s="151"/>
    </row>
    <row r="336" spans="1:21" x14ac:dyDescent="0.25">
      <c r="A336" s="151"/>
      <c r="B336" s="151"/>
      <c r="C336" s="151"/>
      <c r="D336" s="151"/>
      <c r="E336" s="151"/>
      <c r="F336" s="151"/>
      <c r="G336" s="151"/>
      <c r="H336" s="151"/>
      <c r="I336" s="151"/>
      <c r="J336" s="151"/>
      <c r="K336" s="151"/>
    </row>
    <row r="337" spans="1:11" x14ac:dyDescent="0.25">
      <c r="A337" s="560" t="str">
        <f>DADOS!B5</f>
        <v>SÃO FELIPE/BA</v>
      </c>
      <c r="B337" s="560"/>
      <c r="C337" s="560"/>
      <c r="D337" s="560"/>
      <c r="E337" s="29"/>
      <c r="F337" s="29"/>
      <c r="G337" s="561">
        <f ca="1">DADOS!B18</f>
        <v>45812</v>
      </c>
      <c r="H337" s="561"/>
      <c r="I337" s="561"/>
      <c r="J337" s="561"/>
      <c r="K337" s="151"/>
    </row>
    <row r="338" spans="1:11" x14ac:dyDescent="0.25">
      <c r="A338" s="562" t="s">
        <v>20</v>
      </c>
      <c r="B338" s="562"/>
      <c r="C338" s="562"/>
      <c r="D338" s="562"/>
      <c r="E338" s="29"/>
      <c r="F338" s="29"/>
      <c r="G338" s="562" t="s">
        <v>21</v>
      </c>
      <c r="H338" s="562"/>
      <c r="I338" s="562"/>
      <c r="J338" s="562"/>
      <c r="K338" s="151"/>
    </row>
    <row r="339" spans="1:11" ht="14.4" x14ac:dyDescent="0.25">
      <c r="A339" s="29"/>
      <c r="B339" s="29"/>
      <c r="C339" s="29"/>
      <c r="D339" s="126"/>
      <c r="E339" s="29"/>
      <c r="F339" s="29"/>
      <c r="G339" s="29"/>
      <c r="H339" s="29"/>
      <c r="I339" s="29"/>
      <c r="J339" s="127"/>
      <c r="K339" s="151"/>
    </row>
    <row r="340" spans="1:11" ht="14.4" x14ac:dyDescent="0.25">
      <c r="A340" s="29"/>
      <c r="B340" s="29"/>
      <c r="C340" s="29"/>
      <c r="D340" s="126"/>
      <c r="E340" s="29"/>
      <c r="F340" s="29"/>
      <c r="G340" s="29"/>
      <c r="H340" s="29"/>
      <c r="I340" s="29"/>
      <c r="J340" s="127"/>
      <c r="K340" s="151"/>
    </row>
    <row r="341" spans="1:11" ht="14.4" x14ac:dyDescent="0.25">
      <c r="A341" s="29"/>
      <c r="B341" s="29"/>
      <c r="C341" s="29"/>
      <c r="D341" s="126"/>
      <c r="E341" s="29"/>
      <c r="F341" s="29"/>
      <c r="G341" s="29"/>
      <c r="H341" s="29"/>
      <c r="I341" s="29"/>
      <c r="J341" s="127"/>
      <c r="K341" s="151"/>
    </row>
    <row r="342" spans="1:11" ht="14.4" x14ac:dyDescent="0.25">
      <c r="A342" s="29"/>
      <c r="B342" s="29"/>
      <c r="C342" s="29"/>
      <c r="D342" s="126"/>
      <c r="E342" s="29"/>
      <c r="F342" s="29"/>
      <c r="G342" s="29"/>
      <c r="H342" s="29"/>
      <c r="I342" s="29"/>
      <c r="J342" s="127"/>
      <c r="K342" s="151"/>
    </row>
    <row r="343" spans="1:11" ht="14.4" x14ac:dyDescent="0.25">
      <c r="A343" s="29"/>
      <c r="B343" s="29"/>
      <c r="C343" s="29"/>
      <c r="D343" s="126"/>
      <c r="E343" s="29"/>
      <c r="F343" s="29"/>
      <c r="G343" s="29"/>
      <c r="H343" s="29"/>
      <c r="I343" s="29"/>
      <c r="J343" s="127"/>
      <c r="K343" s="151"/>
    </row>
    <row r="344" spans="1:11" ht="14.4" x14ac:dyDescent="0.25">
      <c r="A344" s="29"/>
      <c r="B344" s="29"/>
      <c r="C344" s="29"/>
      <c r="D344" s="126"/>
      <c r="E344" s="29"/>
      <c r="F344" s="29"/>
      <c r="G344" s="29"/>
      <c r="H344" s="29"/>
      <c r="I344" s="29"/>
      <c r="J344" s="127"/>
      <c r="K344" s="151"/>
    </row>
    <row r="345" spans="1:11" ht="14.4" x14ac:dyDescent="0.25">
      <c r="A345" s="558"/>
      <c r="B345" s="558"/>
      <c r="C345" s="558"/>
      <c r="D345" s="558"/>
      <c r="E345" s="29"/>
      <c r="F345" s="29"/>
      <c r="G345" s="29"/>
      <c r="H345" s="29"/>
      <c r="I345" s="29"/>
      <c r="J345" s="127"/>
      <c r="K345" s="151"/>
    </row>
    <row r="346" spans="1:11" ht="14.4" x14ac:dyDescent="0.25">
      <c r="A346" s="568" t="s">
        <v>23</v>
      </c>
      <c r="B346" s="568"/>
      <c r="C346" s="568"/>
      <c r="D346" s="568"/>
      <c r="E346" s="29"/>
      <c r="F346" s="29"/>
      <c r="G346" s="29"/>
      <c r="H346" s="29"/>
      <c r="I346" s="29"/>
      <c r="J346" s="127"/>
      <c r="K346" s="151"/>
    </row>
    <row r="347" spans="1:11" ht="14.4" x14ac:dyDescent="0.25">
      <c r="A347" s="567" t="s">
        <v>22</v>
      </c>
      <c r="B347" s="567"/>
      <c r="C347" s="508" t="str">
        <f>DADOS!B15</f>
        <v>Eliabe Vitória Souza</v>
      </c>
      <c r="D347" s="508"/>
      <c r="E347" s="29"/>
      <c r="F347" s="29"/>
      <c r="G347" s="29"/>
      <c r="H347" s="29"/>
      <c r="I347" s="29"/>
      <c r="J347" s="127"/>
      <c r="K347" s="151"/>
    </row>
    <row r="348" spans="1:11" ht="14.4" x14ac:dyDescent="0.25">
      <c r="A348" s="567" t="s">
        <v>24</v>
      </c>
      <c r="B348" s="567"/>
      <c r="C348" s="508" t="str">
        <f>DADOS!B16</f>
        <v>Engenheiro Civil</v>
      </c>
      <c r="D348" s="508"/>
      <c r="E348" s="29"/>
      <c r="F348" s="29"/>
      <c r="G348" s="29"/>
      <c r="H348" s="29"/>
      <c r="I348" s="29"/>
      <c r="J348" s="127"/>
      <c r="K348" s="151"/>
    </row>
    <row r="349" spans="1:11" ht="14.4" x14ac:dyDescent="0.25">
      <c r="A349" s="567" t="s">
        <v>25</v>
      </c>
      <c r="B349" s="567"/>
      <c r="C349" s="508" t="str">
        <f>DADOS!B17</f>
        <v>CREA/BA:051487735-9</v>
      </c>
      <c r="D349" s="508"/>
      <c r="E349" s="29"/>
      <c r="F349" s="29"/>
      <c r="G349" s="29"/>
      <c r="H349" s="29"/>
      <c r="I349" s="29"/>
      <c r="J349" s="127"/>
      <c r="K349" s="151"/>
    </row>
    <row r="350" spans="1:11" x14ac:dyDescent="0.25">
      <c r="A350" s="151"/>
      <c r="B350" s="151"/>
      <c r="C350" s="151"/>
      <c r="D350" s="151"/>
      <c r="E350" s="151"/>
      <c r="F350" s="151"/>
      <c r="G350" s="151"/>
      <c r="H350" s="151"/>
      <c r="I350" s="151"/>
      <c r="J350" s="151"/>
      <c r="K350" s="151"/>
    </row>
    <row r="351" spans="1:11" x14ac:dyDescent="0.25">
      <c r="A351" s="151"/>
      <c r="B351" s="151"/>
      <c r="C351" s="151"/>
      <c r="D351" s="151"/>
      <c r="E351" s="151"/>
      <c r="F351" s="151"/>
      <c r="G351" s="151"/>
      <c r="H351" s="151"/>
      <c r="I351" s="151"/>
      <c r="J351" s="151"/>
      <c r="K351" s="151"/>
    </row>
    <row r="352" spans="1:11" x14ac:dyDescent="0.25">
      <c r="A352" s="151"/>
      <c r="B352" s="151"/>
      <c r="C352" s="151"/>
      <c r="D352" s="151"/>
      <c r="E352" s="151"/>
      <c r="F352" s="151"/>
      <c r="G352" s="151"/>
      <c r="H352" s="151"/>
      <c r="I352" s="151"/>
      <c r="J352" s="151"/>
      <c r="K352" s="151"/>
    </row>
    <row r="353" spans="1:11" x14ac:dyDescent="0.25">
      <c r="A353" s="151"/>
      <c r="B353" s="151"/>
      <c r="C353" s="151"/>
      <c r="D353" s="151"/>
      <c r="E353" s="151"/>
      <c r="F353" s="151"/>
      <c r="G353" s="151"/>
      <c r="H353" s="151"/>
      <c r="I353" s="151"/>
      <c r="J353" s="151"/>
      <c r="K353" s="151"/>
    </row>
    <row r="354" spans="1:11" x14ac:dyDescent="0.25">
      <c r="A354" s="151"/>
      <c r="B354" s="151"/>
      <c r="C354" s="151"/>
      <c r="D354" s="151"/>
      <c r="E354" s="151"/>
      <c r="F354" s="151"/>
      <c r="G354" s="151"/>
      <c r="H354" s="151"/>
      <c r="I354" s="151"/>
      <c r="J354" s="151"/>
      <c r="K354" s="151"/>
    </row>
    <row r="355" spans="1:11" x14ac:dyDescent="0.25">
      <c r="A355" s="151"/>
      <c r="B355" s="151"/>
      <c r="C355" s="151"/>
      <c r="D355" s="151"/>
      <c r="E355" s="151"/>
      <c r="F355" s="151"/>
      <c r="G355" s="151"/>
      <c r="H355" s="151"/>
      <c r="I355" s="151"/>
      <c r="J355" s="151"/>
      <c r="K355" s="151"/>
    </row>
    <row r="356" spans="1:11" x14ac:dyDescent="0.25">
      <c r="A356" s="151"/>
      <c r="B356" s="151"/>
      <c r="C356" s="151"/>
      <c r="D356" s="151"/>
      <c r="E356" s="151"/>
      <c r="F356" s="151"/>
      <c r="G356" s="151"/>
      <c r="H356" s="151"/>
      <c r="I356" s="151"/>
      <c r="J356" s="151"/>
      <c r="K356" s="151"/>
    </row>
    <row r="357" spans="1:11" x14ac:dyDescent="0.25">
      <c r="A357" s="151"/>
      <c r="B357" s="151"/>
      <c r="C357" s="151"/>
      <c r="D357" s="151"/>
      <c r="E357" s="151"/>
      <c r="F357" s="151"/>
      <c r="G357" s="151"/>
      <c r="H357" s="151"/>
      <c r="I357" s="151"/>
      <c r="J357" s="151"/>
      <c r="K357" s="151"/>
    </row>
    <row r="358" spans="1:11" x14ac:dyDescent="0.25">
      <c r="A358" s="151"/>
      <c r="B358" s="151"/>
      <c r="C358" s="151"/>
      <c r="D358" s="151"/>
      <c r="E358" s="151"/>
      <c r="F358" s="151"/>
      <c r="G358" s="151"/>
      <c r="H358" s="151"/>
      <c r="I358" s="151"/>
      <c r="J358" s="151"/>
      <c r="K358" s="151"/>
    </row>
    <row r="359" spans="1:11" x14ac:dyDescent="0.25">
      <c r="A359" s="151"/>
      <c r="B359" s="151"/>
      <c r="C359" s="151"/>
      <c r="D359" s="151"/>
      <c r="E359" s="151"/>
      <c r="F359" s="151"/>
      <c r="G359" s="151"/>
      <c r="H359" s="151"/>
      <c r="I359" s="151"/>
      <c r="J359" s="151"/>
      <c r="K359" s="151"/>
    </row>
    <row r="360" spans="1:11" x14ac:dyDescent="0.25">
      <c r="A360" s="151"/>
      <c r="B360" s="151"/>
      <c r="C360" s="151"/>
      <c r="D360" s="151"/>
      <c r="E360" s="151"/>
      <c r="F360" s="151"/>
      <c r="G360" s="151"/>
      <c r="H360" s="151"/>
      <c r="I360" s="151"/>
      <c r="J360" s="151"/>
      <c r="K360" s="151"/>
    </row>
    <row r="361" spans="1:11" x14ac:dyDescent="0.25">
      <c r="A361" s="151"/>
      <c r="B361" s="151"/>
      <c r="C361" s="151"/>
      <c r="D361" s="151"/>
      <c r="E361" s="151"/>
      <c r="F361" s="151"/>
      <c r="G361" s="151"/>
      <c r="H361" s="151"/>
      <c r="I361" s="151"/>
      <c r="J361" s="151"/>
      <c r="K361" s="151"/>
    </row>
    <row r="362" spans="1:11" x14ac:dyDescent="0.25">
      <c r="A362" s="151"/>
      <c r="B362" s="151"/>
      <c r="C362" s="151"/>
      <c r="D362" s="151"/>
      <c r="E362" s="151"/>
      <c r="F362" s="151"/>
      <c r="G362" s="151"/>
      <c r="H362" s="151"/>
      <c r="I362" s="151"/>
      <c r="J362" s="151"/>
      <c r="K362" s="151"/>
    </row>
    <row r="363" spans="1:11" x14ac:dyDescent="0.25">
      <c r="A363" s="151"/>
      <c r="B363" s="151"/>
      <c r="C363" s="151"/>
      <c r="D363" s="151"/>
      <c r="E363" s="151"/>
      <c r="F363" s="151"/>
      <c r="G363" s="151"/>
      <c r="H363" s="151"/>
      <c r="I363" s="151"/>
      <c r="J363" s="151"/>
      <c r="K363" s="151"/>
    </row>
    <row r="364" spans="1:11" x14ac:dyDescent="0.25">
      <c r="A364" s="151"/>
      <c r="B364" s="151"/>
      <c r="C364" s="151"/>
      <c r="D364" s="151"/>
      <c r="E364" s="151"/>
      <c r="F364" s="151"/>
      <c r="G364" s="151"/>
      <c r="H364" s="151"/>
      <c r="I364" s="151"/>
      <c r="J364" s="151"/>
      <c r="K364" s="151"/>
    </row>
    <row r="365" spans="1:11" x14ac:dyDescent="0.25">
      <c r="A365" s="151"/>
      <c r="B365" s="151"/>
      <c r="C365" s="151"/>
      <c r="D365" s="151"/>
      <c r="E365" s="151"/>
      <c r="F365" s="151"/>
      <c r="G365" s="151"/>
      <c r="H365" s="151"/>
      <c r="I365" s="151"/>
      <c r="J365" s="151"/>
      <c r="K365" s="151"/>
    </row>
    <row r="366" spans="1:11" x14ac:dyDescent="0.25">
      <c r="A366" s="151"/>
      <c r="B366" s="151"/>
      <c r="C366" s="151"/>
      <c r="D366" s="151"/>
      <c r="E366" s="151"/>
      <c r="F366" s="151"/>
      <c r="G366" s="151"/>
      <c r="H366" s="151"/>
      <c r="I366" s="151"/>
      <c r="J366" s="151"/>
      <c r="K366" s="151"/>
    </row>
    <row r="367" spans="1:11" x14ac:dyDescent="0.25">
      <c r="A367" s="151"/>
      <c r="B367" s="151"/>
      <c r="C367" s="151"/>
      <c r="D367" s="151"/>
      <c r="E367" s="151"/>
      <c r="F367" s="151"/>
      <c r="G367" s="151"/>
      <c r="H367" s="151"/>
      <c r="I367" s="151"/>
      <c r="J367" s="151"/>
      <c r="K367" s="151"/>
    </row>
    <row r="368" spans="1:11" x14ac:dyDescent="0.25">
      <c r="A368" s="151"/>
      <c r="B368" s="151"/>
      <c r="C368" s="151"/>
      <c r="D368" s="151"/>
      <c r="E368" s="151"/>
      <c r="F368" s="151"/>
      <c r="G368" s="151"/>
      <c r="H368" s="151"/>
      <c r="I368" s="151"/>
      <c r="J368" s="151"/>
      <c r="K368" s="151"/>
    </row>
    <row r="369" spans="1:11" x14ac:dyDescent="0.25">
      <c r="A369" s="151"/>
      <c r="B369" s="151"/>
      <c r="C369" s="151"/>
      <c r="D369" s="151"/>
      <c r="E369" s="151"/>
      <c r="F369" s="151"/>
      <c r="G369" s="151"/>
      <c r="H369" s="151"/>
      <c r="I369" s="151"/>
      <c r="J369" s="151"/>
      <c r="K369" s="151"/>
    </row>
    <row r="370" spans="1:11" x14ac:dyDescent="0.25">
      <c r="A370" s="151"/>
      <c r="B370" s="151"/>
      <c r="C370" s="151"/>
      <c r="D370" s="151"/>
      <c r="E370" s="151"/>
      <c r="F370" s="151"/>
      <c r="G370" s="151"/>
      <c r="H370" s="151"/>
      <c r="I370" s="151"/>
      <c r="J370" s="151"/>
      <c r="K370" s="151"/>
    </row>
    <row r="371" spans="1:11" x14ac:dyDescent="0.25">
      <c r="A371" s="151"/>
      <c r="B371" s="151"/>
      <c r="C371" s="151"/>
      <c r="D371" s="151"/>
      <c r="E371" s="151"/>
      <c r="F371" s="151"/>
      <c r="G371" s="151"/>
      <c r="H371" s="151"/>
      <c r="I371" s="151"/>
      <c r="J371" s="151"/>
      <c r="K371" s="151"/>
    </row>
    <row r="372" spans="1:11" x14ac:dyDescent="0.25">
      <c r="A372" s="151"/>
      <c r="B372" s="151"/>
      <c r="C372" s="151"/>
      <c r="D372" s="151"/>
      <c r="E372" s="151"/>
      <c r="F372" s="151"/>
      <c r="G372" s="151"/>
      <c r="H372" s="151"/>
      <c r="I372" s="151"/>
      <c r="J372" s="151"/>
      <c r="K372" s="151"/>
    </row>
    <row r="373" spans="1:11" x14ac:dyDescent="0.25">
      <c r="A373" s="151"/>
      <c r="B373" s="151"/>
      <c r="C373" s="151"/>
      <c r="D373" s="151"/>
      <c r="E373" s="151"/>
      <c r="F373" s="151"/>
      <c r="G373" s="151"/>
      <c r="H373" s="151"/>
      <c r="I373" s="151"/>
      <c r="J373" s="151"/>
      <c r="K373" s="151"/>
    </row>
    <row r="374" spans="1:11" x14ac:dyDescent="0.25">
      <c r="A374" s="151"/>
      <c r="B374" s="151"/>
      <c r="C374" s="151"/>
      <c r="D374" s="151"/>
      <c r="E374" s="151"/>
      <c r="F374" s="151"/>
      <c r="G374" s="151"/>
      <c r="H374" s="151"/>
      <c r="I374" s="151"/>
      <c r="J374" s="151"/>
      <c r="K374" s="151"/>
    </row>
    <row r="375" spans="1:11" x14ac:dyDescent="0.25">
      <c r="A375" s="151"/>
      <c r="B375" s="151"/>
      <c r="C375" s="151"/>
      <c r="D375" s="151"/>
      <c r="E375" s="151"/>
      <c r="F375" s="151"/>
      <c r="G375" s="151"/>
      <c r="H375" s="151"/>
      <c r="I375" s="151"/>
      <c r="J375" s="151"/>
      <c r="K375" s="151"/>
    </row>
    <row r="376" spans="1:11" x14ac:dyDescent="0.25">
      <c r="A376" s="151"/>
      <c r="B376" s="151"/>
      <c r="C376" s="151"/>
      <c r="D376" s="151"/>
      <c r="E376" s="151"/>
      <c r="F376" s="151"/>
      <c r="G376" s="151"/>
      <c r="H376" s="151"/>
      <c r="I376" s="151"/>
      <c r="J376" s="151"/>
      <c r="K376" s="151"/>
    </row>
    <row r="377" spans="1:11" x14ac:dyDescent="0.25">
      <c r="A377" s="151"/>
      <c r="B377" s="151"/>
      <c r="C377" s="151"/>
      <c r="D377" s="151"/>
      <c r="E377" s="151"/>
      <c r="F377" s="151"/>
      <c r="G377" s="151"/>
      <c r="H377" s="151"/>
      <c r="I377" s="151"/>
      <c r="J377" s="151"/>
      <c r="K377" s="151"/>
    </row>
    <row r="378" spans="1:11" x14ac:dyDescent="0.25">
      <c r="A378" s="151"/>
      <c r="B378" s="151"/>
      <c r="C378" s="151"/>
      <c r="D378" s="151"/>
      <c r="E378" s="151"/>
      <c r="F378" s="151"/>
      <c r="G378" s="151"/>
      <c r="H378" s="151"/>
      <c r="I378" s="151"/>
      <c r="J378" s="151"/>
      <c r="K378" s="151"/>
    </row>
    <row r="379" spans="1:11" x14ac:dyDescent="0.25">
      <c r="A379" s="151"/>
      <c r="B379" s="151"/>
      <c r="C379" s="151"/>
      <c r="D379" s="151"/>
      <c r="E379" s="151"/>
      <c r="F379" s="151"/>
      <c r="G379" s="151"/>
      <c r="H379" s="151"/>
      <c r="I379" s="151"/>
      <c r="J379" s="151"/>
      <c r="K379" s="151"/>
    </row>
    <row r="380" spans="1:11" x14ac:dyDescent="0.25">
      <c r="A380" s="151"/>
      <c r="B380" s="151"/>
      <c r="C380" s="151"/>
      <c r="D380" s="151"/>
      <c r="E380" s="151"/>
      <c r="F380" s="151"/>
      <c r="G380" s="151"/>
      <c r="H380" s="151"/>
      <c r="I380" s="151"/>
      <c r="J380" s="151"/>
      <c r="K380" s="151"/>
    </row>
    <row r="381" spans="1:11" x14ac:dyDescent="0.25">
      <c r="A381" s="151"/>
      <c r="B381" s="151"/>
      <c r="C381" s="151"/>
      <c r="D381" s="151"/>
      <c r="E381" s="151"/>
      <c r="F381" s="151"/>
      <c r="G381" s="151"/>
      <c r="H381" s="151"/>
      <c r="I381" s="151"/>
      <c r="J381" s="151"/>
      <c r="K381" s="151"/>
    </row>
    <row r="382" spans="1:11" x14ac:dyDescent="0.25">
      <c r="A382" s="151"/>
      <c r="B382" s="151"/>
      <c r="C382" s="151"/>
      <c r="D382" s="151"/>
      <c r="E382" s="151"/>
      <c r="F382" s="151"/>
      <c r="G382" s="151"/>
      <c r="H382" s="151"/>
      <c r="I382" s="151"/>
      <c r="J382" s="151"/>
      <c r="K382" s="151"/>
    </row>
    <row r="383" spans="1:11" x14ac:dyDescent="0.25">
      <c r="A383" s="151"/>
      <c r="B383" s="151"/>
      <c r="C383" s="151"/>
      <c r="D383" s="151"/>
      <c r="E383" s="151"/>
      <c r="F383" s="151"/>
      <c r="G383" s="151"/>
      <c r="H383" s="151"/>
      <c r="I383" s="151"/>
      <c r="J383" s="151"/>
      <c r="K383" s="151"/>
    </row>
    <row r="384" spans="1:11" x14ac:dyDescent="0.25">
      <c r="A384" s="151"/>
      <c r="B384" s="151"/>
      <c r="C384" s="151"/>
      <c r="D384" s="151"/>
      <c r="E384" s="151"/>
      <c r="F384" s="151"/>
      <c r="G384" s="151"/>
      <c r="H384" s="151"/>
      <c r="I384" s="151"/>
      <c r="J384" s="151"/>
      <c r="K384" s="151"/>
    </row>
    <row r="385" spans="1:11" x14ac:dyDescent="0.25">
      <c r="A385" s="151"/>
      <c r="B385" s="151"/>
      <c r="C385" s="151"/>
      <c r="D385" s="151"/>
      <c r="E385" s="151"/>
      <c r="F385" s="151"/>
      <c r="G385" s="151"/>
      <c r="H385" s="151"/>
      <c r="I385" s="151"/>
      <c r="J385" s="151"/>
      <c r="K385" s="151"/>
    </row>
    <row r="386" spans="1:11" x14ac:dyDescent="0.25">
      <c r="A386" s="151"/>
      <c r="B386" s="151"/>
      <c r="C386" s="151"/>
      <c r="D386" s="151"/>
      <c r="E386" s="151"/>
      <c r="F386" s="151"/>
      <c r="G386" s="151"/>
      <c r="H386" s="151"/>
      <c r="I386" s="151"/>
      <c r="J386" s="151"/>
      <c r="K386" s="151"/>
    </row>
    <row r="387" spans="1:11" x14ac:dyDescent="0.25">
      <c r="A387" s="151"/>
      <c r="B387" s="151"/>
      <c r="C387" s="151"/>
      <c r="D387" s="151"/>
      <c r="E387" s="151"/>
      <c r="F387" s="151"/>
      <c r="G387" s="151"/>
      <c r="H387" s="151"/>
      <c r="I387" s="151"/>
      <c r="J387" s="151"/>
      <c r="K387" s="151"/>
    </row>
    <row r="388" spans="1:11" x14ac:dyDescent="0.25">
      <c r="A388" s="151"/>
      <c r="B388" s="151"/>
      <c r="C388" s="151"/>
      <c r="D388" s="151"/>
      <c r="E388" s="151"/>
      <c r="F388" s="151"/>
      <c r="G388" s="151"/>
      <c r="H388" s="151"/>
      <c r="I388" s="151"/>
      <c r="J388" s="151"/>
      <c r="K388" s="151"/>
    </row>
    <row r="389" spans="1:11" x14ac:dyDescent="0.25">
      <c r="A389" s="151"/>
      <c r="B389" s="151"/>
      <c r="C389" s="151"/>
      <c r="D389" s="151"/>
      <c r="E389" s="151"/>
      <c r="F389" s="151"/>
      <c r="G389" s="151"/>
      <c r="H389" s="151"/>
      <c r="I389" s="151"/>
      <c r="J389" s="151"/>
      <c r="K389" s="151"/>
    </row>
    <row r="390" spans="1:11" x14ac:dyDescent="0.25">
      <c r="A390" s="151"/>
      <c r="B390" s="151"/>
      <c r="C390" s="151"/>
      <c r="D390" s="151"/>
      <c r="E390" s="151"/>
      <c r="F390" s="151"/>
      <c r="G390" s="151"/>
      <c r="H390" s="151"/>
      <c r="I390" s="151"/>
      <c r="J390" s="151"/>
      <c r="K390" s="151"/>
    </row>
    <row r="391" spans="1:11" x14ac:dyDescent="0.25">
      <c r="A391" s="151"/>
      <c r="B391" s="151"/>
      <c r="C391" s="151"/>
      <c r="D391" s="151"/>
      <c r="E391" s="151"/>
      <c r="F391" s="151"/>
      <c r="G391" s="151"/>
      <c r="H391" s="151"/>
      <c r="I391" s="151"/>
      <c r="J391" s="151"/>
      <c r="K391" s="151"/>
    </row>
    <row r="392" spans="1:11" x14ac:dyDescent="0.25">
      <c r="A392" s="151"/>
      <c r="B392" s="151"/>
      <c r="C392" s="151"/>
      <c r="D392" s="151"/>
      <c r="E392" s="151"/>
      <c r="F392" s="151"/>
      <c r="G392" s="151"/>
      <c r="H392" s="151"/>
      <c r="I392" s="151"/>
      <c r="J392" s="151"/>
      <c r="K392" s="151"/>
    </row>
    <row r="393" spans="1:11" x14ac:dyDescent="0.25">
      <c r="A393" s="151"/>
      <c r="B393" s="151"/>
      <c r="C393" s="151"/>
      <c r="D393" s="151"/>
      <c r="E393" s="151"/>
      <c r="F393" s="151"/>
      <c r="G393" s="151"/>
      <c r="H393" s="151"/>
      <c r="I393" s="151"/>
      <c r="J393" s="151"/>
      <c r="K393" s="151"/>
    </row>
    <row r="394" spans="1:11" x14ac:dyDescent="0.25">
      <c r="A394" s="151"/>
      <c r="B394" s="151"/>
      <c r="C394" s="151"/>
      <c r="D394" s="151"/>
      <c r="E394" s="151"/>
      <c r="F394" s="151"/>
      <c r="G394" s="151"/>
      <c r="H394" s="151"/>
      <c r="I394" s="151"/>
      <c r="J394" s="151"/>
      <c r="K394" s="151"/>
    </row>
    <row r="395" spans="1:11" x14ac:dyDescent="0.25">
      <c r="A395" s="151"/>
      <c r="B395" s="151"/>
      <c r="C395" s="151"/>
      <c r="D395" s="151"/>
      <c r="E395" s="151"/>
      <c r="F395" s="151"/>
      <c r="G395" s="151"/>
      <c r="H395" s="151"/>
      <c r="I395" s="151"/>
      <c r="J395" s="151"/>
      <c r="K395" s="151"/>
    </row>
    <row r="396" spans="1:11" x14ac:dyDescent="0.25">
      <c r="A396" s="151"/>
      <c r="B396" s="151"/>
      <c r="C396" s="151"/>
      <c r="D396" s="151"/>
      <c r="E396" s="151"/>
      <c r="F396" s="151"/>
      <c r="G396" s="151"/>
      <c r="H396" s="151"/>
      <c r="I396" s="151"/>
      <c r="J396" s="151"/>
      <c r="K396" s="151"/>
    </row>
    <row r="397" spans="1:11" x14ac:dyDescent="0.25">
      <c r="A397" s="151"/>
      <c r="B397" s="151"/>
      <c r="C397" s="151"/>
      <c r="D397" s="151"/>
      <c r="E397" s="151"/>
      <c r="F397" s="151"/>
      <c r="G397" s="151"/>
      <c r="H397" s="151"/>
      <c r="I397" s="151"/>
      <c r="J397" s="151"/>
      <c r="K397" s="151"/>
    </row>
    <row r="398" spans="1:11" x14ac:dyDescent="0.25">
      <c r="A398" s="151"/>
      <c r="B398" s="151"/>
      <c r="C398" s="151"/>
      <c r="D398" s="151"/>
      <c r="E398" s="151"/>
      <c r="F398" s="151"/>
      <c r="G398" s="151"/>
      <c r="H398" s="151"/>
      <c r="I398" s="151"/>
      <c r="J398" s="151"/>
      <c r="K398" s="151"/>
    </row>
    <row r="399" spans="1:11" x14ac:dyDescent="0.25">
      <c r="A399" s="151"/>
      <c r="B399" s="151"/>
      <c r="C399" s="151"/>
      <c r="D399" s="151"/>
      <c r="E399" s="151"/>
      <c r="F399" s="151"/>
      <c r="G399" s="151"/>
      <c r="H399" s="151"/>
      <c r="I399" s="151"/>
      <c r="J399" s="151"/>
      <c r="K399" s="151"/>
    </row>
    <row r="400" spans="1:11" x14ac:dyDescent="0.25">
      <c r="A400" s="151"/>
      <c r="B400" s="151"/>
      <c r="C400" s="151"/>
      <c r="D400" s="151"/>
      <c r="E400" s="151"/>
      <c r="F400" s="151"/>
      <c r="G400" s="151"/>
      <c r="H400" s="151"/>
      <c r="I400" s="151"/>
      <c r="J400" s="151"/>
      <c r="K400" s="151"/>
    </row>
    <row r="401" spans="1:11" x14ac:dyDescent="0.25">
      <c r="A401" s="151"/>
      <c r="B401" s="151"/>
      <c r="C401" s="151"/>
      <c r="D401" s="151"/>
      <c r="E401" s="151"/>
      <c r="F401" s="151"/>
      <c r="G401" s="151"/>
      <c r="H401" s="151"/>
      <c r="I401" s="151"/>
      <c r="J401" s="151"/>
      <c r="K401" s="151"/>
    </row>
    <row r="402" spans="1:11" x14ac:dyDescent="0.25">
      <c r="A402" s="151"/>
      <c r="B402" s="151"/>
      <c r="C402" s="151"/>
      <c r="D402" s="151"/>
      <c r="E402" s="151"/>
      <c r="F402" s="151"/>
      <c r="G402" s="151"/>
      <c r="H402" s="151"/>
      <c r="I402" s="151"/>
      <c r="J402" s="151"/>
      <c r="K402" s="151"/>
    </row>
    <row r="403" spans="1:11" x14ac:dyDescent="0.25">
      <c r="A403" s="151"/>
      <c r="B403" s="151"/>
      <c r="C403" s="151"/>
      <c r="D403" s="151"/>
      <c r="E403" s="151"/>
      <c r="F403" s="151"/>
      <c r="G403" s="151"/>
      <c r="H403" s="151"/>
      <c r="I403" s="151"/>
      <c r="J403" s="151"/>
      <c r="K403" s="151"/>
    </row>
    <row r="404" spans="1:11" x14ac:dyDescent="0.25">
      <c r="A404" s="151"/>
      <c r="B404" s="151"/>
      <c r="C404" s="151"/>
      <c r="D404" s="151"/>
      <c r="E404" s="151"/>
      <c r="F404" s="151"/>
      <c r="G404" s="151"/>
      <c r="H404" s="151"/>
      <c r="I404" s="151"/>
      <c r="J404" s="151"/>
      <c r="K404" s="151"/>
    </row>
    <row r="405" spans="1:11" x14ac:dyDescent="0.25">
      <c r="A405" s="151"/>
      <c r="B405" s="151"/>
      <c r="C405" s="151"/>
      <c r="D405" s="151"/>
      <c r="E405" s="151"/>
      <c r="F405" s="151"/>
      <c r="G405" s="151"/>
      <c r="H405" s="151"/>
      <c r="I405" s="151"/>
      <c r="J405" s="151"/>
      <c r="K405" s="151"/>
    </row>
    <row r="406" spans="1:11" x14ac:dyDescent="0.25">
      <c r="A406" s="151"/>
      <c r="B406" s="151"/>
      <c r="C406" s="151"/>
      <c r="D406" s="151"/>
      <c r="E406" s="151"/>
      <c r="F406" s="151"/>
      <c r="G406" s="151"/>
      <c r="H406" s="151"/>
      <c r="I406" s="151"/>
      <c r="J406" s="151"/>
      <c r="K406" s="151"/>
    </row>
    <row r="407" spans="1:11" x14ac:dyDescent="0.25">
      <c r="A407" s="151"/>
      <c r="B407" s="151"/>
      <c r="C407" s="151"/>
      <c r="D407" s="151"/>
      <c r="E407" s="151"/>
      <c r="F407" s="151"/>
      <c r="G407" s="151"/>
      <c r="H407" s="151"/>
      <c r="I407" s="151"/>
      <c r="J407" s="151"/>
      <c r="K407" s="151"/>
    </row>
    <row r="408" spans="1:11" x14ac:dyDescent="0.25">
      <c r="A408" s="151"/>
      <c r="B408" s="151"/>
      <c r="C408" s="151"/>
      <c r="D408" s="151"/>
      <c r="E408" s="151"/>
      <c r="F408" s="151"/>
      <c r="G408" s="151"/>
      <c r="H408" s="151"/>
      <c r="I408" s="151"/>
      <c r="J408" s="151"/>
      <c r="K408" s="151"/>
    </row>
    <row r="409" spans="1:11" x14ac:dyDescent="0.25">
      <c r="A409" s="151"/>
      <c r="B409" s="151"/>
      <c r="C409" s="151"/>
      <c r="D409" s="151"/>
      <c r="E409" s="151"/>
      <c r="F409" s="151"/>
      <c r="G409" s="151"/>
      <c r="H409" s="151"/>
      <c r="I409" s="151"/>
      <c r="J409" s="151"/>
      <c r="K409" s="151"/>
    </row>
    <row r="410" spans="1:11" x14ac:dyDescent="0.25">
      <c r="A410" s="151"/>
      <c r="B410" s="151"/>
      <c r="C410" s="151"/>
      <c r="D410" s="151"/>
      <c r="E410" s="151"/>
      <c r="F410" s="151"/>
      <c r="G410" s="151"/>
      <c r="H410" s="151"/>
      <c r="I410" s="151"/>
      <c r="J410" s="151"/>
      <c r="K410" s="151"/>
    </row>
    <row r="411" spans="1:11" x14ac:dyDescent="0.25">
      <c r="A411" s="151"/>
      <c r="B411" s="151"/>
      <c r="C411" s="151"/>
      <c r="D411" s="151"/>
      <c r="E411" s="151"/>
      <c r="F411" s="151"/>
      <c r="G411" s="151"/>
      <c r="H411" s="151"/>
      <c r="I411" s="151"/>
      <c r="J411" s="151"/>
      <c r="K411" s="151"/>
    </row>
    <row r="412" spans="1:11" x14ac:dyDescent="0.25">
      <c r="A412" s="151"/>
      <c r="B412" s="151"/>
      <c r="C412" s="151"/>
      <c r="D412" s="151"/>
      <c r="E412" s="151"/>
      <c r="F412" s="151"/>
      <c r="G412" s="151"/>
      <c r="H412" s="151"/>
      <c r="I412" s="151"/>
      <c r="J412" s="151"/>
      <c r="K412" s="151"/>
    </row>
    <row r="413" spans="1:11" x14ac:dyDescent="0.25">
      <c r="A413" s="151"/>
      <c r="B413" s="151"/>
      <c r="C413" s="151"/>
      <c r="D413" s="151"/>
      <c r="E413" s="151"/>
      <c r="F413" s="151"/>
      <c r="G413" s="151"/>
      <c r="H413" s="151"/>
      <c r="I413" s="151"/>
      <c r="J413" s="151"/>
      <c r="K413" s="151"/>
    </row>
    <row r="414" spans="1:11" x14ac:dyDescent="0.25">
      <c r="A414" s="151"/>
      <c r="B414" s="151"/>
      <c r="C414" s="151"/>
      <c r="D414" s="151"/>
      <c r="E414" s="151"/>
      <c r="F414" s="151"/>
      <c r="G414" s="151"/>
      <c r="H414" s="151"/>
      <c r="I414" s="151"/>
      <c r="J414" s="151"/>
      <c r="K414" s="151"/>
    </row>
    <row r="415" spans="1:11" x14ac:dyDescent="0.25">
      <c r="A415" s="151"/>
      <c r="B415" s="151"/>
      <c r="C415" s="151"/>
      <c r="D415" s="151"/>
      <c r="E415" s="151"/>
      <c r="F415" s="151"/>
      <c r="G415" s="151"/>
      <c r="H415" s="151"/>
      <c r="I415" s="151"/>
      <c r="J415" s="151"/>
      <c r="K415" s="151"/>
    </row>
    <row r="416" spans="1:11" x14ac:dyDescent="0.25">
      <c r="A416" s="151"/>
      <c r="B416" s="151"/>
      <c r="C416" s="151"/>
      <c r="D416" s="151"/>
      <c r="E416" s="151"/>
      <c r="F416" s="151"/>
      <c r="G416" s="151"/>
      <c r="H416" s="151"/>
      <c r="I416" s="151"/>
      <c r="J416" s="151"/>
      <c r="K416" s="151"/>
    </row>
    <row r="417" spans="1:11" x14ac:dyDescent="0.25">
      <c r="A417" s="151"/>
      <c r="B417" s="151"/>
      <c r="C417" s="151"/>
      <c r="D417" s="151"/>
      <c r="E417" s="151"/>
      <c r="F417" s="151"/>
      <c r="G417" s="151"/>
      <c r="H417" s="151"/>
      <c r="I417" s="151"/>
      <c r="J417" s="151"/>
      <c r="K417" s="151"/>
    </row>
    <row r="418" spans="1:11" x14ac:dyDescent="0.25">
      <c r="A418" s="151"/>
      <c r="B418" s="151"/>
      <c r="C418" s="151"/>
      <c r="D418" s="151"/>
      <c r="E418" s="151"/>
      <c r="F418" s="151"/>
      <c r="G418" s="151"/>
      <c r="H418" s="151"/>
      <c r="I418" s="151"/>
      <c r="J418" s="151"/>
      <c r="K418" s="151"/>
    </row>
    <row r="419" spans="1:11" x14ac:dyDescent="0.25">
      <c r="A419" s="151"/>
      <c r="B419" s="151"/>
      <c r="C419" s="151"/>
      <c r="D419" s="151"/>
      <c r="E419" s="151"/>
      <c r="F419" s="151"/>
      <c r="G419" s="151"/>
      <c r="H419" s="151"/>
      <c r="I419" s="151"/>
      <c r="J419" s="151"/>
      <c r="K419" s="151"/>
    </row>
    <row r="420" spans="1:11" x14ac:dyDescent="0.25">
      <c r="A420" s="151"/>
      <c r="B420" s="151"/>
      <c r="C420" s="151"/>
      <c r="D420" s="151"/>
      <c r="E420" s="151"/>
      <c r="F420" s="151"/>
      <c r="G420" s="151"/>
      <c r="H420" s="151"/>
      <c r="I420" s="151"/>
      <c r="J420" s="151"/>
      <c r="K420" s="151"/>
    </row>
    <row r="421" spans="1:11" x14ac:dyDescent="0.25">
      <c r="A421" s="151"/>
      <c r="B421" s="151"/>
      <c r="C421" s="151"/>
      <c r="D421" s="151"/>
      <c r="E421" s="151"/>
      <c r="F421" s="151"/>
      <c r="G421" s="151"/>
      <c r="H421" s="151"/>
      <c r="I421" s="151"/>
      <c r="J421" s="151"/>
      <c r="K421" s="151"/>
    </row>
    <row r="422" spans="1:11" x14ac:dyDescent="0.25">
      <c r="A422" s="151"/>
      <c r="B422" s="151"/>
      <c r="C422" s="151"/>
      <c r="D422" s="151"/>
      <c r="E422" s="151"/>
      <c r="F422" s="151"/>
      <c r="G422" s="151"/>
      <c r="H422" s="151"/>
      <c r="I422" s="151"/>
      <c r="J422" s="151"/>
      <c r="K422" s="151"/>
    </row>
    <row r="423" spans="1:11" x14ac:dyDescent="0.25">
      <c r="A423" s="151"/>
      <c r="B423" s="151"/>
      <c r="C423" s="151"/>
      <c r="D423" s="151"/>
      <c r="E423" s="151"/>
      <c r="F423" s="151"/>
      <c r="G423" s="151"/>
      <c r="H423" s="151"/>
      <c r="I423" s="151"/>
      <c r="J423" s="151"/>
      <c r="K423" s="151"/>
    </row>
    <row r="424" spans="1:11" x14ac:dyDescent="0.25">
      <c r="A424" s="151"/>
      <c r="B424" s="151"/>
      <c r="C424" s="151"/>
      <c r="D424" s="151"/>
      <c r="E424" s="151"/>
      <c r="F424" s="151"/>
      <c r="G424" s="151"/>
      <c r="H424" s="151"/>
      <c r="I424" s="151"/>
      <c r="J424" s="151"/>
      <c r="K424" s="151"/>
    </row>
    <row r="425" spans="1:11" x14ac:dyDescent="0.25">
      <c r="A425" s="151"/>
      <c r="B425" s="151"/>
      <c r="C425" s="151"/>
      <c r="D425" s="151"/>
      <c r="E425" s="151"/>
      <c r="F425" s="151"/>
      <c r="G425" s="151"/>
      <c r="H425" s="151"/>
      <c r="I425" s="151"/>
      <c r="J425" s="151"/>
      <c r="K425" s="151"/>
    </row>
    <row r="426" spans="1:11" x14ac:dyDescent="0.25">
      <c r="A426" s="151"/>
      <c r="B426" s="151"/>
      <c r="C426" s="151"/>
      <c r="D426" s="151"/>
      <c r="E426" s="151"/>
      <c r="F426" s="151"/>
      <c r="G426" s="151"/>
      <c r="H426" s="151"/>
      <c r="I426" s="151"/>
      <c r="J426" s="151"/>
      <c r="K426" s="151"/>
    </row>
    <row r="427" spans="1:11" x14ac:dyDescent="0.25">
      <c r="A427" s="151"/>
      <c r="B427" s="151"/>
      <c r="C427" s="151"/>
      <c r="D427" s="151"/>
      <c r="E427" s="151"/>
      <c r="F427" s="151"/>
      <c r="G427" s="151"/>
      <c r="H427" s="151"/>
      <c r="I427" s="151"/>
      <c r="J427" s="151"/>
      <c r="K427" s="151"/>
    </row>
    <row r="428" spans="1:11" x14ac:dyDescent="0.25">
      <c r="A428" s="151"/>
      <c r="B428" s="151"/>
      <c r="C428" s="151"/>
      <c r="D428" s="151"/>
      <c r="E428" s="151"/>
      <c r="F428" s="151"/>
      <c r="G428" s="151"/>
      <c r="H428" s="151"/>
      <c r="I428" s="151"/>
      <c r="J428" s="151"/>
      <c r="K428" s="151"/>
    </row>
    <row r="429" spans="1:11" x14ac:dyDescent="0.25">
      <c r="A429" s="151"/>
      <c r="B429" s="151"/>
      <c r="C429" s="151"/>
      <c r="D429" s="151"/>
      <c r="E429" s="151"/>
      <c r="F429" s="151"/>
      <c r="G429" s="151"/>
      <c r="H429" s="151"/>
      <c r="I429" s="151"/>
      <c r="J429" s="151"/>
      <c r="K429" s="151"/>
    </row>
    <row r="430" spans="1:11" x14ac:dyDescent="0.25">
      <c r="A430" s="151"/>
      <c r="B430" s="151"/>
      <c r="C430" s="151"/>
      <c r="D430" s="151"/>
      <c r="E430" s="151"/>
      <c r="F430" s="151"/>
      <c r="G430" s="151"/>
      <c r="H430" s="151"/>
      <c r="I430" s="151"/>
      <c r="J430" s="151"/>
      <c r="K430" s="151"/>
    </row>
    <row r="431" spans="1:11" x14ac:dyDescent="0.25">
      <c r="A431" s="151"/>
      <c r="B431" s="151"/>
      <c r="C431" s="151"/>
      <c r="D431" s="151"/>
      <c r="E431" s="151"/>
      <c r="F431" s="151"/>
      <c r="G431" s="151"/>
      <c r="H431" s="151"/>
      <c r="I431" s="151"/>
      <c r="J431" s="151"/>
      <c r="K431" s="151"/>
    </row>
    <row r="432" spans="1:11" x14ac:dyDescent="0.25">
      <c r="A432" s="151"/>
      <c r="B432" s="151"/>
      <c r="C432" s="151"/>
      <c r="D432" s="151"/>
      <c r="E432" s="151"/>
      <c r="F432" s="151"/>
      <c r="G432" s="151"/>
      <c r="H432" s="151"/>
      <c r="I432" s="151"/>
      <c r="J432" s="151"/>
      <c r="K432" s="151"/>
    </row>
    <row r="433" spans="1:11" x14ac:dyDescent="0.25">
      <c r="A433" s="151"/>
      <c r="B433" s="151"/>
      <c r="C433" s="151"/>
      <c r="D433" s="151"/>
      <c r="E433" s="151"/>
      <c r="F433" s="151"/>
      <c r="G433" s="151"/>
      <c r="H433" s="151"/>
      <c r="I433" s="151"/>
      <c r="J433" s="151"/>
      <c r="K433" s="151"/>
    </row>
    <row r="434" spans="1:11" x14ac:dyDescent="0.25">
      <c r="A434" s="151"/>
      <c r="B434" s="151"/>
      <c r="C434" s="151"/>
      <c r="D434" s="151"/>
      <c r="E434" s="151"/>
      <c r="F434" s="151"/>
      <c r="G434" s="151"/>
      <c r="H434" s="151"/>
      <c r="I434" s="151"/>
      <c r="J434" s="151"/>
      <c r="K434" s="151"/>
    </row>
    <row r="435" spans="1:11" x14ac:dyDescent="0.25">
      <c r="A435" s="151"/>
      <c r="B435" s="151"/>
      <c r="C435" s="151"/>
      <c r="D435" s="151"/>
      <c r="E435" s="151"/>
      <c r="F435" s="151"/>
      <c r="G435" s="151"/>
      <c r="H435" s="151"/>
      <c r="I435" s="151"/>
      <c r="J435" s="151"/>
      <c r="K435" s="151"/>
    </row>
    <row r="436" spans="1:11" x14ac:dyDescent="0.25">
      <c r="A436" s="151"/>
      <c r="B436" s="151"/>
      <c r="C436" s="151"/>
      <c r="D436" s="151"/>
      <c r="E436" s="151"/>
      <c r="F436" s="151"/>
      <c r="G436" s="151"/>
      <c r="H436" s="151"/>
      <c r="I436" s="151"/>
      <c r="J436" s="151"/>
      <c r="K436" s="151"/>
    </row>
    <row r="437" spans="1:11" x14ac:dyDescent="0.25">
      <c r="A437" s="151"/>
      <c r="B437" s="151"/>
      <c r="C437" s="151"/>
      <c r="D437" s="151"/>
      <c r="E437" s="151"/>
      <c r="F437" s="151"/>
      <c r="G437" s="151"/>
      <c r="H437" s="151"/>
      <c r="I437" s="151"/>
      <c r="J437" s="151"/>
      <c r="K437" s="151"/>
    </row>
    <row r="438" spans="1:11" x14ac:dyDescent="0.25">
      <c r="A438" s="151"/>
      <c r="B438" s="151"/>
      <c r="C438" s="151"/>
      <c r="D438" s="151"/>
      <c r="E438" s="151"/>
      <c r="F438" s="151"/>
      <c r="G438" s="151"/>
      <c r="H438" s="151"/>
      <c r="I438" s="151"/>
      <c r="J438" s="151"/>
      <c r="K438" s="151"/>
    </row>
    <row r="439" spans="1:11" x14ac:dyDescent="0.25">
      <c r="A439" s="151"/>
      <c r="B439" s="151"/>
      <c r="C439" s="151"/>
      <c r="D439" s="151"/>
      <c r="E439" s="151"/>
      <c r="F439" s="151"/>
      <c r="G439" s="151"/>
      <c r="H439" s="151"/>
      <c r="I439" s="151"/>
      <c r="J439" s="151"/>
      <c r="K439" s="151"/>
    </row>
    <row r="440" spans="1:11" x14ac:dyDescent="0.25">
      <c r="A440" s="151"/>
      <c r="B440" s="151"/>
      <c r="C440" s="151"/>
      <c r="D440" s="151"/>
      <c r="E440" s="151"/>
      <c r="F440" s="151"/>
      <c r="G440" s="151"/>
      <c r="H440" s="151"/>
      <c r="I440" s="151"/>
      <c r="J440" s="151"/>
      <c r="K440" s="151"/>
    </row>
    <row r="441" spans="1:11" x14ac:dyDescent="0.25">
      <c r="A441" s="151"/>
      <c r="B441" s="151"/>
      <c r="C441" s="151"/>
      <c r="D441" s="151"/>
      <c r="E441" s="151"/>
      <c r="F441" s="151"/>
      <c r="G441" s="151"/>
      <c r="H441" s="151"/>
      <c r="I441" s="151"/>
      <c r="J441" s="151"/>
      <c r="K441" s="151"/>
    </row>
    <row r="442" spans="1:11" x14ac:dyDescent="0.25">
      <c r="A442" s="151"/>
      <c r="B442" s="151"/>
      <c r="C442" s="151"/>
      <c r="D442" s="151"/>
      <c r="E442" s="151"/>
      <c r="F442" s="151"/>
      <c r="G442" s="151"/>
      <c r="H442" s="151"/>
      <c r="I442" s="151"/>
      <c r="J442" s="151"/>
      <c r="K442" s="151"/>
    </row>
    <row r="443" spans="1:11" x14ac:dyDescent="0.25">
      <c r="A443" s="151"/>
      <c r="B443" s="151"/>
      <c r="C443" s="151"/>
      <c r="D443" s="151"/>
      <c r="E443" s="151"/>
      <c r="F443" s="151"/>
      <c r="G443" s="151"/>
      <c r="H443" s="151"/>
      <c r="I443" s="151"/>
      <c r="J443" s="151"/>
      <c r="K443" s="151"/>
    </row>
    <row r="444" spans="1:11" x14ac:dyDescent="0.25">
      <c r="A444" s="151"/>
      <c r="B444" s="151"/>
      <c r="C444" s="151"/>
      <c r="D444" s="151"/>
      <c r="E444" s="151"/>
      <c r="F444" s="151"/>
      <c r="G444" s="151"/>
      <c r="H444" s="151"/>
      <c r="I444" s="151"/>
      <c r="J444" s="151"/>
      <c r="K444" s="151"/>
    </row>
    <row r="445" spans="1:11" x14ac:dyDescent="0.25">
      <c r="A445" s="151"/>
      <c r="B445" s="151"/>
      <c r="C445" s="151"/>
      <c r="D445" s="151"/>
      <c r="E445" s="151"/>
      <c r="F445" s="151"/>
      <c r="G445" s="151"/>
      <c r="H445" s="151"/>
      <c r="I445" s="151"/>
      <c r="J445" s="151"/>
      <c r="K445" s="151"/>
    </row>
    <row r="446" spans="1:11" x14ac:dyDescent="0.25">
      <c r="A446" s="151"/>
      <c r="B446" s="151"/>
      <c r="C446" s="151"/>
      <c r="D446" s="151"/>
      <c r="E446" s="151"/>
      <c r="F446" s="151"/>
      <c r="G446" s="151"/>
      <c r="H446" s="151"/>
      <c r="I446" s="151"/>
      <c r="J446" s="151"/>
      <c r="K446" s="151"/>
    </row>
    <row r="447" spans="1:11" x14ac:dyDescent="0.25">
      <c r="A447" s="151"/>
      <c r="B447" s="151"/>
      <c r="C447" s="151"/>
      <c r="D447" s="151"/>
      <c r="E447" s="151"/>
      <c r="F447" s="151"/>
      <c r="G447" s="151"/>
      <c r="H447" s="151"/>
      <c r="I447" s="151"/>
      <c r="J447" s="151"/>
      <c r="K447" s="151"/>
    </row>
    <row r="448" spans="1:11" x14ac:dyDescent="0.25">
      <c r="A448" s="151"/>
      <c r="B448" s="151"/>
      <c r="C448" s="151"/>
      <c r="D448" s="151"/>
      <c r="E448" s="151"/>
      <c r="F448" s="151"/>
      <c r="G448" s="151"/>
      <c r="H448" s="151"/>
      <c r="I448" s="151"/>
      <c r="J448" s="151"/>
      <c r="K448" s="151"/>
    </row>
    <row r="449" spans="1:11" x14ac:dyDescent="0.25">
      <c r="A449" s="151"/>
      <c r="B449" s="151"/>
      <c r="C449" s="151"/>
      <c r="D449" s="151"/>
      <c r="E449" s="151"/>
      <c r="F449" s="151"/>
      <c r="G449" s="151"/>
      <c r="H449" s="151"/>
      <c r="I449" s="151"/>
      <c r="J449" s="151"/>
      <c r="K449" s="151"/>
    </row>
    <row r="450" spans="1:11" x14ac:dyDescent="0.25">
      <c r="A450" s="151"/>
      <c r="B450" s="151"/>
      <c r="C450" s="151"/>
      <c r="D450" s="151"/>
      <c r="E450" s="151"/>
      <c r="F450" s="151"/>
      <c r="G450" s="151"/>
      <c r="H450" s="151"/>
      <c r="I450" s="151"/>
      <c r="J450" s="151"/>
      <c r="K450" s="151"/>
    </row>
    <row r="451" spans="1:11" x14ac:dyDescent="0.25">
      <c r="A451" s="151"/>
      <c r="B451" s="151"/>
      <c r="C451" s="151"/>
      <c r="D451" s="151"/>
      <c r="E451" s="151"/>
      <c r="F451" s="151"/>
      <c r="G451" s="151"/>
      <c r="H451" s="151"/>
      <c r="I451" s="151"/>
      <c r="J451" s="151"/>
      <c r="K451" s="151"/>
    </row>
    <row r="452" spans="1:11" x14ac:dyDescent="0.25">
      <c r="A452" s="151"/>
      <c r="B452" s="151"/>
      <c r="C452" s="151"/>
      <c r="D452" s="151"/>
      <c r="E452" s="151"/>
      <c r="F452" s="151"/>
      <c r="G452" s="151"/>
      <c r="H452" s="151"/>
      <c r="I452" s="151"/>
      <c r="J452" s="151"/>
      <c r="K452" s="151"/>
    </row>
    <row r="453" spans="1:11" x14ac:dyDescent="0.25">
      <c r="A453" s="151"/>
      <c r="B453" s="151"/>
      <c r="C453" s="151"/>
      <c r="D453" s="151"/>
      <c r="E453" s="151"/>
      <c r="F453" s="151"/>
      <c r="G453" s="151"/>
      <c r="H453" s="151"/>
      <c r="I453" s="151"/>
      <c r="J453" s="151"/>
      <c r="K453" s="151"/>
    </row>
    <row r="454" spans="1:11" x14ac:dyDescent="0.25">
      <c r="A454" s="151"/>
      <c r="B454" s="151"/>
      <c r="C454" s="151"/>
      <c r="D454" s="151"/>
      <c r="E454" s="151"/>
      <c r="F454" s="151"/>
      <c r="G454" s="151"/>
      <c r="H454" s="151"/>
      <c r="I454" s="151"/>
      <c r="J454" s="151"/>
      <c r="K454" s="151"/>
    </row>
    <row r="455" spans="1:11" x14ac:dyDescent="0.25">
      <c r="A455" s="151"/>
      <c r="B455" s="151"/>
      <c r="C455" s="151"/>
      <c r="D455" s="151"/>
      <c r="E455" s="151"/>
      <c r="F455" s="151"/>
      <c r="G455" s="151"/>
      <c r="H455" s="151"/>
      <c r="I455" s="151"/>
      <c r="J455" s="151"/>
      <c r="K455" s="151"/>
    </row>
    <row r="456" spans="1:11" x14ac:dyDescent="0.25">
      <c r="A456" s="151"/>
      <c r="B456" s="151"/>
      <c r="C456" s="151"/>
      <c r="D456" s="151"/>
      <c r="E456" s="151"/>
      <c r="F456" s="151"/>
      <c r="G456" s="151"/>
      <c r="H456" s="151"/>
      <c r="I456" s="151"/>
      <c r="J456" s="151"/>
      <c r="K456" s="151"/>
    </row>
    <row r="457" spans="1:11" x14ac:dyDescent="0.25">
      <c r="A457" s="151"/>
      <c r="B457" s="151"/>
      <c r="C457" s="151"/>
      <c r="D457" s="151"/>
      <c r="E457" s="151"/>
      <c r="F457" s="151"/>
      <c r="G457" s="151"/>
      <c r="H457" s="151"/>
      <c r="I457" s="151"/>
      <c r="J457" s="151"/>
      <c r="K457" s="151"/>
    </row>
    <row r="458" spans="1:11" x14ac:dyDescent="0.25">
      <c r="A458" s="151"/>
      <c r="B458" s="151"/>
      <c r="C458" s="151"/>
      <c r="D458" s="151"/>
      <c r="E458" s="151"/>
      <c r="F458" s="151"/>
      <c r="G458" s="151"/>
      <c r="H458" s="151"/>
      <c r="I458" s="151"/>
      <c r="J458" s="151"/>
      <c r="K458" s="151"/>
    </row>
    <row r="459" spans="1:11" x14ac:dyDescent="0.25">
      <c r="A459" s="151"/>
      <c r="B459" s="151"/>
      <c r="C459" s="151"/>
      <c r="D459" s="151"/>
      <c r="E459" s="151"/>
      <c r="F459" s="151"/>
      <c r="G459" s="151"/>
      <c r="H459" s="151"/>
      <c r="I459" s="151"/>
      <c r="J459" s="151"/>
      <c r="K459" s="151"/>
    </row>
    <row r="460" spans="1:11" x14ac:dyDescent="0.25">
      <c r="A460" s="151"/>
      <c r="B460" s="151"/>
      <c r="C460" s="151"/>
      <c r="D460" s="151"/>
      <c r="E460" s="151"/>
      <c r="F460" s="151"/>
      <c r="G460" s="151"/>
      <c r="H460" s="151"/>
      <c r="I460" s="151"/>
      <c r="J460" s="151"/>
      <c r="K460" s="151"/>
    </row>
    <row r="461" spans="1:11" x14ac:dyDescent="0.25">
      <c r="A461" s="151"/>
      <c r="B461" s="151"/>
      <c r="C461" s="151"/>
      <c r="D461" s="151"/>
      <c r="E461" s="151"/>
      <c r="F461" s="151"/>
      <c r="G461" s="151"/>
      <c r="H461" s="151"/>
      <c r="I461" s="151"/>
      <c r="J461" s="151"/>
      <c r="K461" s="151"/>
    </row>
    <row r="462" spans="1:11" x14ac:dyDescent="0.25">
      <c r="A462" s="151"/>
      <c r="B462" s="151"/>
      <c r="C462" s="151"/>
      <c r="D462" s="151"/>
      <c r="E462" s="151"/>
      <c r="F462" s="151"/>
      <c r="G462" s="151"/>
      <c r="H462" s="151"/>
      <c r="I462" s="151"/>
      <c r="J462" s="151"/>
      <c r="K462" s="151"/>
    </row>
    <row r="463" spans="1:11" x14ac:dyDescent="0.25">
      <c r="A463" s="151"/>
      <c r="B463" s="151"/>
      <c r="C463" s="151"/>
      <c r="D463" s="151"/>
      <c r="E463" s="151"/>
      <c r="F463" s="151"/>
      <c r="G463" s="151"/>
      <c r="H463" s="151"/>
      <c r="I463" s="151"/>
      <c r="J463" s="151"/>
      <c r="K463" s="151"/>
    </row>
    <row r="464" spans="1:11" x14ac:dyDescent="0.25">
      <c r="A464" s="151"/>
      <c r="B464" s="151"/>
      <c r="C464" s="151"/>
      <c r="D464" s="151"/>
      <c r="E464" s="151"/>
      <c r="F464" s="151"/>
      <c r="G464" s="151"/>
      <c r="H464" s="151"/>
      <c r="I464" s="151"/>
      <c r="J464" s="151"/>
      <c r="K464" s="151"/>
    </row>
    <row r="465" spans="1:11" x14ac:dyDescent="0.25">
      <c r="A465" s="151"/>
      <c r="B465" s="151"/>
      <c r="C465" s="151"/>
      <c r="D465" s="151"/>
      <c r="E465" s="151"/>
      <c r="F465" s="151"/>
      <c r="G465" s="151"/>
      <c r="H465" s="151"/>
      <c r="I465" s="151"/>
      <c r="J465" s="151"/>
      <c r="K465" s="151"/>
    </row>
    <row r="466" spans="1:11" x14ac:dyDescent="0.25">
      <c r="A466" s="151"/>
      <c r="B466" s="151"/>
      <c r="C466" s="151"/>
      <c r="D466" s="151"/>
      <c r="E466" s="151"/>
      <c r="F466" s="151"/>
      <c r="G466" s="151"/>
      <c r="H466" s="151"/>
      <c r="I466" s="151"/>
      <c r="J466" s="151"/>
      <c r="K466" s="151"/>
    </row>
    <row r="467" spans="1:11" x14ac:dyDescent="0.25">
      <c r="A467" s="151"/>
      <c r="B467" s="151"/>
      <c r="C467" s="151"/>
      <c r="D467" s="151"/>
      <c r="E467" s="151"/>
      <c r="F467" s="151"/>
      <c r="G467" s="151"/>
      <c r="H467" s="151"/>
      <c r="I467" s="151"/>
      <c r="J467" s="151"/>
      <c r="K467" s="151"/>
    </row>
    <row r="468" spans="1:11" x14ac:dyDescent="0.25">
      <c r="A468" s="151"/>
      <c r="B468" s="151"/>
      <c r="C468" s="151"/>
      <c r="D468" s="151"/>
      <c r="E468" s="151"/>
      <c r="F468" s="151"/>
      <c r="G468" s="151"/>
      <c r="H468" s="151"/>
      <c r="I468" s="151"/>
      <c r="J468" s="151"/>
      <c r="K468" s="151"/>
    </row>
    <row r="469" spans="1:11" x14ac:dyDescent="0.25">
      <c r="A469" s="151"/>
      <c r="B469" s="151"/>
      <c r="C469" s="151"/>
      <c r="D469" s="151"/>
      <c r="E469" s="151"/>
      <c r="F469" s="151"/>
      <c r="G469" s="151"/>
      <c r="H469" s="151"/>
      <c r="I469" s="151"/>
      <c r="J469" s="151"/>
      <c r="K469" s="151"/>
    </row>
    <row r="470" spans="1:11" x14ac:dyDescent="0.25">
      <c r="A470" s="151"/>
      <c r="B470" s="151"/>
      <c r="C470" s="151"/>
      <c r="D470" s="151"/>
      <c r="E470" s="151"/>
      <c r="F470" s="151"/>
      <c r="G470" s="151"/>
      <c r="H470" s="151"/>
      <c r="I470" s="151"/>
      <c r="J470" s="151"/>
      <c r="K470" s="151"/>
    </row>
    <row r="471" spans="1:11" x14ac:dyDescent="0.25">
      <c r="A471" s="151"/>
      <c r="B471" s="151"/>
      <c r="C471" s="151"/>
      <c r="D471" s="151"/>
      <c r="E471" s="151"/>
      <c r="F471" s="151"/>
      <c r="G471" s="151"/>
      <c r="H471" s="151"/>
      <c r="I471" s="151"/>
      <c r="J471" s="151"/>
      <c r="K471" s="151"/>
    </row>
    <row r="472" spans="1:11" x14ac:dyDescent="0.25">
      <c r="A472" s="151"/>
      <c r="B472" s="151"/>
      <c r="C472" s="151"/>
      <c r="D472" s="151"/>
      <c r="E472" s="151"/>
      <c r="F472" s="151"/>
      <c r="G472" s="151"/>
      <c r="H472" s="151"/>
      <c r="I472" s="151"/>
      <c r="J472" s="151"/>
      <c r="K472" s="151"/>
    </row>
    <row r="473" spans="1:11" x14ac:dyDescent="0.25">
      <c r="A473" s="151"/>
      <c r="B473" s="151"/>
      <c r="C473" s="151"/>
      <c r="D473" s="151"/>
      <c r="E473" s="151"/>
      <c r="F473" s="151"/>
      <c r="G473" s="151"/>
      <c r="H473" s="151"/>
      <c r="I473" s="151"/>
      <c r="J473" s="151"/>
      <c r="K473" s="151"/>
    </row>
    <row r="474" spans="1:11" x14ac:dyDescent="0.25">
      <c r="A474" s="151"/>
      <c r="B474" s="151"/>
      <c r="C474" s="151"/>
      <c r="D474" s="151"/>
      <c r="E474" s="151"/>
      <c r="F474" s="151"/>
      <c r="G474" s="151"/>
      <c r="H474" s="151"/>
      <c r="I474" s="151"/>
      <c r="J474" s="151"/>
      <c r="K474" s="151"/>
    </row>
    <row r="475" spans="1:11" x14ac:dyDescent="0.25">
      <c r="A475" s="151"/>
      <c r="B475" s="151"/>
      <c r="C475" s="151"/>
      <c r="D475" s="151"/>
      <c r="E475" s="151"/>
      <c r="F475" s="151"/>
      <c r="G475" s="151"/>
      <c r="H475" s="151"/>
      <c r="I475" s="151"/>
      <c r="J475" s="151"/>
      <c r="K475" s="151"/>
    </row>
    <row r="476" spans="1:11" x14ac:dyDescent="0.25">
      <c r="A476" s="151"/>
      <c r="B476" s="151"/>
      <c r="C476" s="151"/>
      <c r="D476" s="151"/>
      <c r="E476" s="151"/>
      <c r="F476" s="151"/>
      <c r="G476" s="151"/>
      <c r="H476" s="151"/>
      <c r="I476" s="151"/>
      <c r="J476" s="151"/>
      <c r="K476" s="151"/>
    </row>
    <row r="477" spans="1:11" x14ac:dyDescent="0.25">
      <c r="A477" s="151"/>
      <c r="B477" s="151"/>
      <c r="C477" s="151"/>
      <c r="D477" s="151"/>
      <c r="E477" s="151"/>
      <c r="F477" s="151"/>
      <c r="G477" s="151"/>
      <c r="H477" s="151"/>
      <c r="I477" s="151"/>
      <c r="J477" s="151"/>
      <c r="K477" s="151"/>
    </row>
    <row r="478" spans="1:11" x14ac:dyDescent="0.25">
      <c r="A478" s="151"/>
      <c r="B478" s="151"/>
      <c r="C478" s="151"/>
      <c r="D478" s="151"/>
      <c r="E478" s="151"/>
      <c r="F478" s="151"/>
      <c r="G478" s="151"/>
      <c r="H478" s="151"/>
      <c r="I478" s="151"/>
      <c r="J478" s="151"/>
      <c r="K478" s="151"/>
    </row>
    <row r="479" spans="1:11" x14ac:dyDescent="0.25">
      <c r="A479" s="151"/>
      <c r="B479" s="151"/>
      <c r="C479" s="151"/>
      <c r="D479" s="151"/>
      <c r="E479" s="151"/>
      <c r="F479" s="151"/>
      <c r="G479" s="151"/>
      <c r="H479" s="151"/>
      <c r="I479" s="151"/>
      <c r="J479" s="151"/>
      <c r="K479" s="151"/>
    </row>
    <row r="480" spans="1:11" x14ac:dyDescent="0.25">
      <c r="A480" s="151"/>
      <c r="B480" s="151"/>
      <c r="C480" s="151"/>
      <c r="D480" s="151"/>
      <c r="E480" s="151"/>
      <c r="F480" s="151"/>
      <c r="G480" s="151"/>
      <c r="H480" s="151"/>
      <c r="I480" s="151"/>
      <c r="J480" s="151"/>
      <c r="K480" s="151"/>
    </row>
    <row r="481" spans="1:11" x14ac:dyDescent="0.25">
      <c r="A481" s="151"/>
      <c r="B481" s="151"/>
      <c r="C481" s="151"/>
      <c r="D481" s="151"/>
      <c r="E481" s="151"/>
      <c r="F481" s="151"/>
      <c r="G481" s="151"/>
      <c r="H481" s="151"/>
      <c r="I481" s="151"/>
      <c r="J481" s="151"/>
      <c r="K481" s="151"/>
    </row>
    <row r="482" spans="1:11" x14ac:dyDescent="0.25">
      <c r="A482" s="151"/>
      <c r="B482" s="151"/>
      <c r="C482" s="151"/>
      <c r="D482" s="151"/>
      <c r="E482" s="151"/>
      <c r="F482" s="151"/>
      <c r="G482" s="151"/>
      <c r="H482" s="151"/>
      <c r="I482" s="151"/>
      <c r="J482" s="151"/>
      <c r="K482" s="151"/>
    </row>
    <row r="483" spans="1:11" x14ac:dyDescent="0.25">
      <c r="A483" s="343"/>
      <c r="B483" s="344"/>
      <c r="C483" s="345"/>
      <c r="D483" s="345"/>
      <c r="E483" s="346"/>
      <c r="F483" s="346"/>
      <c r="G483" s="346"/>
      <c r="H483" s="341"/>
      <c r="I483" s="347"/>
      <c r="J483" s="340"/>
      <c r="K483" s="340"/>
    </row>
    <row r="484" spans="1:11" x14ac:dyDescent="0.25">
      <c r="A484" s="343"/>
      <c r="B484" s="344"/>
      <c r="C484" s="345"/>
      <c r="D484" s="345"/>
      <c r="E484" s="346"/>
      <c r="F484" s="346"/>
      <c r="G484" s="346"/>
      <c r="H484" s="346"/>
      <c r="I484" s="346"/>
      <c r="J484" s="340"/>
      <c r="K484" s="340"/>
    </row>
    <row r="485" spans="1:11" x14ac:dyDescent="0.25">
      <c r="A485" s="566"/>
      <c r="B485" s="566"/>
      <c r="C485" s="566"/>
      <c r="D485" s="345"/>
      <c r="E485" s="346"/>
      <c r="F485" s="346"/>
      <c r="G485" s="346"/>
      <c r="H485" s="346"/>
      <c r="I485" s="346"/>
      <c r="J485" s="340"/>
      <c r="K485" s="340"/>
    </row>
    <row r="486" spans="1:11" x14ac:dyDescent="0.25">
      <c r="A486" s="340"/>
      <c r="B486" s="340"/>
      <c r="C486" s="342"/>
      <c r="E486" s="346"/>
      <c r="F486" s="346"/>
      <c r="G486" s="346"/>
      <c r="H486" s="346"/>
      <c r="I486" s="346"/>
      <c r="J486" s="340"/>
      <c r="K486" s="340"/>
    </row>
    <row r="487" spans="1:11" x14ac:dyDescent="0.25">
      <c r="A487" s="340"/>
      <c r="B487" s="340"/>
      <c r="E487" s="346"/>
      <c r="F487" s="346"/>
      <c r="G487" s="346"/>
      <c r="H487" s="346"/>
      <c r="I487" s="346"/>
      <c r="J487" s="340"/>
      <c r="K487" s="340"/>
    </row>
    <row r="488" spans="1:11" x14ac:dyDescent="0.25">
      <c r="A488" s="340"/>
      <c r="B488" s="340"/>
      <c r="E488" s="346"/>
      <c r="F488" s="346"/>
      <c r="G488" s="346"/>
      <c r="H488" s="346"/>
      <c r="I488" s="346"/>
      <c r="J488" s="340"/>
      <c r="K488" s="340"/>
    </row>
    <row r="489" spans="1:11" x14ac:dyDescent="0.25">
      <c r="A489" s="340"/>
      <c r="B489" s="340"/>
      <c r="E489" s="346"/>
      <c r="F489" s="346"/>
      <c r="G489" s="346"/>
      <c r="H489" s="346"/>
      <c r="I489" s="346"/>
      <c r="J489" s="340"/>
      <c r="K489" s="340"/>
    </row>
  </sheetData>
  <mergeCells count="136">
    <mergeCell ref="L21:L23"/>
    <mergeCell ref="A20:L20"/>
    <mergeCell ref="A60:L60"/>
    <mergeCell ref="A83:L83"/>
    <mergeCell ref="A140:L140"/>
    <mergeCell ref="A207:L207"/>
    <mergeCell ref="A223:L223"/>
    <mergeCell ref="A316:L316"/>
    <mergeCell ref="A331:L331"/>
    <mergeCell ref="L91:L105"/>
    <mergeCell ref="A105:C105"/>
    <mergeCell ref="L325:L327"/>
    <mergeCell ref="L328:L330"/>
    <mergeCell ref="L274:L277"/>
    <mergeCell ref="L317:L321"/>
    <mergeCell ref="L322:L324"/>
    <mergeCell ref="L284:L286"/>
    <mergeCell ref="L294:L296"/>
    <mergeCell ref="L208:L210"/>
    <mergeCell ref="A315:C315"/>
    <mergeCell ref="L287:L290"/>
    <mergeCell ref="A290:C290"/>
    <mergeCell ref="L300:L302"/>
    <mergeCell ref="A302:C302"/>
    <mergeCell ref="A485:C485"/>
    <mergeCell ref="A176:C176"/>
    <mergeCell ref="A90:C90"/>
    <mergeCell ref="A321:C321"/>
    <mergeCell ref="A324:C324"/>
    <mergeCell ref="A327:C327"/>
    <mergeCell ref="A330:C330"/>
    <mergeCell ref="A334:C334"/>
    <mergeCell ref="A347:B347"/>
    <mergeCell ref="C347:D347"/>
    <mergeCell ref="A348:B348"/>
    <mergeCell ref="C348:D348"/>
    <mergeCell ref="A213:C213"/>
    <mergeCell ref="A346:D346"/>
    <mergeCell ref="A349:B349"/>
    <mergeCell ref="C349:D349"/>
    <mergeCell ref="A299:C299"/>
    <mergeCell ref="A305:C305"/>
    <mergeCell ref="A296:C296"/>
    <mergeCell ref="A265:C265"/>
    <mergeCell ref="A269:C269"/>
    <mergeCell ref="A273:C273"/>
    <mergeCell ref="A293:C293"/>
    <mergeCell ref="A283:C283"/>
    <mergeCell ref="A19:C19"/>
    <mergeCell ref="A26:C26"/>
    <mergeCell ref="A29:C29"/>
    <mergeCell ref="A65:C65"/>
    <mergeCell ref="A47:C47"/>
    <mergeCell ref="A74:C74"/>
    <mergeCell ref="A78:C78"/>
    <mergeCell ref="A82:C82"/>
    <mergeCell ref="A206:C206"/>
    <mergeCell ref="A32:C32"/>
    <mergeCell ref="A345:D345"/>
    <mergeCell ref="E12:K12"/>
    <mergeCell ref="A139:C139"/>
    <mergeCell ref="A109:C109"/>
    <mergeCell ref="A23:C23"/>
    <mergeCell ref="A124:C124"/>
    <mergeCell ref="A86:C86"/>
    <mergeCell ref="A143:C143"/>
    <mergeCell ref="A146:C146"/>
    <mergeCell ref="A161:C161"/>
    <mergeCell ref="A210:C210"/>
    <mergeCell ref="A216:C216"/>
    <mergeCell ref="A219:C219"/>
    <mergeCell ref="A222:C222"/>
    <mergeCell ref="A16:C16"/>
    <mergeCell ref="A286:C286"/>
    <mergeCell ref="A68:C68"/>
    <mergeCell ref="A337:D337"/>
    <mergeCell ref="G337:J337"/>
    <mergeCell ref="A338:D338"/>
    <mergeCell ref="G338:J338"/>
    <mergeCell ref="A191:C191"/>
    <mergeCell ref="A277:C277"/>
    <mergeCell ref="A226:C226"/>
    <mergeCell ref="L61:L65"/>
    <mergeCell ref="L69:L74"/>
    <mergeCell ref="L75:L78"/>
    <mergeCell ref="L84:L86"/>
    <mergeCell ref="L79:L82"/>
    <mergeCell ref="L147:L161"/>
    <mergeCell ref="L162:L176"/>
    <mergeCell ref="L87:L90"/>
    <mergeCell ref="L106:L109"/>
    <mergeCell ref="L110:L124"/>
    <mergeCell ref="L125:L139"/>
    <mergeCell ref="L141:L143"/>
    <mergeCell ref="L144:L146"/>
    <mergeCell ref="L332:L334"/>
    <mergeCell ref="L66:L68"/>
    <mergeCell ref="L211:L213"/>
    <mergeCell ref="L214:L216"/>
    <mergeCell ref="L177:L191"/>
    <mergeCell ref="L192:L206"/>
    <mergeCell ref="L303:L305"/>
    <mergeCell ref="L306:L315"/>
    <mergeCell ref="L217:L219"/>
    <mergeCell ref="L220:L222"/>
    <mergeCell ref="L224:L226"/>
    <mergeCell ref="L227:L265"/>
    <mergeCell ref="L266:L269"/>
    <mergeCell ref="L270:L273"/>
    <mergeCell ref="L291:L293"/>
    <mergeCell ref="L278:L283"/>
    <mergeCell ref="L297:L299"/>
    <mergeCell ref="L48:L59"/>
    <mergeCell ref="A59:C59"/>
    <mergeCell ref="A13:L13"/>
    <mergeCell ref="A1:F1"/>
    <mergeCell ref="A2:F2"/>
    <mergeCell ref="A3:F3"/>
    <mergeCell ref="L24:L26"/>
    <mergeCell ref="A5:D5"/>
    <mergeCell ref="E5:I5"/>
    <mergeCell ref="A6:D6"/>
    <mergeCell ref="E6:J6"/>
    <mergeCell ref="L27:L29"/>
    <mergeCell ref="L33:L47"/>
    <mergeCell ref="L17:L19"/>
    <mergeCell ref="L14:L16"/>
    <mergeCell ref="G7:H7"/>
    <mergeCell ref="I7:J7"/>
    <mergeCell ref="A8:D8"/>
    <mergeCell ref="E8:F8"/>
    <mergeCell ref="G8:H8"/>
    <mergeCell ref="I8:J8"/>
    <mergeCell ref="A10:K10"/>
    <mergeCell ref="A7:D7"/>
    <mergeCell ref="E7:F7"/>
  </mergeCells>
  <phoneticPr fontId="23" type="noConversion"/>
  <printOptions horizontalCentered="1"/>
  <pageMargins left="0.51181102362204722" right="0.51181102362204722" top="0.70866141732283472" bottom="0.70866141732283472" header="0.31496062992125984" footer="0.31496062992125984"/>
  <pageSetup paperSize="9" scale="47" fitToHeight="0" orientation="portrait" r:id="rId1"/>
  <ignoredErrors>
    <ignoredError sqref="K57 F101 F103" formula="1"/>
    <ignoredError sqref="H280" formulaRange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10">
    <pageSetUpPr fitToPage="1"/>
  </sheetPr>
  <dimension ref="A1:P175"/>
  <sheetViews>
    <sheetView showGridLines="0" zoomScale="85" zoomScaleNormal="85" workbookViewId="0">
      <selection activeCell="D559" sqref="D559"/>
    </sheetView>
  </sheetViews>
  <sheetFormatPr defaultRowHeight="14.4" x14ac:dyDescent="0.3"/>
  <cols>
    <col min="1" max="1" width="14.5546875" style="127" customWidth="1"/>
    <col min="2" max="2" width="9.88671875" style="128" bestFit="1" customWidth="1"/>
    <col min="3" max="3" width="8.109375" style="127" customWidth="1"/>
    <col min="4" max="4" width="58" style="127" customWidth="1"/>
    <col min="5" max="5" width="14" style="127" bestFit="1" customWidth="1"/>
    <col min="6" max="6" width="11.33203125" style="129" customWidth="1"/>
    <col min="7" max="7" width="9.6640625" style="127" bestFit="1" customWidth="1"/>
    <col min="8" max="8" width="11.88671875" style="130" bestFit="1" customWidth="1"/>
    <col min="9" max="9" width="14" style="130" bestFit="1" customWidth="1"/>
    <col min="10" max="10" width="9.33203125" style="130" bestFit="1" customWidth="1"/>
  </cols>
  <sheetData>
    <row r="1" spans="1:10" ht="30" customHeight="1" x14ac:dyDescent="0.3">
      <c r="A1" s="507" t="s">
        <v>167</v>
      </c>
      <c r="B1" s="507"/>
      <c r="C1" s="507"/>
      <c r="D1" s="507"/>
      <c r="E1" s="507"/>
      <c r="F1" s="507"/>
      <c r="G1" s="191"/>
      <c r="H1"/>
      <c r="I1"/>
      <c r="J1"/>
    </row>
    <row r="2" spans="1:10" ht="13.5" customHeight="1" x14ac:dyDescent="0.3">
      <c r="A2" s="497" t="s">
        <v>168</v>
      </c>
      <c r="B2" s="497"/>
      <c r="C2" s="497"/>
      <c r="D2" s="497"/>
      <c r="E2" s="497"/>
      <c r="F2" s="497"/>
      <c r="G2" s="191"/>
      <c r="H2"/>
      <c r="I2"/>
      <c r="J2"/>
    </row>
    <row r="3" spans="1:10" ht="27.75" customHeight="1" x14ac:dyDescent="0.3">
      <c r="A3" s="496" t="s">
        <v>402</v>
      </c>
      <c r="B3" s="496"/>
      <c r="C3" s="496"/>
      <c r="D3" s="496"/>
      <c r="E3" s="496"/>
      <c r="F3" s="496"/>
      <c r="G3" s="192"/>
      <c r="H3"/>
      <c r="I3"/>
      <c r="J3"/>
    </row>
    <row r="4" spans="1:10" ht="14.25" customHeight="1" x14ac:dyDescent="0.3">
      <c r="A4" s="1"/>
      <c r="B4" s="1"/>
      <c r="C4" s="1"/>
      <c r="D4" s="2"/>
      <c r="E4" s="1"/>
      <c r="F4" s="1"/>
      <c r="G4" s="1"/>
      <c r="H4" s="1"/>
      <c r="I4" s="1"/>
      <c r="J4"/>
    </row>
    <row r="5" spans="1:10" s="36" customFormat="1" ht="12" x14ac:dyDescent="0.25">
      <c r="A5" s="521" t="s">
        <v>0</v>
      </c>
      <c r="B5" s="521"/>
      <c r="C5" s="521"/>
      <c r="D5" s="521"/>
      <c r="E5" s="521" t="s">
        <v>1</v>
      </c>
      <c r="F5" s="521"/>
      <c r="G5" s="521"/>
      <c r="H5" s="521"/>
      <c r="I5" s="521"/>
      <c r="J5" s="195"/>
    </row>
    <row r="6" spans="1:10" ht="30" customHeight="1" x14ac:dyDescent="0.3">
      <c r="A6" s="522" t="str">
        <f>DADOS!B4</f>
        <v>PREFEITURA MUNICIPAL DE SÃO FELIPE/BA</v>
      </c>
      <c r="B6" s="522"/>
      <c r="C6" s="522"/>
      <c r="D6" s="522"/>
      <c r="E6" s="524" t="str">
        <f>DADOS!B8</f>
        <v>PAVIMENTAÇÃO ASFÁLTICA DIVERSAS RUAS, NO MUNICÍPIO DE SÃO FELIPE/BA</v>
      </c>
      <c r="F6" s="524"/>
      <c r="G6" s="524"/>
      <c r="H6" s="524"/>
      <c r="I6" s="524"/>
      <c r="J6" s="524"/>
    </row>
    <row r="7" spans="1:10" s="36" customFormat="1" ht="12" x14ac:dyDescent="0.25">
      <c r="A7" s="521" t="s">
        <v>15</v>
      </c>
      <c r="B7" s="521"/>
      <c r="C7" s="521"/>
      <c r="D7" s="521"/>
      <c r="E7" s="521" t="s">
        <v>16</v>
      </c>
      <c r="F7" s="521"/>
      <c r="G7" s="521" t="s">
        <v>17</v>
      </c>
      <c r="H7" s="521"/>
      <c r="I7" s="521" t="s">
        <v>18</v>
      </c>
      <c r="J7" s="521"/>
    </row>
    <row r="8" spans="1:10" ht="36.6" customHeight="1" x14ac:dyDescent="0.3">
      <c r="A8" s="522" t="str">
        <f>DADOS!B5</f>
        <v>SÃO FELIPE/BA</v>
      </c>
      <c r="B8" s="522"/>
      <c r="C8" s="522"/>
      <c r="D8" s="522"/>
      <c r="E8" s="523">
        <f ca="1">DADOS!B18</f>
        <v>45812</v>
      </c>
      <c r="F8" s="523"/>
      <c r="G8" s="524" t="str">
        <f>DADOS!B10</f>
        <v>SINAPI - 01/2025 - Bahia
SICRO3 - 10/2024 - Bahia
ORSE - 12/2024 - Sergipe</v>
      </c>
      <c r="H8" s="524"/>
      <c r="I8" s="581">
        <f>DADOS!B11</f>
        <v>0.2009</v>
      </c>
      <c r="J8" s="581"/>
    </row>
    <row r="9" spans="1:10" ht="19.5" customHeight="1" x14ac:dyDescent="0.3">
      <c r="A9" s="497" t="s">
        <v>252</v>
      </c>
      <c r="B9" s="497"/>
      <c r="C9" s="497"/>
      <c r="D9" s="497"/>
      <c r="E9" s="497"/>
      <c r="F9" s="497"/>
      <c r="G9" s="497"/>
      <c r="H9" s="497"/>
      <c r="I9" s="497"/>
      <c r="J9" s="497"/>
    </row>
    <row r="10" spans="1:10" ht="19.5" customHeight="1" x14ac:dyDescent="0.3">
      <c r="A10" s="308"/>
      <c r="B10" s="308"/>
      <c r="C10" s="308"/>
      <c r="D10" s="308"/>
      <c r="E10" s="308"/>
      <c r="F10" s="308"/>
      <c r="G10" s="308"/>
      <c r="H10" s="308"/>
      <c r="I10" s="308"/>
      <c r="J10" s="308"/>
    </row>
    <row r="11" spans="1:10" ht="18" customHeight="1" x14ac:dyDescent="0.3">
      <c r="A11" s="390" t="s">
        <v>382</v>
      </c>
      <c r="B11" s="391" t="s">
        <v>3</v>
      </c>
      <c r="C11" s="390" t="s">
        <v>4</v>
      </c>
      <c r="D11" s="390" t="s">
        <v>5</v>
      </c>
      <c r="E11" s="579" t="s">
        <v>257</v>
      </c>
      <c r="F11" s="579"/>
      <c r="G11" s="392" t="s">
        <v>6</v>
      </c>
      <c r="H11" s="391" t="s">
        <v>7</v>
      </c>
      <c r="I11" s="391" t="s">
        <v>8</v>
      </c>
      <c r="J11" s="391" t="s">
        <v>10</v>
      </c>
    </row>
    <row r="12" spans="1:10" ht="48" customHeight="1" x14ac:dyDescent="0.3">
      <c r="A12" s="389" t="s">
        <v>258</v>
      </c>
      <c r="B12" s="394" t="s">
        <v>383</v>
      </c>
      <c r="C12" s="389" t="s">
        <v>210</v>
      </c>
      <c r="D12" s="389" t="s">
        <v>333</v>
      </c>
      <c r="E12" s="580" t="s">
        <v>259</v>
      </c>
      <c r="F12" s="580"/>
      <c r="G12" s="393" t="s">
        <v>205</v>
      </c>
      <c r="H12" s="396">
        <v>1</v>
      </c>
      <c r="I12" s="395">
        <v>58.13</v>
      </c>
      <c r="J12" s="395">
        <v>58.13</v>
      </c>
    </row>
    <row r="13" spans="1:10" ht="24" customHeight="1" x14ac:dyDescent="0.3">
      <c r="A13" s="386" t="s">
        <v>260</v>
      </c>
      <c r="B13" s="399" t="s">
        <v>268</v>
      </c>
      <c r="C13" s="386" t="s">
        <v>107</v>
      </c>
      <c r="D13" s="386" t="s">
        <v>269</v>
      </c>
      <c r="E13" s="578" t="s">
        <v>267</v>
      </c>
      <c r="F13" s="578"/>
      <c r="G13" s="398" t="s">
        <v>251</v>
      </c>
      <c r="H13" s="401">
        <v>1.2</v>
      </c>
      <c r="I13" s="400">
        <v>19.920000000000002</v>
      </c>
      <c r="J13" s="400">
        <v>23.9</v>
      </c>
    </row>
    <row r="14" spans="1:10" ht="24" customHeight="1" x14ac:dyDescent="0.3">
      <c r="A14" s="386" t="s">
        <v>260</v>
      </c>
      <c r="B14" s="399" t="s">
        <v>378</v>
      </c>
      <c r="C14" s="386" t="s">
        <v>107</v>
      </c>
      <c r="D14" s="386" t="s">
        <v>379</v>
      </c>
      <c r="E14" s="578" t="s">
        <v>267</v>
      </c>
      <c r="F14" s="578"/>
      <c r="G14" s="398" t="s">
        <v>251</v>
      </c>
      <c r="H14" s="401">
        <v>0.5</v>
      </c>
      <c r="I14" s="400">
        <v>28.6</v>
      </c>
      <c r="J14" s="400">
        <v>14.3</v>
      </c>
    </row>
    <row r="15" spans="1:10" ht="24" customHeight="1" x14ac:dyDescent="0.3">
      <c r="A15" s="387" t="s">
        <v>286</v>
      </c>
      <c r="B15" s="403" t="s">
        <v>384</v>
      </c>
      <c r="C15" s="387" t="s">
        <v>107</v>
      </c>
      <c r="D15" s="387" t="s">
        <v>385</v>
      </c>
      <c r="E15" s="569" t="s">
        <v>287</v>
      </c>
      <c r="F15" s="569"/>
      <c r="G15" s="402" t="s">
        <v>261</v>
      </c>
      <c r="H15" s="405">
        <v>0.52</v>
      </c>
      <c r="I15" s="404">
        <v>4.63</v>
      </c>
      <c r="J15" s="404">
        <v>2.4</v>
      </c>
    </row>
    <row r="16" spans="1:10" ht="24" customHeight="1" x14ac:dyDescent="0.3">
      <c r="A16" s="387" t="s">
        <v>286</v>
      </c>
      <c r="B16" s="403" t="s">
        <v>386</v>
      </c>
      <c r="C16" s="387" t="s">
        <v>107</v>
      </c>
      <c r="D16" s="387" t="s">
        <v>387</v>
      </c>
      <c r="E16" s="569" t="s">
        <v>287</v>
      </c>
      <c r="F16" s="569"/>
      <c r="G16" s="402" t="s">
        <v>261</v>
      </c>
      <c r="H16" s="405">
        <v>4</v>
      </c>
      <c r="I16" s="404">
        <v>1.47</v>
      </c>
      <c r="J16" s="404">
        <v>5.88</v>
      </c>
    </row>
    <row r="17" spans="1:14" ht="24" customHeight="1" x14ac:dyDescent="0.3">
      <c r="A17" s="387" t="s">
        <v>286</v>
      </c>
      <c r="B17" s="403" t="s">
        <v>388</v>
      </c>
      <c r="C17" s="387" t="s">
        <v>107</v>
      </c>
      <c r="D17" s="387" t="s">
        <v>389</v>
      </c>
      <c r="E17" s="569" t="s">
        <v>287</v>
      </c>
      <c r="F17" s="569"/>
      <c r="G17" s="402" t="s">
        <v>220</v>
      </c>
      <c r="H17" s="405">
        <v>1.05</v>
      </c>
      <c r="I17" s="404">
        <v>11.1</v>
      </c>
      <c r="J17" s="404">
        <v>11.65</v>
      </c>
    </row>
    <row r="18" spans="1:14" x14ac:dyDescent="0.3">
      <c r="A18" s="388"/>
      <c r="B18" s="388"/>
      <c r="C18" s="388"/>
      <c r="D18" s="388"/>
      <c r="E18" s="388" t="s">
        <v>262</v>
      </c>
      <c r="F18" s="406">
        <v>25.2</v>
      </c>
      <c r="G18" s="388" t="s">
        <v>263</v>
      </c>
      <c r="H18" s="406">
        <v>0</v>
      </c>
      <c r="I18" s="388" t="s">
        <v>264</v>
      </c>
      <c r="J18" s="406">
        <v>25.2</v>
      </c>
    </row>
    <row r="19" spans="1:14" ht="27" thickBot="1" x14ac:dyDescent="0.35">
      <c r="A19" s="388"/>
      <c r="B19" s="388"/>
      <c r="C19" s="388"/>
      <c r="D19" s="388"/>
      <c r="E19" s="388" t="s">
        <v>265</v>
      </c>
      <c r="F19" s="406">
        <v>13.16</v>
      </c>
      <c r="G19" s="388"/>
      <c r="H19" s="570" t="s">
        <v>266</v>
      </c>
      <c r="I19" s="570"/>
      <c r="J19" s="406">
        <v>71.290000000000006</v>
      </c>
    </row>
    <row r="20" spans="1:14" ht="0.9" customHeight="1" thickTop="1" x14ac:dyDescent="0.3">
      <c r="A20" s="397"/>
      <c r="B20" s="397"/>
      <c r="C20" s="397"/>
      <c r="D20" s="397"/>
      <c r="E20" s="397"/>
      <c r="F20" s="397"/>
      <c r="G20" s="397"/>
      <c r="H20" s="397"/>
      <c r="I20" s="397"/>
      <c r="J20" s="397"/>
    </row>
    <row r="21" spans="1:14" ht="18" customHeight="1" x14ac:dyDescent="0.3">
      <c r="A21" s="390" t="s">
        <v>390</v>
      </c>
      <c r="B21" s="391" t="s">
        <v>3</v>
      </c>
      <c r="C21" s="390" t="s">
        <v>4</v>
      </c>
      <c r="D21" s="390" t="s">
        <v>5</v>
      </c>
      <c r="E21" s="579" t="s">
        <v>257</v>
      </c>
      <c r="F21" s="579"/>
      <c r="G21" s="392" t="s">
        <v>6</v>
      </c>
      <c r="H21" s="391" t="s">
        <v>7</v>
      </c>
      <c r="I21" s="391" t="s">
        <v>8</v>
      </c>
      <c r="J21" s="391" t="s">
        <v>10</v>
      </c>
    </row>
    <row r="22" spans="1:14" ht="24" customHeight="1" x14ac:dyDescent="0.3">
      <c r="A22" s="389" t="s">
        <v>258</v>
      </c>
      <c r="B22" s="394" t="s">
        <v>391</v>
      </c>
      <c r="C22" s="389" t="s">
        <v>210</v>
      </c>
      <c r="D22" s="389" t="s">
        <v>353</v>
      </c>
      <c r="E22" s="580" t="s">
        <v>377</v>
      </c>
      <c r="F22" s="580"/>
      <c r="G22" s="393" t="s">
        <v>207</v>
      </c>
      <c r="H22" s="396">
        <v>1</v>
      </c>
      <c r="I22" s="395">
        <v>729.67</v>
      </c>
      <c r="J22" s="395">
        <v>729.67</v>
      </c>
    </row>
    <row r="23" spans="1:14" ht="24" customHeight="1" x14ac:dyDescent="0.3">
      <c r="A23" s="386" t="s">
        <v>260</v>
      </c>
      <c r="B23" s="399" t="s">
        <v>378</v>
      </c>
      <c r="C23" s="386" t="s">
        <v>107</v>
      </c>
      <c r="D23" s="386" t="s">
        <v>379</v>
      </c>
      <c r="E23" s="578" t="s">
        <v>267</v>
      </c>
      <c r="F23" s="578"/>
      <c r="G23" s="398" t="s">
        <v>251</v>
      </c>
      <c r="H23" s="401">
        <v>10.6</v>
      </c>
      <c r="I23" s="400">
        <v>28.6</v>
      </c>
      <c r="J23" s="400">
        <v>303.16000000000003</v>
      </c>
    </row>
    <row r="24" spans="1:14" ht="24" customHeight="1" x14ac:dyDescent="0.3">
      <c r="A24" s="386" t="s">
        <v>260</v>
      </c>
      <c r="B24" s="399" t="s">
        <v>268</v>
      </c>
      <c r="C24" s="386" t="s">
        <v>107</v>
      </c>
      <c r="D24" s="386" t="s">
        <v>269</v>
      </c>
      <c r="E24" s="578" t="s">
        <v>267</v>
      </c>
      <c r="F24" s="578"/>
      <c r="G24" s="398" t="s">
        <v>251</v>
      </c>
      <c r="H24" s="401">
        <v>8.6</v>
      </c>
      <c r="I24" s="400">
        <v>19.920000000000002</v>
      </c>
      <c r="J24" s="400">
        <v>171.31</v>
      </c>
    </row>
    <row r="25" spans="1:14" ht="24" customHeight="1" x14ac:dyDescent="0.3">
      <c r="A25" s="387" t="s">
        <v>286</v>
      </c>
      <c r="B25" s="403" t="s">
        <v>380</v>
      </c>
      <c r="C25" s="387" t="s">
        <v>107</v>
      </c>
      <c r="D25" s="387" t="s">
        <v>381</v>
      </c>
      <c r="E25" s="569" t="s">
        <v>287</v>
      </c>
      <c r="F25" s="569"/>
      <c r="G25" s="402" t="s">
        <v>207</v>
      </c>
      <c r="H25" s="405">
        <v>0.38</v>
      </c>
      <c r="I25" s="404">
        <v>115.01</v>
      </c>
      <c r="J25" s="404">
        <v>43.7</v>
      </c>
    </row>
    <row r="26" spans="1:14" ht="24" customHeight="1" x14ac:dyDescent="0.3">
      <c r="A26" s="387" t="s">
        <v>286</v>
      </c>
      <c r="B26" s="403" t="s">
        <v>392</v>
      </c>
      <c r="C26" s="387" t="s">
        <v>107</v>
      </c>
      <c r="D26" s="387" t="s">
        <v>393</v>
      </c>
      <c r="E26" s="569" t="s">
        <v>287</v>
      </c>
      <c r="F26" s="569"/>
      <c r="G26" s="402" t="s">
        <v>261</v>
      </c>
      <c r="H26" s="405">
        <v>116</v>
      </c>
      <c r="I26" s="404">
        <v>0.86</v>
      </c>
      <c r="J26" s="404">
        <v>99.76</v>
      </c>
    </row>
    <row r="27" spans="1:14" ht="24" customHeight="1" x14ac:dyDescent="0.3">
      <c r="A27" s="387" t="s">
        <v>286</v>
      </c>
      <c r="B27" s="403" t="s">
        <v>394</v>
      </c>
      <c r="C27" s="387" t="s">
        <v>107</v>
      </c>
      <c r="D27" s="387" t="s">
        <v>395</v>
      </c>
      <c r="E27" s="569" t="s">
        <v>287</v>
      </c>
      <c r="F27" s="569"/>
      <c r="G27" s="402" t="s">
        <v>207</v>
      </c>
      <c r="H27" s="405">
        <v>1.2</v>
      </c>
      <c r="I27" s="404">
        <v>93.12</v>
      </c>
      <c r="J27" s="404">
        <v>111.74</v>
      </c>
    </row>
    <row r="28" spans="1:14" x14ac:dyDescent="0.3">
      <c r="A28" s="388"/>
      <c r="B28" s="388"/>
      <c r="C28" s="388"/>
      <c r="D28" s="388"/>
      <c r="E28" s="388" t="s">
        <v>262</v>
      </c>
      <c r="F28" s="406">
        <v>327.08</v>
      </c>
      <c r="G28" s="388" t="s">
        <v>263</v>
      </c>
      <c r="H28" s="406">
        <v>0</v>
      </c>
      <c r="I28" s="388" t="s">
        <v>264</v>
      </c>
      <c r="J28" s="406">
        <v>327.08</v>
      </c>
    </row>
    <row r="29" spans="1:14" ht="27" thickBot="1" x14ac:dyDescent="0.35">
      <c r="A29" s="388"/>
      <c r="B29" s="388"/>
      <c r="C29" s="388"/>
      <c r="D29" s="388"/>
      <c r="E29" s="388" t="s">
        <v>265</v>
      </c>
      <c r="F29" s="406">
        <v>165.27</v>
      </c>
      <c r="G29" s="388"/>
      <c r="H29" s="570" t="s">
        <v>266</v>
      </c>
      <c r="I29" s="570"/>
      <c r="J29" s="406">
        <v>894.94</v>
      </c>
    </row>
    <row r="30" spans="1:14" ht="0.9" customHeight="1" thickTop="1" x14ac:dyDescent="0.3">
      <c r="A30" s="351"/>
      <c r="B30" s="351"/>
      <c r="C30" s="351"/>
      <c r="D30" s="351"/>
      <c r="E30" s="351"/>
      <c r="F30" s="351"/>
      <c r="G30" s="351"/>
      <c r="H30" s="351"/>
      <c r="I30" s="351"/>
      <c r="J30" s="351"/>
    </row>
    <row r="31" spans="1:14" x14ac:dyDescent="0.3">
      <c r="A31"/>
      <c r="B31"/>
      <c r="C31"/>
      <c r="D31"/>
      <c r="E31"/>
      <c r="F31"/>
      <c r="G31"/>
      <c r="H31"/>
      <c r="I31"/>
      <c r="J31"/>
    </row>
    <row r="32" spans="1:14" x14ac:dyDescent="0.3">
      <c r="A32" s="29"/>
      <c r="B32" s="29"/>
      <c r="C32" s="29"/>
      <c r="D32" s="126"/>
      <c r="E32" s="29"/>
      <c r="F32" s="238"/>
      <c r="G32" s="29"/>
      <c r="H32" s="29"/>
      <c r="I32" s="29"/>
      <c r="J32" s="310"/>
      <c r="K32" s="113"/>
      <c r="L32" s="127"/>
      <c r="M32" s="115"/>
      <c r="N32" s="114"/>
    </row>
    <row r="33" spans="1:16" x14ac:dyDescent="0.3">
      <c r="A33" s="560" t="str">
        <f>DADOS!B5</f>
        <v>SÃO FELIPE/BA</v>
      </c>
      <c r="B33" s="560"/>
      <c r="C33" s="560"/>
      <c r="D33" s="560"/>
      <c r="E33" s="29"/>
      <c r="F33" s="238"/>
      <c r="G33" s="29"/>
      <c r="H33" s="561">
        <f ca="1">DADOS!B18</f>
        <v>45812</v>
      </c>
      <c r="I33" s="561"/>
      <c r="J33" s="561"/>
      <c r="K33" s="307"/>
      <c r="L33" s="127"/>
      <c r="N33" s="114"/>
      <c r="P33" s="114"/>
    </row>
    <row r="34" spans="1:16" x14ac:dyDescent="0.3">
      <c r="A34" s="572" t="s">
        <v>20</v>
      </c>
      <c r="B34" s="572"/>
      <c r="C34" s="572"/>
      <c r="D34" s="572"/>
      <c r="E34" s="29"/>
      <c r="F34" s="238"/>
      <c r="G34" s="29"/>
      <c r="H34" s="562" t="s">
        <v>21</v>
      </c>
      <c r="I34" s="562"/>
      <c r="J34" s="562"/>
      <c r="K34" s="125"/>
      <c r="L34" s="127"/>
      <c r="N34" s="114"/>
    </row>
    <row r="35" spans="1:16" x14ac:dyDescent="0.3">
      <c r="A35" s="29"/>
      <c r="B35" s="29"/>
      <c r="C35" s="29"/>
      <c r="D35" s="126"/>
      <c r="E35" s="29"/>
      <c r="F35" s="238"/>
      <c r="G35" s="29"/>
      <c r="H35" s="29"/>
      <c r="I35" s="29"/>
      <c r="J35" s="309"/>
      <c r="K35" s="1"/>
      <c r="L35" s="573"/>
      <c r="M35" s="574"/>
      <c r="N35" s="574"/>
    </row>
    <row r="36" spans="1:16" x14ac:dyDescent="0.3">
      <c r="A36" s="29"/>
      <c r="B36" s="29"/>
      <c r="C36" s="29"/>
      <c r="D36" s="126"/>
      <c r="E36" s="29"/>
      <c r="F36" s="238"/>
      <c r="G36" s="29"/>
      <c r="H36" s="29"/>
      <c r="I36" s="29"/>
      <c r="J36" s="309"/>
      <c r="K36" s="1"/>
      <c r="L36" s="127"/>
    </row>
    <row r="37" spans="1:16" x14ac:dyDescent="0.3">
      <c r="A37" s="29"/>
      <c r="B37" s="29"/>
      <c r="C37" s="29"/>
      <c r="D37" s="126"/>
      <c r="E37" s="29"/>
      <c r="F37" s="238"/>
      <c r="G37" s="29"/>
      <c r="H37" s="29"/>
      <c r="I37" s="29"/>
      <c r="J37" s="309"/>
      <c r="K37" s="1"/>
      <c r="L37" s="127"/>
      <c r="N37" s="306"/>
    </row>
    <row r="38" spans="1:16" x14ac:dyDescent="0.3">
      <c r="A38" s="558"/>
      <c r="B38" s="558"/>
      <c r="C38" s="558"/>
      <c r="D38" s="558"/>
      <c r="E38" s="29"/>
      <c r="F38" s="238"/>
      <c r="G38" s="29"/>
      <c r="H38" s="29"/>
      <c r="I38" s="29"/>
      <c r="J38" s="309"/>
      <c r="K38" s="1"/>
      <c r="L38" s="127"/>
    </row>
    <row r="39" spans="1:16" x14ac:dyDescent="0.3">
      <c r="A39" s="571" t="s">
        <v>23</v>
      </c>
      <c r="B39" s="571"/>
      <c r="C39" s="571"/>
      <c r="D39" s="571"/>
      <c r="E39" s="29"/>
      <c r="F39" s="238"/>
      <c r="G39" s="29"/>
      <c r="H39" s="29"/>
      <c r="I39" s="29"/>
      <c r="J39" s="309"/>
      <c r="K39" s="1"/>
      <c r="L39" s="127"/>
    </row>
    <row r="40" spans="1:16" x14ac:dyDescent="0.3">
      <c r="A40" s="567" t="s">
        <v>22</v>
      </c>
      <c r="B40" s="567"/>
      <c r="C40" s="508" t="str">
        <f>DADOS!B15</f>
        <v>Eliabe Vitória Souza</v>
      </c>
      <c r="D40" s="508"/>
      <c r="E40" s="29"/>
      <c r="F40" s="238"/>
      <c r="G40" s="29"/>
      <c r="H40" s="29"/>
      <c r="I40" s="29"/>
      <c r="J40" s="309"/>
      <c r="K40" s="1"/>
      <c r="L40" s="127"/>
    </row>
    <row r="41" spans="1:16" x14ac:dyDescent="0.3">
      <c r="A41" s="567" t="s">
        <v>24</v>
      </c>
      <c r="B41" s="567"/>
      <c r="C41" s="508" t="str">
        <f>DADOS!B16</f>
        <v>Engenheiro Civil</v>
      </c>
      <c r="D41" s="508"/>
      <c r="E41" s="29"/>
      <c r="F41" s="238"/>
      <c r="G41" s="29"/>
      <c r="H41" s="29"/>
      <c r="I41" s="29"/>
      <c r="J41" s="309"/>
      <c r="K41" s="1"/>
      <c r="L41" s="127"/>
    </row>
    <row r="42" spans="1:16" x14ac:dyDescent="0.3">
      <c r="A42" s="567" t="s">
        <v>25</v>
      </c>
      <c r="B42" s="567"/>
      <c r="C42" s="508" t="str">
        <f>DADOS!B17</f>
        <v>CREA/BA:051487735-9</v>
      </c>
      <c r="D42" s="508"/>
      <c r="E42" s="29"/>
      <c r="F42" s="238"/>
      <c r="G42" s="29"/>
      <c r="H42" s="29"/>
      <c r="I42" s="29"/>
      <c r="J42" s="309"/>
      <c r="K42" s="1"/>
      <c r="L42" s="127"/>
    </row>
    <row r="43" spans="1:16" x14ac:dyDescent="0.3">
      <c r="A43" s="29"/>
      <c r="B43" s="29"/>
      <c r="C43" s="29"/>
      <c r="D43" s="126"/>
      <c r="E43" s="29"/>
      <c r="F43" s="238"/>
      <c r="G43" s="29"/>
      <c r="H43" s="29"/>
      <c r="I43" s="29"/>
      <c r="J43" s="310"/>
      <c r="K43" s="113"/>
      <c r="M43" s="115"/>
      <c r="N43" s="114"/>
    </row>
    <row r="44" spans="1:16" x14ac:dyDescent="0.3">
      <c r="A44"/>
      <c r="B44"/>
      <c r="C44"/>
      <c r="D44"/>
      <c r="E44"/>
      <c r="F44"/>
      <c r="G44"/>
      <c r="H44"/>
      <c r="I44"/>
      <c r="J44"/>
    </row>
    <row r="45" spans="1:16" x14ac:dyDescent="0.3">
      <c r="A45"/>
      <c r="B45"/>
      <c r="C45"/>
      <c r="D45"/>
      <c r="E45"/>
      <c r="F45"/>
      <c r="G45"/>
      <c r="H45"/>
      <c r="I45"/>
      <c r="J45"/>
    </row>
    <row r="46" spans="1:16" x14ac:dyDescent="0.3">
      <c r="A46"/>
      <c r="B46"/>
      <c r="C46"/>
      <c r="D46"/>
      <c r="E46"/>
      <c r="F46"/>
      <c r="G46"/>
      <c r="H46"/>
      <c r="I46"/>
      <c r="J46"/>
    </row>
    <row r="47" spans="1:16" x14ac:dyDescent="0.3">
      <c r="A47"/>
      <c r="B47"/>
      <c r="C47"/>
      <c r="D47"/>
      <c r="E47"/>
      <c r="F47"/>
      <c r="G47"/>
      <c r="H47"/>
      <c r="I47"/>
      <c r="J47"/>
    </row>
    <row r="48" spans="1:16" x14ac:dyDescent="0.3">
      <c r="A48"/>
      <c r="B48"/>
      <c r="C48"/>
      <c r="D48"/>
      <c r="E48"/>
      <c r="F48"/>
      <c r="G48"/>
      <c r="H48"/>
      <c r="I48"/>
      <c r="J48"/>
    </row>
    <row r="49" customFormat="1" x14ac:dyDescent="0.3"/>
    <row r="50" customFormat="1" x14ac:dyDescent="0.3"/>
    <row r="51" customFormat="1" x14ac:dyDescent="0.3"/>
    <row r="52" customFormat="1" x14ac:dyDescent="0.3"/>
    <row r="53" customFormat="1" x14ac:dyDescent="0.3"/>
    <row r="54" customFormat="1" x14ac:dyDescent="0.3"/>
    <row r="55" customFormat="1" x14ac:dyDescent="0.3"/>
    <row r="56" customFormat="1" x14ac:dyDescent="0.3"/>
    <row r="57" customFormat="1" x14ac:dyDescent="0.3"/>
    <row r="58" customFormat="1" x14ac:dyDescent="0.3"/>
    <row r="59" customFormat="1" x14ac:dyDescent="0.3"/>
    <row r="60" customFormat="1" x14ac:dyDescent="0.3"/>
    <row r="61" customFormat="1" x14ac:dyDescent="0.3"/>
    <row r="62" customFormat="1" x14ac:dyDescent="0.3"/>
    <row r="63" customFormat="1" x14ac:dyDescent="0.3"/>
    <row r="64" customFormat="1" x14ac:dyDescent="0.3"/>
    <row r="65" customFormat="1" x14ac:dyDescent="0.3"/>
    <row r="66" customFormat="1" x14ac:dyDescent="0.3"/>
    <row r="67" customFormat="1" x14ac:dyDescent="0.3"/>
    <row r="68" customFormat="1" x14ac:dyDescent="0.3"/>
    <row r="69" customFormat="1" x14ac:dyDescent="0.3"/>
    <row r="70" customFormat="1" x14ac:dyDescent="0.3"/>
    <row r="71" customFormat="1" x14ac:dyDescent="0.3"/>
    <row r="72" customFormat="1" x14ac:dyDescent="0.3"/>
    <row r="73" customFormat="1" x14ac:dyDescent="0.3"/>
    <row r="74" customFormat="1" x14ac:dyDescent="0.3"/>
    <row r="75" customFormat="1" x14ac:dyDescent="0.3"/>
    <row r="76" customFormat="1" x14ac:dyDescent="0.3"/>
    <row r="77" customFormat="1" x14ac:dyDescent="0.3"/>
    <row r="78" customFormat="1" x14ac:dyDescent="0.3"/>
    <row r="79" customFormat="1" x14ac:dyDescent="0.3"/>
    <row r="80" customFormat="1" x14ac:dyDescent="0.3"/>
    <row r="81" customFormat="1" x14ac:dyDescent="0.3"/>
    <row r="82" customFormat="1" x14ac:dyDescent="0.3"/>
    <row r="83" customFormat="1" x14ac:dyDescent="0.3"/>
    <row r="84" customFormat="1" x14ac:dyDescent="0.3"/>
    <row r="85" customFormat="1" x14ac:dyDescent="0.3"/>
    <row r="86" customFormat="1" x14ac:dyDescent="0.3"/>
    <row r="87" customFormat="1" x14ac:dyDescent="0.3"/>
    <row r="88" customFormat="1" x14ac:dyDescent="0.3"/>
    <row r="89" customFormat="1" x14ac:dyDescent="0.3"/>
    <row r="90" customFormat="1" x14ac:dyDescent="0.3"/>
    <row r="91" customFormat="1" x14ac:dyDescent="0.3"/>
    <row r="92" customFormat="1" x14ac:dyDescent="0.3"/>
    <row r="93" customFormat="1" x14ac:dyDescent="0.3"/>
    <row r="94" customFormat="1" x14ac:dyDescent="0.3"/>
    <row r="95" customFormat="1" x14ac:dyDescent="0.3"/>
    <row r="96" customFormat="1" x14ac:dyDescent="0.3"/>
    <row r="97" customFormat="1" x14ac:dyDescent="0.3"/>
    <row r="98" customFormat="1" x14ac:dyDescent="0.3"/>
    <row r="99" customFormat="1" x14ac:dyDescent="0.3"/>
    <row r="100" customFormat="1" x14ac:dyDescent="0.3"/>
    <row r="101" customFormat="1" x14ac:dyDescent="0.3"/>
    <row r="102" customFormat="1" x14ac:dyDescent="0.3"/>
    <row r="103" customFormat="1" x14ac:dyDescent="0.3"/>
    <row r="104" customFormat="1" x14ac:dyDescent="0.3"/>
    <row r="105" customFormat="1" x14ac:dyDescent="0.3"/>
    <row r="106" customFormat="1" x14ac:dyDescent="0.3"/>
    <row r="107" customFormat="1" x14ac:dyDescent="0.3"/>
    <row r="108" customFormat="1" x14ac:dyDescent="0.3"/>
    <row r="109" customFormat="1" x14ac:dyDescent="0.3"/>
    <row r="110" customFormat="1" x14ac:dyDescent="0.3"/>
    <row r="111" customFormat="1" x14ac:dyDescent="0.3"/>
    <row r="112" customFormat="1" x14ac:dyDescent="0.3"/>
    <row r="113" customFormat="1" x14ac:dyDescent="0.3"/>
    <row r="114" customFormat="1" x14ac:dyDescent="0.3"/>
    <row r="115" customFormat="1" x14ac:dyDescent="0.3"/>
    <row r="116" customFormat="1" x14ac:dyDescent="0.3"/>
    <row r="117" customFormat="1" x14ac:dyDescent="0.3"/>
    <row r="118" customFormat="1" x14ac:dyDescent="0.3"/>
    <row r="119" customFormat="1" x14ac:dyDescent="0.3"/>
    <row r="120" customFormat="1" x14ac:dyDescent="0.3"/>
    <row r="121" customFormat="1" x14ac:dyDescent="0.3"/>
    <row r="122" customFormat="1" x14ac:dyDescent="0.3"/>
    <row r="123" customFormat="1" x14ac:dyDescent="0.3"/>
    <row r="124" customFormat="1" x14ac:dyDescent="0.3"/>
    <row r="125" customFormat="1" x14ac:dyDescent="0.3"/>
    <row r="126" customFormat="1" x14ac:dyDescent="0.3"/>
    <row r="127" customFormat="1" x14ac:dyDescent="0.3"/>
    <row r="128" customFormat="1" x14ac:dyDescent="0.3"/>
    <row r="129" customFormat="1" x14ac:dyDescent="0.3"/>
    <row r="130" customFormat="1" x14ac:dyDescent="0.3"/>
    <row r="131" customFormat="1" x14ac:dyDescent="0.3"/>
    <row r="132" customFormat="1" x14ac:dyDescent="0.3"/>
    <row r="133" customFormat="1" x14ac:dyDescent="0.3"/>
    <row r="134" customFormat="1" x14ac:dyDescent="0.3"/>
    <row r="135" customFormat="1" x14ac:dyDescent="0.3"/>
    <row r="136" customFormat="1" x14ac:dyDescent="0.3"/>
    <row r="137" customFormat="1" x14ac:dyDescent="0.3"/>
    <row r="138" customFormat="1" x14ac:dyDescent="0.3"/>
    <row r="139" customFormat="1" x14ac:dyDescent="0.3"/>
    <row r="140" customFormat="1" x14ac:dyDescent="0.3"/>
    <row r="141" customFormat="1" x14ac:dyDescent="0.3"/>
    <row r="142" customFormat="1" x14ac:dyDescent="0.3"/>
    <row r="143" customFormat="1" x14ac:dyDescent="0.3"/>
    <row r="144" customFormat="1" x14ac:dyDescent="0.3"/>
    <row r="145" customFormat="1" x14ac:dyDescent="0.3"/>
    <row r="146" customFormat="1" x14ac:dyDescent="0.3"/>
    <row r="147" customFormat="1" x14ac:dyDescent="0.3"/>
    <row r="148" customFormat="1" x14ac:dyDescent="0.3"/>
    <row r="149" customFormat="1" x14ac:dyDescent="0.3"/>
    <row r="150" customFormat="1" x14ac:dyDescent="0.3"/>
    <row r="151" customFormat="1" x14ac:dyDescent="0.3"/>
    <row r="152" customFormat="1" x14ac:dyDescent="0.3"/>
    <row r="153" customFormat="1" x14ac:dyDescent="0.3"/>
    <row r="154" customFormat="1" x14ac:dyDescent="0.3"/>
    <row r="155" customFormat="1" x14ac:dyDescent="0.3"/>
    <row r="156" customFormat="1" x14ac:dyDescent="0.3"/>
    <row r="157" customFormat="1" x14ac:dyDescent="0.3"/>
    <row r="158" customFormat="1" x14ac:dyDescent="0.3"/>
    <row r="159" customFormat="1" x14ac:dyDescent="0.3"/>
    <row r="160" customFormat="1" x14ac:dyDescent="0.3"/>
    <row r="161" spans="1:10" x14ac:dyDescent="0.3">
      <c r="A161"/>
      <c r="B161"/>
      <c r="C161"/>
      <c r="D161"/>
      <c r="E161"/>
      <c r="F161"/>
      <c r="G161"/>
      <c r="H161"/>
      <c r="I161"/>
      <c r="J161"/>
    </row>
    <row r="162" spans="1:10" x14ac:dyDescent="0.3">
      <c r="A162"/>
      <c r="B162"/>
      <c r="C162"/>
      <c r="D162"/>
      <c r="E162"/>
      <c r="F162"/>
      <c r="G162"/>
      <c r="H162"/>
      <c r="I162"/>
      <c r="J162"/>
    </row>
    <row r="163" spans="1:10" ht="25.95" customHeight="1" x14ac:dyDescent="0.3">
      <c r="A163" s="302"/>
      <c r="B163" s="302"/>
      <c r="C163" s="302"/>
      <c r="D163" s="302"/>
      <c r="E163" s="302"/>
      <c r="F163" s="302"/>
      <c r="G163" s="302"/>
      <c r="H163" s="303"/>
      <c r="I163" s="302"/>
      <c r="J163" s="301"/>
    </row>
    <row r="164" spans="1:10" x14ac:dyDescent="0.3">
      <c r="A164" s="494" t="str">
        <f>DADOS!B5</f>
        <v>SÃO FELIPE/BA</v>
      </c>
      <c r="B164" s="494"/>
      <c r="C164" s="494"/>
      <c r="E164" s="147"/>
      <c r="F164" s="147"/>
      <c r="G164" s="576">
        <f ca="1">DADOS!B18</f>
        <v>45812</v>
      </c>
      <c r="H164" s="576"/>
      <c r="I164" s="576"/>
      <c r="J164" s="576"/>
    </row>
    <row r="165" spans="1:10" x14ac:dyDescent="0.3">
      <c r="A165" s="519" t="s">
        <v>20</v>
      </c>
      <c r="B165" s="519"/>
      <c r="C165" s="59"/>
      <c r="E165" s="43"/>
      <c r="F165" s="127"/>
      <c r="G165" s="577" t="s">
        <v>21</v>
      </c>
      <c r="H165" s="577"/>
      <c r="I165" s="577"/>
      <c r="J165" s="577"/>
    </row>
    <row r="166" spans="1:10" x14ac:dyDescent="0.3">
      <c r="A166" s="57"/>
      <c r="B166" s="58"/>
      <c r="C166" s="59"/>
      <c r="D166" s="59"/>
      <c r="E166" s="60"/>
      <c r="F166" s="60"/>
      <c r="G166" s="60"/>
      <c r="H166" s="60"/>
      <c r="I166" s="60"/>
      <c r="J166"/>
    </row>
    <row r="167" spans="1:10" x14ac:dyDescent="0.3">
      <c r="A167" s="57"/>
      <c r="B167" s="58"/>
      <c r="C167" s="59"/>
      <c r="D167" s="59"/>
      <c r="E167" s="60"/>
      <c r="F167" s="60"/>
      <c r="G167" s="60"/>
      <c r="H167" s="60"/>
      <c r="I167" s="60"/>
      <c r="J167"/>
    </row>
    <row r="168" spans="1:10" x14ac:dyDescent="0.3">
      <c r="A168" s="57"/>
      <c r="B168" s="58"/>
      <c r="C168" s="59"/>
      <c r="D168" s="59"/>
      <c r="E168" s="60"/>
      <c r="F168" s="60"/>
      <c r="G168" s="60"/>
      <c r="H168" s="60"/>
      <c r="I168" s="60"/>
      <c r="J168"/>
    </row>
    <row r="169" spans="1:10" x14ac:dyDescent="0.3">
      <c r="A169" s="57"/>
      <c r="B169" s="58"/>
      <c r="C169" s="59"/>
      <c r="D169" s="59"/>
      <c r="E169" s="60"/>
      <c r="F169" s="60"/>
      <c r="G169" s="60"/>
      <c r="H169" s="60"/>
      <c r="I169" s="60"/>
      <c r="J169"/>
    </row>
    <row r="170" spans="1:10" x14ac:dyDescent="0.3">
      <c r="A170" s="304"/>
      <c r="B170" s="298"/>
      <c r="C170" s="305"/>
      <c r="E170" s="60"/>
      <c r="F170" s="60"/>
      <c r="G170" s="60"/>
      <c r="H170" s="60"/>
      <c r="I170" s="60"/>
      <c r="J170"/>
    </row>
    <row r="171" spans="1:10" x14ac:dyDescent="0.3">
      <c r="A171" s="575" t="s">
        <v>23</v>
      </c>
      <c r="B171" s="575"/>
      <c r="E171" s="60"/>
      <c r="F171" s="60"/>
      <c r="G171" s="60"/>
      <c r="H171" s="60"/>
      <c r="I171" s="60"/>
      <c r="J171"/>
    </row>
    <row r="172" spans="1:10" x14ac:dyDescent="0.3">
      <c r="A172" s="125" t="s">
        <v>22</v>
      </c>
      <c r="B172" s="57" t="str">
        <f>DADOS!B15</f>
        <v>Eliabe Vitória Souza</v>
      </c>
      <c r="E172" s="60"/>
      <c r="F172" s="60"/>
      <c r="G172" s="60"/>
      <c r="H172" s="60"/>
      <c r="I172" s="60"/>
      <c r="J172"/>
    </row>
    <row r="173" spans="1:10" x14ac:dyDescent="0.3">
      <c r="A173" s="125" t="s">
        <v>24</v>
      </c>
      <c r="B173" s="57" t="str">
        <f>DADOS!B16</f>
        <v>Engenheiro Civil</v>
      </c>
      <c r="E173" s="60"/>
      <c r="F173" s="60"/>
      <c r="G173" s="60"/>
      <c r="H173" s="60"/>
      <c r="I173" s="60"/>
      <c r="J173"/>
    </row>
    <row r="174" spans="1:10" x14ac:dyDescent="0.3">
      <c r="A174" s="125" t="s">
        <v>25</v>
      </c>
      <c r="B174" s="57" t="str">
        <f>DADOS!B17</f>
        <v>CREA/BA:051487735-9</v>
      </c>
      <c r="E174" s="60"/>
      <c r="F174" s="60"/>
      <c r="G174" s="60"/>
      <c r="H174" s="60"/>
      <c r="I174" s="60"/>
      <c r="J174"/>
    </row>
    <row r="175" spans="1:10" x14ac:dyDescent="0.3">
      <c r="A175" s="57"/>
      <c r="B175" s="58"/>
      <c r="C175" s="59"/>
      <c r="D175" s="59"/>
      <c r="E175" s="60"/>
      <c r="F175" s="60"/>
      <c r="G175" s="60"/>
      <c r="H175" s="60"/>
      <c r="I175" s="60"/>
      <c r="J175"/>
    </row>
  </sheetData>
  <mergeCells count="50">
    <mergeCell ref="E25:F25"/>
    <mergeCell ref="E14:F14"/>
    <mergeCell ref="E15:F15"/>
    <mergeCell ref="E16:F16"/>
    <mergeCell ref="E17:F17"/>
    <mergeCell ref="A9:J9"/>
    <mergeCell ref="A8:D8"/>
    <mergeCell ref="E8:F8"/>
    <mergeCell ref="E23:F23"/>
    <mergeCell ref="E24:F24"/>
    <mergeCell ref="E21:F21"/>
    <mergeCell ref="E22:F22"/>
    <mergeCell ref="H19:I19"/>
    <mergeCell ref="E11:F11"/>
    <mergeCell ref="E12:F12"/>
    <mergeCell ref="E13:F13"/>
    <mergeCell ref="G8:H8"/>
    <mergeCell ref="I8:J8"/>
    <mergeCell ref="L35:N35"/>
    <mergeCell ref="A38:D38"/>
    <mergeCell ref="A171:B171"/>
    <mergeCell ref="G164:J164"/>
    <mergeCell ref="G165:J165"/>
    <mergeCell ref="A164:C164"/>
    <mergeCell ref="A165:B165"/>
    <mergeCell ref="A42:B42"/>
    <mergeCell ref="C42:D42"/>
    <mergeCell ref="A41:B41"/>
    <mergeCell ref="C41:D41"/>
    <mergeCell ref="A33:D33"/>
    <mergeCell ref="A39:D39"/>
    <mergeCell ref="A40:B40"/>
    <mergeCell ref="C40:D40"/>
    <mergeCell ref="A34:D34"/>
    <mergeCell ref="H33:J33"/>
    <mergeCell ref="H34:J34"/>
    <mergeCell ref="E26:F26"/>
    <mergeCell ref="E27:F27"/>
    <mergeCell ref="H29:I29"/>
    <mergeCell ref="A7:D7"/>
    <mergeCell ref="E7:F7"/>
    <mergeCell ref="G7:H7"/>
    <mergeCell ref="I7:J7"/>
    <mergeCell ref="A1:F1"/>
    <mergeCell ref="A2:F2"/>
    <mergeCell ref="A3:F3"/>
    <mergeCell ref="A6:D6"/>
    <mergeCell ref="E6:J6"/>
    <mergeCell ref="A5:D5"/>
    <mergeCell ref="E5:I5"/>
  </mergeCells>
  <printOptions horizontalCentered="1"/>
  <pageMargins left="0.74803149606299213" right="0.59055118110236227" top="0.9055118110236221" bottom="0.82677165354330717" header="0.31496062992125984" footer="0.23622047244094491"/>
  <pageSetup paperSize="9" scale="54" fitToHeight="0" orientation="portrait" r:id="rId1"/>
  <headerFooter>
    <oddFooter>&amp;RPágina &amp;P de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Planilha12">
    <pageSetUpPr fitToPage="1"/>
  </sheetPr>
  <dimension ref="A1:I140"/>
  <sheetViews>
    <sheetView topLeftCell="A10" zoomScale="85" zoomScaleNormal="85" workbookViewId="0">
      <selection activeCell="B40" sqref="B40:D40"/>
    </sheetView>
  </sheetViews>
  <sheetFormatPr defaultColWidth="9.109375" defaultRowHeight="12" x14ac:dyDescent="0.3"/>
  <cols>
    <col min="1" max="1" width="14.33203125" style="258" customWidth="1"/>
    <col min="2" max="2" width="16.33203125" style="258" customWidth="1"/>
    <col min="3" max="3" width="24" style="258" customWidth="1"/>
    <col min="4" max="4" width="22.6640625" style="258" customWidth="1"/>
    <col min="5" max="5" width="33.88671875" style="258" customWidth="1"/>
    <col min="6" max="6" width="33.44140625" style="258" customWidth="1"/>
    <col min="7" max="16384" width="9.109375" style="258"/>
  </cols>
  <sheetData>
    <row r="1" spans="1:7" s="245" customFormat="1" ht="30" customHeight="1" x14ac:dyDescent="0.3">
      <c r="A1" s="616" t="s">
        <v>167</v>
      </c>
      <c r="B1" s="616"/>
      <c r="C1" s="616"/>
      <c r="D1" s="616"/>
      <c r="E1" s="616"/>
      <c r="F1" s="616"/>
      <c r="G1" s="244"/>
    </row>
    <row r="2" spans="1:7" s="245" customFormat="1" ht="13.5" customHeight="1" x14ac:dyDescent="0.3">
      <c r="A2" s="617" t="s">
        <v>168</v>
      </c>
      <c r="B2" s="617"/>
      <c r="C2" s="617"/>
      <c r="D2" s="617"/>
      <c r="E2" s="617"/>
      <c r="F2" s="617"/>
      <c r="G2" s="244"/>
    </row>
    <row r="3" spans="1:7" s="245" customFormat="1" ht="27.75" customHeight="1" x14ac:dyDescent="0.3">
      <c r="A3" s="618" t="s">
        <v>170</v>
      </c>
      <c r="B3" s="619"/>
      <c r="C3" s="619"/>
      <c r="D3" s="619"/>
      <c r="E3" s="619"/>
      <c r="F3" s="619"/>
      <c r="G3" s="246"/>
    </row>
    <row r="4" spans="1:7" s="245" customFormat="1" ht="14.25" customHeight="1" x14ac:dyDescent="0.3">
      <c r="A4" s="247"/>
      <c r="B4" s="248"/>
      <c r="C4" s="247"/>
      <c r="D4" s="247"/>
      <c r="E4" s="247"/>
      <c r="F4" s="247"/>
      <c r="G4" s="247"/>
    </row>
    <row r="5" spans="1:7" s="250" customFormat="1" x14ac:dyDescent="0.25">
      <c r="A5" s="612" t="s">
        <v>0</v>
      </c>
      <c r="B5" s="612"/>
      <c r="C5" s="612" t="s">
        <v>1</v>
      </c>
      <c r="D5" s="612"/>
      <c r="E5" s="612"/>
      <c r="F5" s="612"/>
      <c r="G5" s="249"/>
    </row>
    <row r="6" spans="1:7" s="245" customFormat="1" ht="33" customHeight="1" x14ac:dyDescent="0.3">
      <c r="A6" s="613" t="s">
        <v>273</v>
      </c>
      <c r="B6" s="613"/>
      <c r="C6" s="620" t="s">
        <v>274</v>
      </c>
      <c r="D6" s="620"/>
      <c r="E6" s="620"/>
      <c r="F6" s="620"/>
      <c r="G6" s="251"/>
    </row>
    <row r="7" spans="1:7" s="250" customFormat="1" x14ac:dyDescent="0.25">
      <c r="A7" s="612" t="s">
        <v>15</v>
      </c>
      <c r="B7" s="612"/>
      <c r="C7" s="612" t="s">
        <v>16</v>
      </c>
      <c r="D7" s="612"/>
      <c r="E7" s="612"/>
      <c r="F7" s="612"/>
      <c r="G7" s="249"/>
    </row>
    <row r="8" spans="1:7" s="245" customFormat="1" ht="25.95" customHeight="1" x14ac:dyDescent="0.3">
      <c r="A8" s="613" t="s">
        <v>275</v>
      </c>
      <c r="B8" s="613"/>
      <c r="C8" s="614">
        <v>44314</v>
      </c>
      <c r="D8" s="614"/>
      <c r="E8" s="614"/>
      <c r="F8" s="614"/>
      <c r="G8" s="252"/>
    </row>
    <row r="9" spans="1:7" s="253" customFormat="1" ht="24" customHeight="1" x14ac:dyDescent="0.3">
      <c r="A9" s="615" t="s">
        <v>135</v>
      </c>
      <c r="B9" s="615"/>
      <c r="C9" s="615"/>
      <c r="D9" s="615"/>
      <c r="E9" s="615"/>
      <c r="F9" s="615"/>
    </row>
    <row r="10" spans="1:7" ht="7.5" customHeight="1" thickBot="1" x14ac:dyDescent="0.35">
      <c r="A10" s="254"/>
      <c r="B10" s="255"/>
      <c r="C10" s="256"/>
      <c r="D10" s="257"/>
      <c r="E10" s="257"/>
    </row>
    <row r="11" spans="1:7" ht="18.600000000000001" thickBot="1" x14ac:dyDescent="0.35">
      <c r="A11" s="609" t="s">
        <v>125</v>
      </c>
      <c r="B11" s="610"/>
      <c r="C11" s="610"/>
      <c r="D11" s="610"/>
      <c r="E11" s="610"/>
      <c r="F11" s="611"/>
    </row>
    <row r="12" spans="1:7" ht="13.2" customHeight="1" x14ac:dyDescent="0.3">
      <c r="A12" s="259" t="s">
        <v>126</v>
      </c>
      <c r="B12" s="260" t="s">
        <v>127</v>
      </c>
      <c r="C12" s="621" t="s">
        <v>128</v>
      </c>
      <c r="D12" s="622"/>
      <c r="E12" s="260" t="s">
        <v>129</v>
      </c>
      <c r="F12" s="261" t="s">
        <v>130</v>
      </c>
    </row>
    <row r="13" spans="1:7" s="266" customFormat="1" x14ac:dyDescent="0.3">
      <c r="A13" s="262" t="s">
        <v>172</v>
      </c>
      <c r="B13" s="263"/>
      <c r="C13" s="607"/>
      <c r="D13" s="607"/>
      <c r="E13" s="264"/>
      <c r="F13" s="265"/>
    </row>
    <row r="14" spans="1:7" s="266" customFormat="1" x14ac:dyDescent="0.3">
      <c r="A14" s="262" t="s">
        <v>173</v>
      </c>
      <c r="B14" s="263"/>
      <c r="C14" s="607"/>
      <c r="D14" s="607"/>
      <c r="E14" s="264"/>
      <c r="F14" s="265"/>
    </row>
    <row r="15" spans="1:7" s="266" customFormat="1" x14ac:dyDescent="0.3">
      <c r="A15" s="262" t="s">
        <v>174</v>
      </c>
      <c r="B15" s="263"/>
      <c r="C15" s="607"/>
      <c r="D15" s="607"/>
      <c r="E15" s="264"/>
      <c r="F15" s="265"/>
    </row>
    <row r="16" spans="1:7" s="266" customFormat="1" x14ac:dyDescent="0.3">
      <c r="A16" s="262" t="s">
        <v>175</v>
      </c>
      <c r="B16" s="263"/>
      <c r="C16" s="607"/>
      <c r="D16" s="607"/>
      <c r="E16" s="264"/>
      <c r="F16" s="265"/>
    </row>
    <row r="17" spans="1:6" s="266" customFormat="1" x14ac:dyDescent="0.3">
      <c r="A17" s="262" t="s">
        <v>176</v>
      </c>
      <c r="B17" s="263"/>
      <c r="C17" s="607"/>
      <c r="D17" s="607"/>
      <c r="E17" s="264"/>
      <c r="F17" s="265"/>
    </row>
    <row r="18" spans="1:6" s="266" customFormat="1" x14ac:dyDescent="0.3">
      <c r="A18" s="262" t="s">
        <v>177</v>
      </c>
      <c r="B18" s="263"/>
      <c r="C18" s="607"/>
      <c r="D18" s="607"/>
      <c r="E18" s="264"/>
      <c r="F18" s="265"/>
    </row>
    <row r="19" spans="1:6" s="266" customFormat="1" x14ac:dyDescent="0.3">
      <c r="A19" s="262" t="s">
        <v>178</v>
      </c>
      <c r="B19" s="263"/>
      <c r="C19" s="607"/>
      <c r="D19" s="607"/>
      <c r="E19" s="264"/>
      <c r="F19" s="265"/>
    </row>
    <row r="20" spans="1:6" s="266" customFormat="1" x14ac:dyDescent="0.3">
      <c r="A20" s="262" t="s">
        <v>179</v>
      </c>
      <c r="B20" s="263"/>
      <c r="C20" s="607"/>
      <c r="D20" s="607"/>
      <c r="E20" s="264"/>
      <c r="F20" s="265"/>
    </row>
    <row r="21" spans="1:6" s="266" customFormat="1" x14ac:dyDescent="0.3">
      <c r="A21" s="262" t="s">
        <v>180</v>
      </c>
      <c r="B21" s="263"/>
      <c r="C21" s="607"/>
      <c r="D21" s="607"/>
      <c r="E21" s="264"/>
      <c r="F21" s="265"/>
    </row>
    <row r="22" spans="1:6" s="266" customFormat="1" x14ac:dyDescent="0.3">
      <c r="A22" s="262" t="s">
        <v>181</v>
      </c>
      <c r="B22" s="263"/>
      <c r="C22" s="607"/>
      <c r="D22" s="607"/>
      <c r="E22" s="264"/>
      <c r="F22" s="265"/>
    </row>
    <row r="23" spans="1:6" s="266" customFormat="1" x14ac:dyDescent="0.3">
      <c r="A23" s="262" t="s">
        <v>182</v>
      </c>
      <c r="B23" s="263"/>
      <c r="C23" s="607"/>
      <c r="D23" s="607"/>
      <c r="E23" s="264"/>
      <c r="F23" s="265"/>
    </row>
    <row r="24" spans="1:6" s="266" customFormat="1" x14ac:dyDescent="0.3">
      <c r="A24" s="262" t="s">
        <v>183</v>
      </c>
      <c r="B24" s="263"/>
      <c r="C24" s="607"/>
      <c r="D24" s="607"/>
      <c r="E24" s="264"/>
      <c r="F24" s="265"/>
    </row>
    <row r="25" spans="1:6" s="266" customFormat="1" x14ac:dyDescent="0.3">
      <c r="A25" s="262" t="s">
        <v>184</v>
      </c>
      <c r="B25" s="263"/>
      <c r="C25" s="607"/>
      <c r="D25" s="607"/>
      <c r="E25" s="264"/>
      <c r="F25" s="265"/>
    </row>
    <row r="26" spans="1:6" s="266" customFormat="1" x14ac:dyDescent="0.3">
      <c r="A26" s="262" t="s">
        <v>185</v>
      </c>
      <c r="B26" s="263"/>
      <c r="C26" s="607"/>
      <c r="D26" s="607"/>
      <c r="E26" s="264"/>
      <c r="F26" s="265"/>
    </row>
    <row r="27" spans="1:6" s="266" customFormat="1" x14ac:dyDescent="0.3">
      <c r="A27" s="262" t="s">
        <v>186</v>
      </c>
      <c r="B27" s="263"/>
      <c r="C27" s="607"/>
      <c r="D27" s="607"/>
      <c r="E27" s="264"/>
      <c r="F27" s="265"/>
    </row>
    <row r="28" spans="1:6" s="266" customFormat="1" x14ac:dyDescent="0.3">
      <c r="A28" s="262" t="s">
        <v>187</v>
      </c>
      <c r="B28" s="263"/>
      <c r="C28" s="607"/>
      <c r="D28" s="607"/>
      <c r="E28" s="264"/>
      <c r="F28" s="265"/>
    </row>
    <row r="29" spans="1:6" s="266" customFormat="1" x14ac:dyDescent="0.3">
      <c r="A29" s="262" t="s">
        <v>188</v>
      </c>
      <c r="B29" s="263"/>
      <c r="C29" s="607"/>
      <c r="D29" s="607"/>
      <c r="E29" s="264"/>
      <c r="F29" s="265"/>
    </row>
    <row r="30" spans="1:6" s="266" customFormat="1" x14ac:dyDescent="0.3">
      <c r="A30" s="262" t="s">
        <v>189</v>
      </c>
      <c r="B30" s="263"/>
      <c r="C30" s="607"/>
      <c r="D30" s="607"/>
      <c r="E30" s="264"/>
      <c r="F30" s="265"/>
    </row>
    <row r="31" spans="1:6" s="266" customFormat="1" x14ac:dyDescent="0.3">
      <c r="A31" s="262" t="s">
        <v>190</v>
      </c>
      <c r="B31" s="263"/>
      <c r="C31" s="607"/>
      <c r="D31" s="607"/>
      <c r="E31" s="264"/>
      <c r="F31" s="265"/>
    </row>
    <row r="32" spans="1:6" s="266" customFormat="1" x14ac:dyDescent="0.3">
      <c r="A32" s="262" t="s">
        <v>191</v>
      </c>
      <c r="B32" s="263"/>
      <c r="C32" s="607"/>
      <c r="D32" s="607"/>
      <c r="E32" s="264"/>
      <c r="F32" s="265"/>
    </row>
    <row r="33" spans="1:7" s="266" customFormat="1" x14ac:dyDescent="0.3">
      <c r="A33" s="262" t="s">
        <v>192</v>
      </c>
      <c r="B33" s="263"/>
      <c r="C33" s="607"/>
      <c r="D33" s="607"/>
      <c r="E33" s="263"/>
      <c r="F33" s="265"/>
    </row>
    <row r="34" spans="1:7" s="266" customFormat="1" ht="12.6" thickBot="1" x14ac:dyDescent="0.35">
      <c r="A34" s="267" t="s">
        <v>193</v>
      </c>
      <c r="B34" s="268"/>
      <c r="C34" s="608"/>
      <c r="D34" s="608"/>
      <c r="E34" s="268"/>
      <c r="F34" s="269"/>
    </row>
    <row r="35" spans="1:7" ht="7.5" customHeight="1" thickBot="1" x14ac:dyDescent="0.35">
      <c r="A35" s="254"/>
      <c r="B35" s="255"/>
      <c r="C35" s="256"/>
      <c r="D35" s="257"/>
      <c r="E35" s="257"/>
    </row>
    <row r="36" spans="1:7" ht="18.600000000000001" thickBot="1" x14ac:dyDescent="0.35">
      <c r="A36" s="609" t="s">
        <v>131</v>
      </c>
      <c r="B36" s="610"/>
      <c r="C36" s="610"/>
      <c r="D36" s="610"/>
      <c r="E36" s="610"/>
      <c r="F36" s="611"/>
    </row>
    <row r="37" spans="1:7" x14ac:dyDescent="0.3">
      <c r="A37" s="270" t="s">
        <v>123</v>
      </c>
      <c r="B37" s="589" t="s">
        <v>121</v>
      </c>
      <c r="C37" s="590"/>
      <c r="D37" s="591"/>
      <c r="E37" s="270" t="s">
        <v>120</v>
      </c>
      <c r="F37" s="270" t="s">
        <v>132</v>
      </c>
      <c r="G37" s="266"/>
    </row>
    <row r="38" spans="1:7" x14ac:dyDescent="0.3">
      <c r="A38" s="271" t="s">
        <v>194</v>
      </c>
      <c r="B38" s="592"/>
      <c r="C38" s="593"/>
      <c r="D38" s="594"/>
      <c r="E38" s="272"/>
      <c r="F38" s="273" t="e">
        <f>MEDIAN(E40:E42)</f>
        <v>#NUM!</v>
      </c>
      <c r="G38" s="266"/>
    </row>
    <row r="39" spans="1:7" s="278" customFormat="1" x14ac:dyDescent="0.3">
      <c r="A39" s="270" t="s">
        <v>133</v>
      </c>
      <c r="B39" s="274" t="s">
        <v>134</v>
      </c>
      <c r="C39" s="275"/>
      <c r="D39" s="276"/>
      <c r="E39" s="270" t="s">
        <v>135</v>
      </c>
      <c r="F39" s="270" t="s">
        <v>136</v>
      </c>
      <c r="G39" s="277"/>
    </row>
    <row r="40" spans="1:7" x14ac:dyDescent="0.3">
      <c r="A40" s="279" t="s">
        <v>172</v>
      </c>
      <c r="B40" s="601">
        <f>IF(A40&lt;&gt;"",VLOOKUP(A40,$A$13:$D$34,3,FALSE),"")</f>
        <v>0</v>
      </c>
      <c r="C40" s="602"/>
      <c r="D40" s="603"/>
      <c r="E40" s="280"/>
      <c r="F40" s="281"/>
      <c r="G40" s="266"/>
    </row>
    <row r="41" spans="1:7" x14ac:dyDescent="0.3">
      <c r="A41" s="279" t="s">
        <v>173</v>
      </c>
      <c r="B41" s="601">
        <f t="shared" ref="B41:B42" si="0">IF(A41&lt;&gt;"",VLOOKUP(A41,$A$13:$D$34,3,FALSE),"")</f>
        <v>0</v>
      </c>
      <c r="C41" s="602"/>
      <c r="D41" s="603"/>
      <c r="E41" s="280"/>
      <c r="F41" s="281"/>
      <c r="G41" s="266"/>
    </row>
    <row r="42" spans="1:7" ht="12.6" thickBot="1" x14ac:dyDescent="0.35">
      <c r="A42" s="282" t="s">
        <v>174</v>
      </c>
      <c r="B42" s="598">
        <f t="shared" si="0"/>
        <v>0</v>
      </c>
      <c r="C42" s="599"/>
      <c r="D42" s="600"/>
      <c r="E42" s="283"/>
      <c r="F42" s="284"/>
      <c r="G42" s="266"/>
    </row>
    <row r="43" spans="1:7" x14ac:dyDescent="0.3">
      <c r="A43" s="285"/>
      <c r="B43" s="285"/>
      <c r="E43" s="285"/>
      <c r="F43" s="285"/>
    </row>
    <row r="44" spans="1:7" x14ac:dyDescent="0.3">
      <c r="A44" s="270" t="s">
        <v>123</v>
      </c>
      <c r="B44" s="589" t="s">
        <v>121</v>
      </c>
      <c r="C44" s="590"/>
      <c r="D44" s="591"/>
      <c r="E44" s="270" t="s">
        <v>120</v>
      </c>
      <c r="F44" s="270" t="s">
        <v>132</v>
      </c>
      <c r="G44" s="266"/>
    </row>
    <row r="45" spans="1:7" x14ac:dyDescent="0.3">
      <c r="A45" s="271" t="s">
        <v>195</v>
      </c>
      <c r="B45" s="592"/>
      <c r="C45" s="593"/>
      <c r="D45" s="594"/>
      <c r="E45" s="272"/>
      <c r="F45" s="273" t="e">
        <f>MEDIAN(E47:E49)</f>
        <v>#NUM!</v>
      </c>
      <c r="G45" s="266"/>
    </row>
    <row r="46" spans="1:7" s="278" customFormat="1" x14ac:dyDescent="0.3">
      <c r="A46" s="270" t="s">
        <v>133</v>
      </c>
      <c r="B46" s="274" t="s">
        <v>134</v>
      </c>
      <c r="C46" s="275"/>
      <c r="D46" s="276"/>
      <c r="E46" s="270" t="s">
        <v>135</v>
      </c>
      <c r="F46" s="270" t="s">
        <v>136</v>
      </c>
      <c r="G46" s="277"/>
    </row>
    <row r="47" spans="1:7" x14ac:dyDescent="0.3">
      <c r="A47" s="279" t="s">
        <v>175</v>
      </c>
      <c r="B47" s="601">
        <f>IF(A47&lt;&gt;"",VLOOKUP(A47,$A$13:$D$34,3,FALSE),"")</f>
        <v>0</v>
      </c>
      <c r="C47" s="602"/>
      <c r="D47" s="603"/>
      <c r="E47" s="280"/>
      <c r="F47" s="281"/>
      <c r="G47" s="266"/>
    </row>
    <row r="48" spans="1:7" x14ac:dyDescent="0.3">
      <c r="A48" s="279" t="s">
        <v>172</v>
      </c>
      <c r="B48" s="601">
        <f t="shared" ref="B48:B49" si="1">IF(A48&lt;&gt;"",VLOOKUP(A48,$A$13:$D$34,3,FALSE),"")</f>
        <v>0</v>
      </c>
      <c r="C48" s="602"/>
      <c r="D48" s="603"/>
      <c r="E48" s="280"/>
      <c r="F48" s="281"/>
      <c r="G48" s="266"/>
    </row>
    <row r="49" spans="1:7" ht="12.6" thickBot="1" x14ac:dyDescent="0.35">
      <c r="A49" s="282" t="s">
        <v>176</v>
      </c>
      <c r="B49" s="598">
        <f t="shared" si="1"/>
        <v>0</v>
      </c>
      <c r="C49" s="599"/>
      <c r="D49" s="600"/>
      <c r="E49" s="283"/>
      <c r="F49" s="284"/>
      <c r="G49" s="266"/>
    </row>
    <row r="50" spans="1:7" x14ac:dyDescent="0.3">
      <c r="A50" s="285"/>
      <c r="B50" s="285"/>
      <c r="E50" s="285"/>
      <c r="F50" s="285"/>
    </row>
    <row r="51" spans="1:7" x14ac:dyDescent="0.3">
      <c r="A51" s="270" t="s">
        <v>123</v>
      </c>
      <c r="B51" s="589" t="s">
        <v>121</v>
      </c>
      <c r="C51" s="590"/>
      <c r="D51" s="591"/>
      <c r="E51" s="270" t="s">
        <v>120</v>
      </c>
      <c r="F51" s="270" t="s">
        <v>132</v>
      </c>
      <c r="G51" s="266"/>
    </row>
    <row r="52" spans="1:7" ht="23.4" customHeight="1" x14ac:dyDescent="0.3">
      <c r="A52" s="271" t="s">
        <v>196</v>
      </c>
      <c r="B52" s="604"/>
      <c r="C52" s="605"/>
      <c r="D52" s="606"/>
      <c r="E52" s="272"/>
      <c r="F52" s="273" t="e">
        <f>MEDIAN(E54:E56)</f>
        <v>#NUM!</v>
      </c>
      <c r="G52" s="266"/>
    </row>
    <row r="53" spans="1:7" s="278" customFormat="1" x14ac:dyDescent="0.3">
      <c r="A53" s="270" t="s">
        <v>133</v>
      </c>
      <c r="B53" s="274" t="s">
        <v>134</v>
      </c>
      <c r="C53" s="275"/>
      <c r="D53" s="276"/>
      <c r="E53" s="270" t="s">
        <v>135</v>
      </c>
      <c r="F53" s="270" t="s">
        <v>136</v>
      </c>
      <c r="G53" s="277"/>
    </row>
    <row r="54" spans="1:7" x14ac:dyDescent="0.3">
      <c r="A54" s="279" t="s">
        <v>177</v>
      </c>
      <c r="B54" s="601">
        <f>IF(A54&lt;&gt;"",VLOOKUP(A54,$A$13:$D$34,3,FALSE),"")</f>
        <v>0</v>
      </c>
      <c r="C54" s="602"/>
      <c r="D54" s="603"/>
      <c r="E54" s="280"/>
      <c r="F54" s="281"/>
      <c r="G54" s="266"/>
    </row>
    <row r="55" spans="1:7" x14ac:dyDescent="0.3">
      <c r="A55" s="279" t="s">
        <v>178</v>
      </c>
      <c r="B55" s="601">
        <f t="shared" ref="B55:B56" si="2">IF(A55&lt;&gt;"",VLOOKUP(A55,$A$13:$D$34,3,FALSE),"")</f>
        <v>0</v>
      </c>
      <c r="C55" s="602"/>
      <c r="D55" s="603"/>
      <c r="E55" s="280"/>
      <c r="F55" s="281"/>
      <c r="G55" s="266"/>
    </row>
    <row r="56" spans="1:7" ht="12.6" thickBot="1" x14ac:dyDescent="0.35">
      <c r="A56" s="282" t="s">
        <v>179</v>
      </c>
      <c r="B56" s="598">
        <f t="shared" si="2"/>
        <v>0</v>
      </c>
      <c r="C56" s="599"/>
      <c r="D56" s="600"/>
      <c r="E56" s="283"/>
      <c r="F56" s="284"/>
      <c r="G56" s="266"/>
    </row>
    <row r="57" spans="1:7" x14ac:dyDescent="0.3">
      <c r="A57" s="285"/>
      <c r="B57" s="285"/>
      <c r="E57" s="285"/>
      <c r="F57" s="285"/>
    </row>
    <row r="58" spans="1:7" x14ac:dyDescent="0.3">
      <c r="A58" s="270" t="s">
        <v>123</v>
      </c>
      <c r="B58" s="589" t="s">
        <v>121</v>
      </c>
      <c r="C58" s="590"/>
      <c r="D58" s="591"/>
      <c r="E58" s="270" t="s">
        <v>120</v>
      </c>
      <c r="F58" s="270" t="s">
        <v>132</v>
      </c>
      <c r="G58" s="266"/>
    </row>
    <row r="59" spans="1:7" x14ac:dyDescent="0.3">
      <c r="A59" s="271" t="s">
        <v>197</v>
      </c>
      <c r="B59" s="592"/>
      <c r="C59" s="593"/>
      <c r="D59" s="594"/>
      <c r="E59" s="272"/>
      <c r="F59" s="273" t="e">
        <f>MEDIAN(E61:E63)</f>
        <v>#NUM!</v>
      </c>
      <c r="G59" s="266"/>
    </row>
    <row r="60" spans="1:7" s="278" customFormat="1" x14ac:dyDescent="0.3">
      <c r="A60" s="270" t="s">
        <v>133</v>
      </c>
      <c r="B60" s="274" t="s">
        <v>134</v>
      </c>
      <c r="C60" s="275"/>
      <c r="D60" s="276"/>
      <c r="E60" s="270" t="s">
        <v>135</v>
      </c>
      <c r="F60" s="270" t="s">
        <v>136</v>
      </c>
      <c r="G60" s="277"/>
    </row>
    <row r="61" spans="1:7" x14ac:dyDescent="0.3">
      <c r="A61" s="279" t="s">
        <v>180</v>
      </c>
      <c r="B61" s="601">
        <f>IF(A61&lt;&gt;"",VLOOKUP(A61,$A$13:$D$34,3,FALSE),"")</f>
        <v>0</v>
      </c>
      <c r="C61" s="602"/>
      <c r="D61" s="603"/>
      <c r="E61" s="280"/>
      <c r="F61" s="281"/>
      <c r="G61" s="266"/>
    </row>
    <row r="62" spans="1:7" x14ac:dyDescent="0.3">
      <c r="A62" s="279" t="s">
        <v>181</v>
      </c>
      <c r="B62" s="601">
        <f t="shared" ref="B62:B63" si="3">IF(A62&lt;&gt;"",VLOOKUP(A62,$A$13:$D$34,3,FALSE),"")</f>
        <v>0</v>
      </c>
      <c r="C62" s="602"/>
      <c r="D62" s="603"/>
      <c r="E62" s="280"/>
      <c r="F62" s="281"/>
      <c r="G62" s="266"/>
    </row>
    <row r="63" spans="1:7" ht="12.6" thickBot="1" x14ac:dyDescent="0.35">
      <c r="A63" s="282" t="s">
        <v>182</v>
      </c>
      <c r="B63" s="598">
        <f t="shared" si="3"/>
        <v>0</v>
      </c>
      <c r="C63" s="599"/>
      <c r="D63" s="600"/>
      <c r="E63" s="283"/>
      <c r="F63" s="284"/>
      <c r="G63" s="266"/>
    </row>
    <row r="64" spans="1:7" x14ac:dyDescent="0.3">
      <c r="A64" s="285"/>
      <c r="B64" s="285"/>
      <c r="E64" s="285"/>
      <c r="F64" s="285"/>
    </row>
    <row r="65" spans="1:7" x14ac:dyDescent="0.3">
      <c r="A65" s="270" t="s">
        <v>123</v>
      </c>
      <c r="B65" s="589" t="s">
        <v>121</v>
      </c>
      <c r="C65" s="590"/>
      <c r="D65" s="591"/>
      <c r="E65" s="270" t="s">
        <v>120</v>
      </c>
      <c r="F65" s="270" t="s">
        <v>132</v>
      </c>
      <c r="G65" s="266"/>
    </row>
    <row r="66" spans="1:7" ht="23.4" customHeight="1" x14ac:dyDescent="0.3">
      <c r="A66" s="271" t="s">
        <v>198</v>
      </c>
      <c r="B66" s="604"/>
      <c r="C66" s="605"/>
      <c r="D66" s="606"/>
      <c r="E66" s="272"/>
      <c r="F66" s="273" t="e">
        <f>MEDIAN(E68:E70)</f>
        <v>#NUM!</v>
      </c>
      <c r="G66" s="266"/>
    </row>
    <row r="67" spans="1:7" s="278" customFormat="1" x14ac:dyDescent="0.3">
      <c r="A67" s="270" t="s">
        <v>133</v>
      </c>
      <c r="B67" s="274" t="s">
        <v>134</v>
      </c>
      <c r="C67" s="275"/>
      <c r="D67" s="276"/>
      <c r="E67" s="270" t="s">
        <v>135</v>
      </c>
      <c r="F67" s="270" t="s">
        <v>136</v>
      </c>
      <c r="G67" s="277"/>
    </row>
    <row r="68" spans="1:7" x14ac:dyDescent="0.3">
      <c r="A68" s="279" t="s">
        <v>185</v>
      </c>
      <c r="B68" s="601">
        <f>IF(A68&lt;&gt;"",VLOOKUP(A68,$A$13:$D$34,3,FALSE),"")</f>
        <v>0</v>
      </c>
      <c r="C68" s="602"/>
      <c r="D68" s="603"/>
      <c r="E68" s="280"/>
      <c r="F68" s="281"/>
      <c r="G68" s="266"/>
    </row>
    <row r="69" spans="1:7" x14ac:dyDescent="0.3">
      <c r="A69" s="279" t="s">
        <v>172</v>
      </c>
      <c r="B69" s="601">
        <f t="shared" ref="B69:B70" si="4">IF(A69&lt;&gt;"",VLOOKUP(A69,$A$13:$D$34,3,FALSE),"")</f>
        <v>0</v>
      </c>
      <c r="C69" s="602"/>
      <c r="D69" s="603"/>
      <c r="E69" s="280"/>
      <c r="F69" s="281"/>
      <c r="G69" s="266"/>
    </row>
    <row r="70" spans="1:7" ht="12.6" thickBot="1" x14ac:dyDescent="0.35">
      <c r="A70" s="282" t="s">
        <v>184</v>
      </c>
      <c r="B70" s="598">
        <f t="shared" si="4"/>
        <v>0</v>
      </c>
      <c r="C70" s="599"/>
      <c r="D70" s="600"/>
      <c r="E70" s="283"/>
      <c r="F70" s="284"/>
      <c r="G70" s="266"/>
    </row>
    <row r="71" spans="1:7" x14ac:dyDescent="0.3">
      <c r="A71" s="285"/>
      <c r="B71" s="285"/>
      <c r="E71" s="285"/>
      <c r="F71" s="285"/>
    </row>
    <row r="72" spans="1:7" x14ac:dyDescent="0.3">
      <c r="A72" s="270" t="s">
        <v>123</v>
      </c>
      <c r="B72" s="589" t="s">
        <v>121</v>
      </c>
      <c r="C72" s="590"/>
      <c r="D72" s="591"/>
      <c r="E72" s="270" t="s">
        <v>120</v>
      </c>
      <c r="F72" s="270" t="s">
        <v>132</v>
      </c>
      <c r="G72" s="266"/>
    </row>
    <row r="73" spans="1:7" x14ac:dyDescent="0.3">
      <c r="A73" s="271" t="s">
        <v>199</v>
      </c>
      <c r="B73" s="592"/>
      <c r="C73" s="593"/>
      <c r="D73" s="594"/>
      <c r="E73" s="272"/>
      <c r="F73" s="273" t="e">
        <f>MEDIAN(E75:E77)</f>
        <v>#NUM!</v>
      </c>
      <c r="G73" s="266"/>
    </row>
    <row r="74" spans="1:7" s="278" customFormat="1" x14ac:dyDescent="0.3">
      <c r="A74" s="270" t="s">
        <v>133</v>
      </c>
      <c r="B74" s="274" t="s">
        <v>134</v>
      </c>
      <c r="C74" s="275"/>
      <c r="D74" s="276"/>
      <c r="E74" s="270" t="s">
        <v>135</v>
      </c>
      <c r="F74" s="270" t="s">
        <v>136</v>
      </c>
      <c r="G74" s="277"/>
    </row>
    <row r="75" spans="1:7" x14ac:dyDescent="0.3">
      <c r="A75" s="279" t="s">
        <v>175</v>
      </c>
      <c r="B75" s="595">
        <f>IF(A75&lt;&gt;"",VLOOKUP(A75,$A$13:$D$34,3,FALSE),"")</f>
        <v>0</v>
      </c>
      <c r="C75" s="596"/>
      <c r="D75" s="597"/>
      <c r="E75" s="280"/>
      <c r="F75" s="281"/>
      <c r="G75" s="266"/>
    </row>
    <row r="76" spans="1:7" x14ac:dyDescent="0.3">
      <c r="A76" s="279" t="s">
        <v>172</v>
      </c>
      <c r="B76" s="595">
        <f t="shared" ref="B76:B77" si="5">IF(A76&lt;&gt;"",VLOOKUP(A76,$A$13:$D$34,3,FALSE),"")</f>
        <v>0</v>
      </c>
      <c r="C76" s="596"/>
      <c r="D76" s="597"/>
      <c r="E76" s="280"/>
      <c r="F76" s="281"/>
      <c r="G76" s="266"/>
    </row>
    <row r="77" spans="1:7" ht="12.6" thickBot="1" x14ac:dyDescent="0.35">
      <c r="A77" s="282" t="s">
        <v>186</v>
      </c>
      <c r="B77" s="586">
        <f t="shared" si="5"/>
        <v>0</v>
      </c>
      <c r="C77" s="587"/>
      <c r="D77" s="588"/>
      <c r="E77" s="283"/>
      <c r="F77" s="284"/>
      <c r="G77" s="266"/>
    </row>
    <row r="78" spans="1:7" x14ac:dyDescent="0.3">
      <c r="A78" s="285"/>
      <c r="B78" s="285"/>
      <c r="E78" s="285"/>
      <c r="F78" s="285"/>
    </row>
    <row r="79" spans="1:7" x14ac:dyDescent="0.3">
      <c r="A79" s="270" t="s">
        <v>123</v>
      </c>
      <c r="B79" s="589" t="s">
        <v>121</v>
      </c>
      <c r="C79" s="590"/>
      <c r="D79" s="591"/>
      <c r="E79" s="270" t="s">
        <v>120</v>
      </c>
      <c r="F79" s="270" t="s">
        <v>132</v>
      </c>
      <c r="G79" s="266"/>
    </row>
    <row r="80" spans="1:7" ht="24.6" customHeight="1" x14ac:dyDescent="0.3">
      <c r="A80" s="271" t="s">
        <v>200</v>
      </c>
      <c r="B80" s="592"/>
      <c r="C80" s="593"/>
      <c r="D80" s="594"/>
      <c r="E80" s="272"/>
      <c r="F80" s="273" t="e">
        <f>MEDIAN(E82:E84)</f>
        <v>#NUM!</v>
      </c>
      <c r="G80" s="266"/>
    </row>
    <row r="81" spans="1:7" s="278" customFormat="1" x14ac:dyDescent="0.3">
      <c r="A81" s="270" t="s">
        <v>133</v>
      </c>
      <c r="B81" s="274" t="s">
        <v>134</v>
      </c>
      <c r="C81" s="275"/>
      <c r="D81" s="276"/>
      <c r="E81" s="270" t="s">
        <v>135</v>
      </c>
      <c r="F81" s="270" t="s">
        <v>136</v>
      </c>
      <c r="G81" s="277"/>
    </row>
    <row r="82" spans="1:7" x14ac:dyDescent="0.3">
      <c r="A82" s="279" t="s">
        <v>183</v>
      </c>
      <c r="B82" s="595">
        <f>IF(A82&lt;&gt;"",VLOOKUP(A82,$A$13:$D$34,3,FALSE),"")</f>
        <v>0</v>
      </c>
      <c r="C82" s="596"/>
      <c r="D82" s="597"/>
      <c r="E82" s="280"/>
      <c r="F82" s="281"/>
      <c r="G82" s="266"/>
    </row>
    <row r="83" spans="1:7" x14ac:dyDescent="0.3">
      <c r="A83" s="279" t="s">
        <v>175</v>
      </c>
      <c r="B83" s="595">
        <f t="shared" ref="B83:B84" si="6">IF(A83&lt;&gt;"",VLOOKUP(A83,$A$13:$D$34,3,FALSE),"")</f>
        <v>0</v>
      </c>
      <c r="C83" s="596"/>
      <c r="D83" s="597"/>
      <c r="E83" s="280"/>
      <c r="F83" s="281"/>
      <c r="G83" s="266"/>
    </row>
    <row r="84" spans="1:7" ht="12.6" thickBot="1" x14ac:dyDescent="0.35">
      <c r="A84" s="282" t="s">
        <v>172</v>
      </c>
      <c r="B84" s="586">
        <f t="shared" si="6"/>
        <v>0</v>
      </c>
      <c r="C84" s="587"/>
      <c r="D84" s="588"/>
      <c r="E84" s="283"/>
      <c r="F84" s="284"/>
      <c r="G84" s="266"/>
    </row>
    <row r="85" spans="1:7" x14ac:dyDescent="0.3">
      <c r="A85" s="285"/>
      <c r="B85" s="285"/>
      <c r="E85" s="285"/>
      <c r="F85" s="285"/>
      <c r="G85" s="266"/>
    </row>
    <row r="86" spans="1:7" x14ac:dyDescent="0.3">
      <c r="A86" s="270" t="s">
        <v>123</v>
      </c>
      <c r="B86" s="589" t="s">
        <v>121</v>
      </c>
      <c r="C86" s="590"/>
      <c r="D86" s="591"/>
      <c r="E86" s="270" t="s">
        <v>120</v>
      </c>
      <c r="F86" s="270" t="s">
        <v>132</v>
      </c>
      <c r="G86" s="266"/>
    </row>
    <row r="87" spans="1:7" ht="24.6" customHeight="1" x14ac:dyDescent="0.3">
      <c r="A87" s="271" t="s">
        <v>201</v>
      </c>
      <c r="B87" s="592"/>
      <c r="C87" s="593"/>
      <c r="D87" s="594"/>
      <c r="E87" s="272"/>
      <c r="F87" s="273" t="e">
        <f>MEDIAN(E89:E91)</f>
        <v>#NUM!</v>
      </c>
      <c r="G87" s="266"/>
    </row>
    <row r="88" spans="1:7" s="278" customFormat="1" x14ac:dyDescent="0.3">
      <c r="A88" s="270" t="s">
        <v>133</v>
      </c>
      <c r="B88" s="274" t="s">
        <v>134</v>
      </c>
      <c r="C88" s="275"/>
      <c r="D88" s="276"/>
      <c r="E88" s="270" t="s">
        <v>135</v>
      </c>
      <c r="F88" s="270" t="s">
        <v>136</v>
      </c>
      <c r="G88" s="277"/>
    </row>
    <row r="89" spans="1:7" x14ac:dyDescent="0.3">
      <c r="A89" s="279" t="s">
        <v>184</v>
      </c>
      <c r="B89" s="595">
        <f>IF(A89&lt;&gt;"",VLOOKUP(A89,$A$13:$D$34,3,FALSE),"")</f>
        <v>0</v>
      </c>
      <c r="C89" s="596"/>
      <c r="D89" s="597"/>
      <c r="E89" s="280"/>
      <c r="F89" s="281"/>
      <c r="G89" s="266"/>
    </row>
    <row r="90" spans="1:7" x14ac:dyDescent="0.3">
      <c r="A90" s="279" t="s">
        <v>175</v>
      </c>
      <c r="B90" s="595">
        <f t="shared" ref="B90:B91" si="7">IF(A90&lt;&gt;"",VLOOKUP(A90,$A$13:$D$34,3,FALSE),"")</f>
        <v>0</v>
      </c>
      <c r="C90" s="596"/>
      <c r="D90" s="597"/>
      <c r="E90" s="280"/>
      <c r="F90" s="281"/>
      <c r="G90" s="266"/>
    </row>
    <row r="91" spans="1:7" ht="12.6" thickBot="1" x14ac:dyDescent="0.35">
      <c r="A91" s="282" t="s">
        <v>172</v>
      </c>
      <c r="B91" s="586">
        <f t="shared" si="7"/>
        <v>0</v>
      </c>
      <c r="C91" s="587"/>
      <c r="D91" s="588"/>
      <c r="E91" s="283"/>
      <c r="F91" s="284"/>
      <c r="G91" s="266"/>
    </row>
    <row r="92" spans="1:7" x14ac:dyDescent="0.3">
      <c r="A92" s="285"/>
      <c r="B92" s="285"/>
      <c r="E92" s="285"/>
      <c r="F92" s="285"/>
      <c r="G92" s="266"/>
    </row>
    <row r="93" spans="1:7" x14ac:dyDescent="0.3">
      <c r="A93" s="270" t="s">
        <v>123</v>
      </c>
      <c r="B93" s="589" t="s">
        <v>121</v>
      </c>
      <c r="C93" s="590"/>
      <c r="D93" s="591"/>
      <c r="E93" s="270" t="s">
        <v>120</v>
      </c>
      <c r="F93" s="270" t="s">
        <v>132</v>
      </c>
      <c r="G93" s="266"/>
    </row>
    <row r="94" spans="1:7" ht="24.6" customHeight="1" x14ac:dyDescent="0.3">
      <c r="A94" s="271" t="s">
        <v>202</v>
      </c>
      <c r="B94" s="592"/>
      <c r="C94" s="593"/>
      <c r="D94" s="594"/>
      <c r="E94" s="272"/>
      <c r="F94" s="273" t="e">
        <f>MEDIAN(E96:E98)</f>
        <v>#NUM!</v>
      </c>
      <c r="G94" s="266"/>
    </row>
    <row r="95" spans="1:7" s="278" customFormat="1" x14ac:dyDescent="0.3">
      <c r="A95" s="270" t="s">
        <v>133</v>
      </c>
      <c r="B95" s="274" t="s">
        <v>134</v>
      </c>
      <c r="C95" s="275"/>
      <c r="D95" s="276"/>
      <c r="E95" s="270" t="s">
        <v>135</v>
      </c>
      <c r="F95" s="270" t="s">
        <v>136</v>
      </c>
      <c r="G95" s="277"/>
    </row>
    <row r="96" spans="1:7" x14ac:dyDescent="0.3">
      <c r="A96" s="279" t="s">
        <v>183</v>
      </c>
      <c r="B96" s="595">
        <f>IF(A96&lt;&gt;"",VLOOKUP(A96,$A$13:$D$34,3,FALSE),"")</f>
        <v>0</v>
      </c>
      <c r="C96" s="596"/>
      <c r="D96" s="597"/>
      <c r="E96" s="280"/>
      <c r="F96" s="281"/>
      <c r="G96" s="266"/>
    </row>
    <row r="97" spans="1:7" x14ac:dyDescent="0.3">
      <c r="A97" s="279" t="s">
        <v>175</v>
      </c>
      <c r="B97" s="595">
        <f t="shared" ref="B97:B98" si="8">IF(A97&lt;&gt;"",VLOOKUP(A97,$A$13:$D$34,3,FALSE),"")</f>
        <v>0</v>
      </c>
      <c r="C97" s="596"/>
      <c r="D97" s="597"/>
      <c r="E97" s="280"/>
      <c r="F97" s="281"/>
      <c r="G97" s="266"/>
    </row>
    <row r="98" spans="1:7" ht="12.6" thickBot="1" x14ac:dyDescent="0.35">
      <c r="A98" s="282" t="s">
        <v>172</v>
      </c>
      <c r="B98" s="586">
        <f t="shared" si="8"/>
        <v>0</v>
      </c>
      <c r="C98" s="587"/>
      <c r="D98" s="588"/>
      <c r="E98" s="283"/>
      <c r="F98" s="284"/>
      <c r="G98" s="266"/>
    </row>
    <row r="99" spans="1:7" x14ac:dyDescent="0.3">
      <c r="A99" s="285"/>
      <c r="B99" s="285"/>
      <c r="E99" s="285"/>
      <c r="F99" s="285"/>
      <c r="G99" s="266"/>
    </row>
    <row r="100" spans="1:7" x14ac:dyDescent="0.3">
      <c r="A100" s="270" t="s">
        <v>123</v>
      </c>
      <c r="B100" s="589" t="s">
        <v>121</v>
      </c>
      <c r="C100" s="590"/>
      <c r="D100" s="591"/>
      <c r="E100" s="270" t="s">
        <v>120</v>
      </c>
      <c r="F100" s="270" t="s">
        <v>132</v>
      </c>
      <c r="G100" s="266"/>
    </row>
    <row r="101" spans="1:7" ht="24.6" customHeight="1" x14ac:dyDescent="0.3">
      <c r="A101" s="271" t="s">
        <v>203</v>
      </c>
      <c r="B101" s="592"/>
      <c r="C101" s="593"/>
      <c r="D101" s="594"/>
      <c r="E101" s="272"/>
      <c r="F101" s="273" t="e">
        <f>MEDIAN(E103:E105)</f>
        <v>#NUM!</v>
      </c>
      <c r="G101" s="266"/>
    </row>
    <row r="102" spans="1:7" s="278" customFormat="1" x14ac:dyDescent="0.3">
      <c r="A102" s="270" t="s">
        <v>133</v>
      </c>
      <c r="B102" s="274" t="s">
        <v>134</v>
      </c>
      <c r="C102" s="275"/>
      <c r="D102" s="276"/>
      <c r="E102" s="270" t="s">
        <v>135</v>
      </c>
      <c r="F102" s="270" t="s">
        <v>136</v>
      </c>
      <c r="G102" s="277"/>
    </row>
    <row r="103" spans="1:7" x14ac:dyDescent="0.3">
      <c r="A103" s="279" t="s">
        <v>172</v>
      </c>
      <c r="B103" s="595">
        <f>IF(A103&lt;&gt;"",VLOOKUP(A103,$A$13:$D$34,3,FALSE),"")</f>
        <v>0</v>
      </c>
      <c r="C103" s="596"/>
      <c r="D103" s="597"/>
      <c r="E103" s="280"/>
      <c r="F103" s="281"/>
      <c r="G103" s="266"/>
    </row>
    <row r="104" spans="1:7" x14ac:dyDescent="0.3">
      <c r="A104" s="279" t="s">
        <v>184</v>
      </c>
      <c r="B104" s="595">
        <f t="shared" ref="B104:B105" si="9">IF(A104&lt;&gt;"",VLOOKUP(A104,$A$13:$D$34,3,FALSE),"")</f>
        <v>0</v>
      </c>
      <c r="C104" s="596"/>
      <c r="D104" s="597"/>
      <c r="E104" s="280"/>
      <c r="F104" s="281"/>
      <c r="G104" s="266"/>
    </row>
    <row r="105" spans="1:7" ht="12.6" thickBot="1" x14ac:dyDescent="0.35">
      <c r="A105" s="282" t="s">
        <v>183</v>
      </c>
      <c r="B105" s="586">
        <f t="shared" si="9"/>
        <v>0</v>
      </c>
      <c r="C105" s="587"/>
      <c r="D105" s="588"/>
      <c r="E105" s="283"/>
      <c r="F105" s="284"/>
      <c r="G105" s="266"/>
    </row>
    <row r="106" spans="1:7" x14ac:dyDescent="0.3">
      <c r="A106" s="286"/>
      <c r="B106" s="285"/>
      <c r="C106" s="285"/>
      <c r="D106" s="285"/>
      <c r="E106" s="285"/>
    </row>
    <row r="107" spans="1:7" x14ac:dyDescent="0.3">
      <c r="A107" s="270" t="s">
        <v>123</v>
      </c>
      <c r="B107" s="589" t="s">
        <v>121</v>
      </c>
      <c r="C107" s="590"/>
      <c r="D107" s="591"/>
      <c r="E107" s="270" t="s">
        <v>120</v>
      </c>
      <c r="F107" s="270" t="s">
        <v>132</v>
      </c>
      <c r="G107" s="266"/>
    </row>
    <row r="108" spans="1:7" ht="24.6" customHeight="1" x14ac:dyDescent="0.3">
      <c r="A108" s="271" t="s">
        <v>203</v>
      </c>
      <c r="B108" s="592"/>
      <c r="C108" s="593"/>
      <c r="D108" s="594"/>
      <c r="E108" s="272"/>
      <c r="F108" s="273" t="e">
        <f>MEDIAN(E110:E112)</f>
        <v>#NUM!</v>
      </c>
      <c r="G108" s="266"/>
    </row>
    <row r="109" spans="1:7" s="278" customFormat="1" x14ac:dyDescent="0.3">
      <c r="A109" s="270" t="s">
        <v>133</v>
      </c>
      <c r="B109" s="274" t="s">
        <v>134</v>
      </c>
      <c r="C109" s="275"/>
      <c r="D109" s="276"/>
      <c r="E109" s="270" t="s">
        <v>135</v>
      </c>
      <c r="F109" s="270" t="s">
        <v>136</v>
      </c>
      <c r="G109" s="277"/>
    </row>
    <row r="110" spans="1:7" x14ac:dyDescent="0.3">
      <c r="A110" s="279" t="s">
        <v>172</v>
      </c>
      <c r="B110" s="595">
        <f>IF(A110&lt;&gt;"",VLOOKUP(A110,$A$13:$D$34,3,FALSE),"")</f>
        <v>0</v>
      </c>
      <c r="C110" s="596"/>
      <c r="D110" s="597"/>
      <c r="E110" s="280"/>
      <c r="F110" s="281"/>
      <c r="G110" s="266"/>
    </row>
    <row r="111" spans="1:7" x14ac:dyDescent="0.3">
      <c r="A111" s="279" t="s">
        <v>184</v>
      </c>
      <c r="B111" s="595">
        <f t="shared" ref="B111:B112" si="10">IF(A111&lt;&gt;"",VLOOKUP(A111,$A$13:$D$34,3,FALSE),"")</f>
        <v>0</v>
      </c>
      <c r="C111" s="596"/>
      <c r="D111" s="597"/>
      <c r="E111" s="280"/>
      <c r="F111" s="281"/>
      <c r="G111" s="266"/>
    </row>
    <row r="112" spans="1:7" ht="12.6" thickBot="1" x14ac:dyDescent="0.35">
      <c r="A112" s="282" t="s">
        <v>187</v>
      </c>
      <c r="B112" s="586">
        <f t="shared" si="10"/>
        <v>0</v>
      </c>
      <c r="C112" s="587"/>
      <c r="D112" s="588"/>
      <c r="E112" s="283"/>
      <c r="F112" s="284"/>
      <c r="G112" s="266"/>
    </row>
    <row r="113" spans="1:7" x14ac:dyDescent="0.3">
      <c r="A113" s="286"/>
      <c r="B113" s="285"/>
      <c r="C113" s="285"/>
      <c r="D113" s="285"/>
      <c r="E113" s="285"/>
    </row>
    <row r="114" spans="1:7" x14ac:dyDescent="0.3">
      <c r="A114" s="270" t="s">
        <v>123</v>
      </c>
      <c r="B114" s="589" t="s">
        <v>121</v>
      </c>
      <c r="C114" s="590"/>
      <c r="D114" s="591"/>
      <c r="E114" s="270" t="s">
        <v>120</v>
      </c>
      <c r="F114" s="270" t="s">
        <v>132</v>
      </c>
      <c r="G114" s="266"/>
    </row>
    <row r="115" spans="1:7" ht="24.6" customHeight="1" x14ac:dyDescent="0.3">
      <c r="A115" s="271" t="s">
        <v>203</v>
      </c>
      <c r="B115" s="592"/>
      <c r="C115" s="593"/>
      <c r="D115" s="594"/>
      <c r="E115" s="272"/>
      <c r="F115" s="273" t="e">
        <f>MEDIAN(E117:E119)</f>
        <v>#NUM!</v>
      </c>
      <c r="G115" s="266"/>
    </row>
    <row r="116" spans="1:7" s="278" customFormat="1" x14ac:dyDescent="0.3">
      <c r="A116" s="270" t="s">
        <v>133</v>
      </c>
      <c r="B116" s="274" t="s">
        <v>134</v>
      </c>
      <c r="C116" s="275"/>
      <c r="D116" s="276"/>
      <c r="E116" s="270" t="s">
        <v>135</v>
      </c>
      <c r="F116" s="270" t="s">
        <v>136</v>
      </c>
      <c r="G116" s="277"/>
    </row>
    <row r="117" spans="1:7" x14ac:dyDescent="0.3">
      <c r="A117" s="279" t="s">
        <v>172</v>
      </c>
      <c r="B117" s="595">
        <f>IF(A117&lt;&gt;"",VLOOKUP(A117,$A$13:$D$34,3,FALSE),"")</f>
        <v>0</v>
      </c>
      <c r="C117" s="596"/>
      <c r="D117" s="597"/>
      <c r="E117" s="280"/>
      <c r="F117" s="281"/>
      <c r="G117" s="266"/>
    </row>
    <row r="118" spans="1:7" x14ac:dyDescent="0.3">
      <c r="A118" s="279" t="s">
        <v>184</v>
      </c>
      <c r="B118" s="595">
        <f t="shared" ref="B118:B119" si="11">IF(A118&lt;&gt;"",VLOOKUP(A118,$A$13:$D$34,3,FALSE),"")</f>
        <v>0</v>
      </c>
      <c r="C118" s="596"/>
      <c r="D118" s="597"/>
      <c r="E118" s="280"/>
      <c r="F118" s="281"/>
      <c r="G118" s="266"/>
    </row>
    <row r="119" spans="1:7" ht="12.6" thickBot="1" x14ac:dyDescent="0.35">
      <c r="A119" s="282" t="s">
        <v>188</v>
      </c>
      <c r="B119" s="586">
        <f t="shared" si="11"/>
        <v>0</v>
      </c>
      <c r="C119" s="587"/>
      <c r="D119" s="588"/>
      <c r="E119" s="283"/>
      <c r="F119" s="284"/>
      <c r="G119" s="266"/>
    </row>
    <row r="120" spans="1:7" x14ac:dyDescent="0.3">
      <c r="A120" s="287"/>
      <c r="B120" s="288"/>
      <c r="C120" s="288"/>
      <c r="D120" s="288"/>
      <c r="E120" s="289"/>
      <c r="F120" s="290"/>
      <c r="G120" s="266"/>
    </row>
    <row r="121" spans="1:7" x14ac:dyDescent="0.3">
      <c r="A121" s="287"/>
      <c r="B121" s="288"/>
      <c r="C121" s="288"/>
      <c r="D121" s="288"/>
      <c r="E121" s="289"/>
      <c r="F121" s="290"/>
      <c r="G121" s="266"/>
    </row>
    <row r="122" spans="1:7" x14ac:dyDescent="0.3">
      <c r="A122" s="287"/>
      <c r="B122" s="288"/>
      <c r="C122" s="288"/>
      <c r="D122" s="288"/>
      <c r="E122" s="289"/>
      <c r="F122" s="290"/>
      <c r="G122" s="266"/>
    </row>
    <row r="123" spans="1:7" x14ac:dyDescent="0.3">
      <c r="A123" s="287"/>
      <c r="B123" s="288"/>
      <c r="C123" s="288"/>
      <c r="D123" s="288"/>
      <c r="E123" s="289"/>
      <c r="F123" s="290"/>
      <c r="G123" s="266"/>
    </row>
    <row r="124" spans="1:7" x14ac:dyDescent="0.3">
      <c r="A124" s="287"/>
      <c r="B124" s="288"/>
      <c r="C124" s="288"/>
      <c r="D124" s="288"/>
      <c r="E124" s="289"/>
      <c r="F124" s="290"/>
      <c r="G124" s="266"/>
    </row>
    <row r="125" spans="1:7" x14ac:dyDescent="0.3">
      <c r="A125" s="287"/>
      <c r="B125" s="288"/>
      <c r="C125" s="288"/>
      <c r="D125" s="288"/>
      <c r="E125" s="289"/>
      <c r="F125" s="290"/>
      <c r="G125" s="266"/>
    </row>
    <row r="126" spans="1:7" x14ac:dyDescent="0.3">
      <c r="A126" s="287"/>
      <c r="B126" s="288"/>
      <c r="C126" s="288"/>
      <c r="D126" s="288"/>
      <c r="E126" s="289"/>
      <c r="F126" s="290"/>
      <c r="G126" s="266"/>
    </row>
    <row r="127" spans="1:7" x14ac:dyDescent="0.3">
      <c r="A127" s="287"/>
      <c r="B127" s="288"/>
      <c r="C127" s="288"/>
      <c r="D127" s="288"/>
      <c r="E127" s="289"/>
      <c r="F127" s="290"/>
      <c r="G127" s="266"/>
    </row>
    <row r="128" spans="1:7" s="245" customFormat="1" ht="14.4" x14ac:dyDescent="0.3">
      <c r="A128" s="582" t="s">
        <v>275</v>
      </c>
      <c r="B128" s="582"/>
      <c r="C128" s="291"/>
      <c r="D128" s="258"/>
      <c r="F128" s="292">
        <v>44314</v>
      </c>
    </row>
    <row r="129" spans="1:9" s="245" customFormat="1" ht="14.4" x14ac:dyDescent="0.3">
      <c r="A129" s="583" t="s">
        <v>20</v>
      </c>
      <c r="B129" s="583"/>
      <c r="C129" s="291"/>
      <c r="D129" s="258"/>
      <c r="F129" s="293" t="s">
        <v>21</v>
      </c>
    </row>
    <row r="130" spans="1:9" s="245" customFormat="1" ht="14.4" x14ac:dyDescent="0.3">
      <c r="A130" s="294"/>
      <c r="B130" s="295"/>
      <c r="C130" s="291"/>
      <c r="D130" s="291"/>
    </row>
    <row r="131" spans="1:9" s="245" customFormat="1" ht="14.4" x14ac:dyDescent="0.3">
      <c r="A131" s="294"/>
      <c r="B131" s="295"/>
      <c r="C131" s="291"/>
      <c r="D131" s="291"/>
      <c r="E131" s="296"/>
      <c r="F131" s="296"/>
      <c r="G131" s="296"/>
      <c r="H131" s="296"/>
      <c r="I131" s="296"/>
    </row>
    <row r="132" spans="1:9" s="245" customFormat="1" ht="14.4" x14ac:dyDescent="0.3">
      <c r="A132" s="294"/>
      <c r="B132" s="295"/>
      <c r="C132" s="291"/>
      <c r="D132" s="291"/>
      <c r="E132" s="296"/>
      <c r="F132" s="296"/>
      <c r="G132" s="296"/>
      <c r="H132" s="296"/>
      <c r="I132" s="296"/>
    </row>
    <row r="133" spans="1:9" s="245" customFormat="1" ht="14.4" x14ac:dyDescent="0.3">
      <c r="A133" s="294"/>
      <c r="B133" s="295"/>
      <c r="C133" s="291"/>
      <c r="D133" s="291"/>
      <c r="E133" s="296"/>
      <c r="F133" s="296"/>
      <c r="G133" s="296"/>
      <c r="H133" s="296"/>
      <c r="I133" s="296"/>
    </row>
    <row r="134" spans="1:9" s="245" customFormat="1" ht="14.4" x14ac:dyDescent="0.3">
      <c r="A134" s="294"/>
      <c r="B134" s="295"/>
      <c r="C134" s="291"/>
      <c r="D134" s="291"/>
      <c r="E134" s="296"/>
      <c r="F134" s="296"/>
      <c r="G134" s="296"/>
      <c r="H134" s="296"/>
      <c r="I134" s="296"/>
    </row>
    <row r="135" spans="1:9" s="245" customFormat="1" ht="14.4" x14ac:dyDescent="0.3">
      <c r="A135" s="294"/>
      <c r="B135" s="295"/>
      <c r="C135" s="291"/>
      <c r="D135" s="291"/>
      <c r="E135" s="296"/>
      <c r="F135" s="296"/>
      <c r="G135" s="296"/>
      <c r="H135" s="296"/>
      <c r="I135" s="296"/>
    </row>
    <row r="136" spans="1:9" s="245" customFormat="1" ht="14.4" x14ac:dyDescent="0.3">
      <c r="A136" s="584"/>
      <c r="B136" s="584"/>
      <c r="C136" s="584"/>
      <c r="D136" s="291"/>
      <c r="E136" s="296"/>
      <c r="F136" s="296"/>
      <c r="G136" s="296"/>
      <c r="H136" s="296"/>
      <c r="I136" s="296"/>
    </row>
    <row r="137" spans="1:9" s="245" customFormat="1" ht="14.4" x14ac:dyDescent="0.3">
      <c r="A137" s="585" t="s">
        <v>23</v>
      </c>
      <c r="B137" s="585"/>
      <c r="C137" s="585"/>
      <c r="D137" s="291"/>
      <c r="E137" s="296"/>
      <c r="F137" s="296"/>
      <c r="G137" s="296"/>
      <c r="H137" s="296"/>
      <c r="I137" s="296"/>
    </row>
    <row r="138" spans="1:9" s="245" customFormat="1" ht="14.4" x14ac:dyDescent="0.3">
      <c r="A138" s="297" t="s">
        <v>22</v>
      </c>
      <c r="B138" s="294" t="s">
        <v>276</v>
      </c>
      <c r="C138" s="291"/>
      <c r="D138" s="291"/>
      <c r="E138" s="296"/>
      <c r="F138" s="296"/>
      <c r="G138" s="296"/>
      <c r="H138" s="296"/>
      <c r="I138" s="296"/>
    </row>
    <row r="139" spans="1:9" s="245" customFormat="1" ht="14.4" x14ac:dyDescent="0.3">
      <c r="A139" s="297" t="s">
        <v>24</v>
      </c>
      <c r="B139" s="294" t="s">
        <v>106</v>
      </c>
      <c r="C139" s="291"/>
      <c r="D139" s="291"/>
      <c r="E139" s="296"/>
      <c r="F139" s="296"/>
      <c r="G139" s="296"/>
      <c r="H139" s="296"/>
      <c r="I139" s="296"/>
    </row>
    <row r="140" spans="1:9" s="245" customFormat="1" ht="14.4" x14ac:dyDescent="0.3">
      <c r="A140" s="297" t="s">
        <v>25</v>
      </c>
      <c r="B140" s="294" t="s">
        <v>277</v>
      </c>
      <c r="C140" s="291"/>
      <c r="D140" s="291"/>
      <c r="E140" s="296"/>
      <c r="F140" s="296"/>
      <c r="G140" s="296"/>
      <c r="H140" s="296"/>
      <c r="I140" s="296"/>
    </row>
  </sheetData>
  <mergeCells count="101">
    <mergeCell ref="A1:F1"/>
    <mergeCell ref="A2:F2"/>
    <mergeCell ref="A3:F3"/>
    <mergeCell ref="A5:B5"/>
    <mergeCell ref="C5:F5"/>
    <mergeCell ref="A6:B6"/>
    <mergeCell ref="C6:F6"/>
    <mergeCell ref="C12:D12"/>
    <mergeCell ref="C13:D13"/>
    <mergeCell ref="C14:D14"/>
    <mergeCell ref="C15:D15"/>
    <mergeCell ref="C16:D16"/>
    <mergeCell ref="C17:D17"/>
    <mergeCell ref="A7:B7"/>
    <mergeCell ref="C7:F7"/>
    <mergeCell ref="A8:B8"/>
    <mergeCell ref="C8:F8"/>
    <mergeCell ref="A9:F9"/>
    <mergeCell ref="A11:F11"/>
    <mergeCell ref="C24:D24"/>
    <mergeCell ref="C25:D25"/>
    <mergeCell ref="C26:D26"/>
    <mergeCell ref="C27:D27"/>
    <mergeCell ref="C28:D28"/>
    <mergeCell ref="C29:D29"/>
    <mergeCell ref="C18:D18"/>
    <mergeCell ref="C19:D19"/>
    <mergeCell ref="C20:D20"/>
    <mergeCell ref="C21:D21"/>
    <mergeCell ref="C22:D22"/>
    <mergeCell ref="C23:D23"/>
    <mergeCell ref="B37:D37"/>
    <mergeCell ref="B38:D38"/>
    <mergeCell ref="B40:D40"/>
    <mergeCell ref="B41:D41"/>
    <mergeCell ref="B42:D42"/>
    <mergeCell ref="B44:D44"/>
    <mergeCell ref="C30:D30"/>
    <mergeCell ref="C31:D31"/>
    <mergeCell ref="C32:D32"/>
    <mergeCell ref="C33:D33"/>
    <mergeCell ref="C34:D34"/>
    <mergeCell ref="A36:F36"/>
    <mergeCell ref="B54:D54"/>
    <mergeCell ref="B55:D55"/>
    <mergeCell ref="B56:D56"/>
    <mergeCell ref="B58:D58"/>
    <mergeCell ref="B59:D59"/>
    <mergeCell ref="B61:D61"/>
    <mergeCell ref="B45:D45"/>
    <mergeCell ref="B47:D47"/>
    <mergeCell ref="B48:D48"/>
    <mergeCell ref="B49:D49"/>
    <mergeCell ref="B51:D51"/>
    <mergeCell ref="B52:D52"/>
    <mergeCell ref="B70:D70"/>
    <mergeCell ref="B72:D72"/>
    <mergeCell ref="B73:D73"/>
    <mergeCell ref="B75:D75"/>
    <mergeCell ref="B76:D76"/>
    <mergeCell ref="B77:D77"/>
    <mergeCell ref="B62:D62"/>
    <mergeCell ref="B63:D63"/>
    <mergeCell ref="B65:D65"/>
    <mergeCell ref="B66:D66"/>
    <mergeCell ref="B68:D68"/>
    <mergeCell ref="B69:D69"/>
    <mergeCell ref="B87:D87"/>
    <mergeCell ref="B89:D89"/>
    <mergeCell ref="B90:D90"/>
    <mergeCell ref="B91:D91"/>
    <mergeCell ref="B93:D93"/>
    <mergeCell ref="B94:D94"/>
    <mergeCell ref="B79:D79"/>
    <mergeCell ref="B80:D80"/>
    <mergeCell ref="B82:D82"/>
    <mergeCell ref="B83:D83"/>
    <mergeCell ref="B84:D84"/>
    <mergeCell ref="B86:D86"/>
    <mergeCell ref="B104:D104"/>
    <mergeCell ref="B105:D105"/>
    <mergeCell ref="B107:D107"/>
    <mergeCell ref="B108:D108"/>
    <mergeCell ref="B110:D110"/>
    <mergeCell ref="B111:D111"/>
    <mergeCell ref="B96:D96"/>
    <mergeCell ref="B97:D97"/>
    <mergeCell ref="B98:D98"/>
    <mergeCell ref="B100:D100"/>
    <mergeCell ref="B101:D101"/>
    <mergeCell ref="B103:D103"/>
    <mergeCell ref="A128:B128"/>
    <mergeCell ref="A129:B129"/>
    <mergeCell ref="A136:C136"/>
    <mergeCell ref="A137:C137"/>
    <mergeCell ref="B112:D112"/>
    <mergeCell ref="B114:D114"/>
    <mergeCell ref="B115:D115"/>
    <mergeCell ref="B117:D117"/>
    <mergeCell ref="B118:D118"/>
    <mergeCell ref="B119:D119"/>
  </mergeCells>
  <dataValidations count="2">
    <dataValidation type="list" allowBlank="1" showInputMessage="1" showErrorMessage="1" sqref="A40:A42 A47:A49 A54:A56 A61:A63 A68:A70 A75:A77 A82:A84 A89:A91 A103:A105 A96:A98 A110:A112 A117:A127" xr:uid="{00000000-0002-0000-0C00-000000000000}">
      <formula1>$A$13:$A$34</formula1>
    </dataValidation>
    <dataValidation type="list" allowBlank="1" showInputMessage="1" showErrorMessage="1" sqref="A43 A50 A57 A64 A71 A78" xr:uid="{00000000-0002-0000-0C00-000001000000}">
      <formula1>OFFSET(EMPRESAS,0,0,,1)</formula1>
    </dataValidation>
  </dataValidations>
  <pageMargins left="0.51181102362204722" right="0.51181102362204722" top="0.68" bottom="0.63" header="0.31496062992125984" footer="0.43"/>
  <pageSetup paperSize="9" scale="64" fitToHeight="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Planilha13">
    <pageSetUpPr fitToPage="1"/>
  </sheetPr>
  <dimension ref="A1:N85"/>
  <sheetViews>
    <sheetView showGridLines="0" zoomScale="85" zoomScaleNormal="85" workbookViewId="0">
      <selection activeCell="H16" sqref="H16"/>
    </sheetView>
  </sheetViews>
  <sheetFormatPr defaultRowHeight="14.4" x14ac:dyDescent="0.3"/>
  <cols>
    <col min="1" max="1" width="7.6640625" customWidth="1"/>
    <col min="2" max="2" width="10.6640625" customWidth="1"/>
    <col min="3" max="3" width="8.6640625" customWidth="1"/>
    <col min="4" max="4" width="60.6640625" customWidth="1"/>
    <col min="5" max="5" width="5.6640625" customWidth="1"/>
    <col min="6" max="6" width="10.6640625" customWidth="1"/>
    <col min="7" max="13" width="14.6640625" customWidth="1"/>
    <col min="14" max="14" width="15.88671875" customWidth="1"/>
  </cols>
  <sheetData>
    <row r="1" spans="1:14" ht="30" customHeight="1" x14ac:dyDescent="0.3">
      <c r="A1" s="507" t="s">
        <v>167</v>
      </c>
      <c r="B1" s="507"/>
      <c r="C1" s="507"/>
      <c r="D1" s="507"/>
      <c r="E1" s="507"/>
      <c r="F1" s="507"/>
      <c r="G1" s="191"/>
    </row>
    <row r="2" spans="1:14" ht="13.5" customHeight="1" x14ac:dyDescent="0.3">
      <c r="A2" s="497" t="s">
        <v>168</v>
      </c>
      <c r="B2" s="497"/>
      <c r="C2" s="497"/>
      <c r="D2" s="497"/>
      <c r="E2" s="497"/>
      <c r="F2" s="497"/>
      <c r="G2" s="191"/>
    </row>
    <row r="3" spans="1:14" ht="27.75" customHeight="1" x14ac:dyDescent="0.3">
      <c r="A3" s="496" t="s">
        <v>170</v>
      </c>
      <c r="B3" s="496"/>
      <c r="C3" s="496"/>
      <c r="D3" s="496"/>
      <c r="E3" s="496"/>
      <c r="F3" s="496"/>
      <c r="G3" s="192"/>
    </row>
    <row r="4" spans="1:14" ht="14.25" customHeight="1" x14ac:dyDescent="0.3">
      <c r="A4" s="1"/>
      <c r="B4" s="1"/>
      <c r="C4" s="1"/>
      <c r="D4" s="2"/>
      <c r="E4" s="1"/>
      <c r="F4" s="1"/>
      <c r="G4" s="1"/>
      <c r="H4" s="1"/>
      <c r="I4" s="1"/>
    </row>
    <row r="5" spans="1:14" s="36" customFormat="1" ht="12" x14ac:dyDescent="0.25">
      <c r="A5" s="521" t="s">
        <v>0</v>
      </c>
      <c r="B5" s="521"/>
      <c r="C5" s="521"/>
      <c r="D5" s="521"/>
      <c r="E5" s="521" t="s">
        <v>1</v>
      </c>
      <c r="F5" s="521"/>
      <c r="G5" s="521"/>
      <c r="H5" s="521"/>
      <c r="I5" s="521"/>
    </row>
    <row r="6" spans="1:14" ht="30" customHeight="1" x14ac:dyDescent="0.3">
      <c r="A6" s="522" t="str">
        <f>DADOS!B4</f>
        <v>PREFEITURA MUNICIPAL DE SÃO FELIPE/BA</v>
      </c>
      <c r="B6" s="522"/>
      <c r="C6" s="522"/>
      <c r="D6" s="522"/>
      <c r="E6" s="524" t="str">
        <f>DADOS!B8</f>
        <v>PAVIMENTAÇÃO ASFÁLTICA DIVERSAS RUAS, NO MUNICÍPIO DE SÃO FELIPE/BA</v>
      </c>
      <c r="F6" s="524"/>
      <c r="G6" s="524"/>
      <c r="H6" s="524"/>
      <c r="I6" s="524"/>
    </row>
    <row r="7" spans="1:14" s="36" customFormat="1" ht="12" x14ac:dyDescent="0.25">
      <c r="A7" s="521" t="s">
        <v>15</v>
      </c>
      <c r="B7" s="521"/>
      <c r="C7" s="521"/>
      <c r="D7" s="521"/>
      <c r="E7" s="521" t="s">
        <v>16</v>
      </c>
      <c r="F7" s="521"/>
      <c r="G7" s="521" t="s">
        <v>169</v>
      </c>
      <c r="H7" s="521"/>
      <c r="I7" s="193" t="s">
        <v>18</v>
      </c>
    </row>
    <row r="8" spans="1:14" ht="30" customHeight="1" x14ac:dyDescent="0.3">
      <c r="A8" s="522" t="str">
        <f>DADOS!B5</f>
        <v>SÃO FELIPE/BA</v>
      </c>
      <c r="B8" s="522"/>
      <c r="C8" s="522"/>
      <c r="D8" s="522"/>
      <c r="E8" s="523">
        <f ca="1">DADOS!B18</f>
        <v>45812</v>
      </c>
      <c r="F8" s="523"/>
      <c r="G8" s="524" t="str">
        <f>DADOS!B10</f>
        <v>SINAPI - 01/2025 - Bahia
SICRO3 - 10/2024 - Bahia
ORSE - 12/2024 - Sergipe</v>
      </c>
      <c r="H8" s="524"/>
      <c r="I8" s="194">
        <f>DADOS!B11</f>
        <v>0.2009</v>
      </c>
    </row>
    <row r="9" spans="1:14" ht="15" customHeight="1" x14ac:dyDescent="0.3">
      <c r="A9" s="1"/>
      <c r="B9" s="1"/>
      <c r="C9" s="1"/>
      <c r="D9" s="2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ht="28.95" customHeight="1" x14ac:dyDescent="0.3">
      <c r="A10" s="497" t="s">
        <v>26</v>
      </c>
      <c r="B10" s="497"/>
      <c r="C10" s="497"/>
      <c r="D10" s="497"/>
      <c r="E10" s="497"/>
      <c r="F10" s="497"/>
      <c r="G10" s="497"/>
      <c r="H10" s="497"/>
      <c r="I10" s="497"/>
      <c r="J10" s="497"/>
      <c r="K10" s="497"/>
      <c r="L10" s="497"/>
      <c r="M10" s="497"/>
      <c r="N10" s="497"/>
    </row>
    <row r="11" spans="1:14" ht="6" customHeight="1" thickBot="1" x14ac:dyDescent="0.35">
      <c r="A11" s="1"/>
      <c r="B11" s="1"/>
      <c r="C11" s="1"/>
      <c r="D11" s="2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ht="30" customHeight="1" thickBot="1" x14ac:dyDescent="0.35">
      <c r="A12" s="33" t="s">
        <v>2</v>
      </c>
      <c r="B12" s="34" t="s">
        <v>3</v>
      </c>
      <c r="C12" s="34" t="s">
        <v>4</v>
      </c>
      <c r="D12" s="34" t="s">
        <v>5</v>
      </c>
      <c r="E12" s="34" t="s">
        <v>6</v>
      </c>
      <c r="F12" s="34" t="s">
        <v>27</v>
      </c>
      <c r="G12" s="34" t="s">
        <v>9</v>
      </c>
      <c r="H12" s="40" t="s">
        <v>34</v>
      </c>
      <c r="I12" s="33" t="s">
        <v>28</v>
      </c>
      <c r="J12" s="35" t="s">
        <v>29</v>
      </c>
      <c r="K12" s="41" t="s">
        <v>30</v>
      </c>
      <c r="L12" s="69" t="s">
        <v>31</v>
      </c>
      <c r="M12" s="34" t="s">
        <v>32</v>
      </c>
      <c r="N12" s="35" t="s">
        <v>33</v>
      </c>
    </row>
    <row r="13" spans="1:14" ht="15" thickTop="1" x14ac:dyDescent="0.3">
      <c r="A13" s="6">
        <v>1</v>
      </c>
      <c r="B13" s="7"/>
      <c r="C13" s="7"/>
      <c r="D13" s="8" t="s">
        <v>11</v>
      </c>
      <c r="E13" s="9"/>
      <c r="F13" s="10"/>
      <c r="G13" s="10"/>
      <c r="H13" s="25"/>
      <c r="I13" s="28"/>
      <c r="J13" s="11"/>
      <c r="K13" s="30"/>
      <c r="L13" s="70"/>
      <c r="M13" s="10"/>
      <c r="N13" s="11"/>
    </row>
    <row r="14" spans="1:14" x14ac:dyDescent="0.3">
      <c r="A14" s="13"/>
      <c r="B14" s="14"/>
      <c r="C14" s="14"/>
      <c r="D14" s="15"/>
      <c r="E14" s="16"/>
      <c r="F14" s="17"/>
      <c r="G14" s="17"/>
      <c r="H14" s="26">
        <f>ROUND(G14*F14,2)</f>
        <v>0</v>
      </c>
      <c r="I14" s="44"/>
      <c r="J14" s="46"/>
      <c r="K14" s="31">
        <f>F14-I14+J14</f>
        <v>0</v>
      </c>
      <c r="L14" s="71">
        <f>ROUND(I14*G14,2)</f>
        <v>0</v>
      </c>
      <c r="M14" s="48">
        <f>ROUND(J14*G14,2)</f>
        <v>0</v>
      </c>
      <c r="N14" s="18">
        <f>ROUND(K14*G14,2)</f>
        <v>0</v>
      </c>
    </row>
    <row r="15" spans="1:14" x14ac:dyDescent="0.3">
      <c r="A15" s="13"/>
      <c r="B15" s="14"/>
      <c r="C15" s="14"/>
      <c r="D15" s="15"/>
      <c r="E15" s="16"/>
      <c r="F15" s="17"/>
      <c r="G15" s="17"/>
      <c r="H15" s="26">
        <f t="shared" ref="H15:H63" si="0">ROUND(G15*F15,2)</f>
        <v>0</v>
      </c>
      <c r="I15" s="44"/>
      <c r="J15" s="46"/>
      <c r="K15" s="31">
        <f t="shared" ref="K15:K63" si="1">F15-I15+J15</f>
        <v>0</v>
      </c>
      <c r="L15" s="71">
        <f t="shared" ref="L15:L63" si="2">ROUND(I15*G15,2)</f>
        <v>0</v>
      </c>
      <c r="M15" s="48">
        <f t="shared" ref="M15:M63" si="3">ROUND(J15*G15,2)</f>
        <v>0</v>
      </c>
      <c r="N15" s="18">
        <f t="shared" ref="N15:N63" si="4">ROUND(K15*G15,2)</f>
        <v>0</v>
      </c>
    </row>
    <row r="16" spans="1:14" x14ac:dyDescent="0.3">
      <c r="A16" s="13"/>
      <c r="B16" s="14"/>
      <c r="C16" s="14"/>
      <c r="D16" s="15"/>
      <c r="E16" s="16"/>
      <c r="F16" s="17"/>
      <c r="G16" s="17"/>
      <c r="H16" s="26">
        <f t="shared" si="0"/>
        <v>0</v>
      </c>
      <c r="I16" s="44"/>
      <c r="J16" s="46"/>
      <c r="K16" s="31">
        <f t="shared" si="1"/>
        <v>0</v>
      </c>
      <c r="L16" s="71">
        <f t="shared" si="2"/>
        <v>0</v>
      </c>
      <c r="M16" s="48">
        <f t="shared" si="3"/>
        <v>0</v>
      </c>
      <c r="N16" s="18">
        <f t="shared" si="4"/>
        <v>0</v>
      </c>
    </row>
    <row r="17" spans="1:14" x14ac:dyDescent="0.3">
      <c r="A17" s="13"/>
      <c r="B17" s="14"/>
      <c r="C17" s="14"/>
      <c r="D17" s="15"/>
      <c r="E17" s="16"/>
      <c r="F17" s="17"/>
      <c r="G17" s="17"/>
      <c r="H17" s="26">
        <f t="shared" si="0"/>
        <v>0</v>
      </c>
      <c r="I17" s="44"/>
      <c r="J17" s="46"/>
      <c r="K17" s="31">
        <f t="shared" si="1"/>
        <v>0</v>
      </c>
      <c r="L17" s="71">
        <f t="shared" si="2"/>
        <v>0</v>
      </c>
      <c r="M17" s="48">
        <f t="shared" si="3"/>
        <v>0</v>
      </c>
      <c r="N17" s="18">
        <f t="shared" si="4"/>
        <v>0</v>
      </c>
    </row>
    <row r="18" spans="1:14" x14ac:dyDescent="0.3">
      <c r="A18" s="13"/>
      <c r="B18" s="14"/>
      <c r="C18" s="14"/>
      <c r="D18" s="15"/>
      <c r="E18" s="16"/>
      <c r="F18" s="17"/>
      <c r="G18" s="17"/>
      <c r="H18" s="26">
        <f t="shared" si="0"/>
        <v>0</v>
      </c>
      <c r="I18" s="44"/>
      <c r="J18" s="46"/>
      <c r="K18" s="31">
        <f t="shared" si="1"/>
        <v>0</v>
      </c>
      <c r="L18" s="71">
        <f t="shared" ref="L18:L50" si="5">ROUND(I18*G18,2)</f>
        <v>0</v>
      </c>
      <c r="M18" s="48">
        <f t="shared" ref="M18:M50" si="6">ROUND(J18*G18,2)</f>
        <v>0</v>
      </c>
      <c r="N18" s="18">
        <f t="shared" ref="N18:N50" si="7">ROUND(K18*G18,2)</f>
        <v>0</v>
      </c>
    </row>
    <row r="19" spans="1:14" x14ac:dyDescent="0.3">
      <c r="A19" s="13"/>
      <c r="B19" s="14"/>
      <c r="C19" s="14"/>
      <c r="D19" s="15"/>
      <c r="E19" s="16"/>
      <c r="F19" s="17"/>
      <c r="G19" s="17"/>
      <c r="H19" s="26">
        <f t="shared" si="0"/>
        <v>0</v>
      </c>
      <c r="I19" s="44"/>
      <c r="J19" s="46"/>
      <c r="K19" s="31">
        <f t="shared" si="1"/>
        <v>0</v>
      </c>
      <c r="L19" s="71">
        <f t="shared" si="5"/>
        <v>0</v>
      </c>
      <c r="M19" s="48">
        <f t="shared" si="6"/>
        <v>0</v>
      </c>
      <c r="N19" s="18">
        <f t="shared" si="7"/>
        <v>0</v>
      </c>
    </row>
    <row r="20" spans="1:14" x14ac:dyDescent="0.3">
      <c r="A20" s="13"/>
      <c r="B20" s="14"/>
      <c r="C20" s="14"/>
      <c r="D20" s="15"/>
      <c r="E20" s="16"/>
      <c r="F20" s="17"/>
      <c r="G20" s="17"/>
      <c r="H20" s="26">
        <f t="shared" si="0"/>
        <v>0</v>
      </c>
      <c r="I20" s="44"/>
      <c r="J20" s="46"/>
      <c r="K20" s="31">
        <f t="shared" si="1"/>
        <v>0</v>
      </c>
      <c r="L20" s="71">
        <f t="shared" si="5"/>
        <v>0</v>
      </c>
      <c r="M20" s="48">
        <f t="shared" si="6"/>
        <v>0</v>
      </c>
      <c r="N20" s="18">
        <f t="shared" si="7"/>
        <v>0</v>
      </c>
    </row>
    <row r="21" spans="1:14" x14ac:dyDescent="0.3">
      <c r="A21" s="13"/>
      <c r="B21" s="14"/>
      <c r="C21" s="14"/>
      <c r="D21" s="15"/>
      <c r="E21" s="16"/>
      <c r="F21" s="17"/>
      <c r="G21" s="17"/>
      <c r="H21" s="26">
        <f t="shared" si="0"/>
        <v>0</v>
      </c>
      <c r="I21" s="44"/>
      <c r="J21" s="46"/>
      <c r="K21" s="31">
        <f t="shared" si="1"/>
        <v>0</v>
      </c>
      <c r="L21" s="71">
        <f t="shared" si="5"/>
        <v>0</v>
      </c>
      <c r="M21" s="48">
        <f t="shared" si="6"/>
        <v>0</v>
      </c>
      <c r="N21" s="18">
        <f t="shared" si="7"/>
        <v>0</v>
      </c>
    </row>
    <row r="22" spans="1:14" x14ac:dyDescent="0.3">
      <c r="A22" s="13"/>
      <c r="B22" s="14"/>
      <c r="C22" s="14"/>
      <c r="D22" s="15"/>
      <c r="E22" s="16"/>
      <c r="F22" s="17"/>
      <c r="G22" s="17"/>
      <c r="H22" s="26">
        <f t="shared" si="0"/>
        <v>0</v>
      </c>
      <c r="I22" s="44"/>
      <c r="J22" s="46"/>
      <c r="K22" s="31">
        <f t="shared" si="1"/>
        <v>0</v>
      </c>
      <c r="L22" s="71">
        <f t="shared" si="5"/>
        <v>0</v>
      </c>
      <c r="M22" s="48">
        <f t="shared" si="6"/>
        <v>0</v>
      </c>
      <c r="N22" s="18">
        <f t="shared" si="7"/>
        <v>0</v>
      </c>
    </row>
    <row r="23" spans="1:14" x14ac:dyDescent="0.3">
      <c r="A23" s="13"/>
      <c r="B23" s="14"/>
      <c r="C23" s="14"/>
      <c r="D23" s="15"/>
      <c r="E23" s="16"/>
      <c r="F23" s="17"/>
      <c r="G23" s="17"/>
      <c r="H23" s="26">
        <f t="shared" si="0"/>
        <v>0</v>
      </c>
      <c r="I23" s="44"/>
      <c r="J23" s="46"/>
      <c r="K23" s="31">
        <f t="shared" si="1"/>
        <v>0</v>
      </c>
      <c r="L23" s="71">
        <f t="shared" si="5"/>
        <v>0</v>
      </c>
      <c r="M23" s="48">
        <f t="shared" si="6"/>
        <v>0</v>
      </c>
      <c r="N23" s="18">
        <f t="shared" si="7"/>
        <v>0</v>
      </c>
    </row>
    <row r="24" spans="1:14" x14ac:dyDescent="0.3">
      <c r="A24" s="13"/>
      <c r="B24" s="14"/>
      <c r="C24" s="14"/>
      <c r="D24" s="15"/>
      <c r="E24" s="16"/>
      <c r="F24" s="17"/>
      <c r="G24" s="17"/>
      <c r="H24" s="26">
        <f t="shared" si="0"/>
        <v>0</v>
      </c>
      <c r="I24" s="44"/>
      <c r="J24" s="46"/>
      <c r="K24" s="31">
        <f t="shared" si="1"/>
        <v>0</v>
      </c>
      <c r="L24" s="71">
        <f t="shared" si="5"/>
        <v>0</v>
      </c>
      <c r="M24" s="48">
        <f t="shared" si="6"/>
        <v>0</v>
      </c>
      <c r="N24" s="18">
        <f t="shared" si="7"/>
        <v>0</v>
      </c>
    </row>
    <row r="25" spans="1:14" x14ac:dyDescent="0.3">
      <c r="A25" s="13"/>
      <c r="B25" s="14"/>
      <c r="C25" s="14"/>
      <c r="D25" s="15"/>
      <c r="E25" s="16"/>
      <c r="F25" s="17"/>
      <c r="G25" s="17"/>
      <c r="H25" s="26">
        <f t="shared" si="0"/>
        <v>0</v>
      </c>
      <c r="I25" s="44"/>
      <c r="J25" s="46"/>
      <c r="K25" s="31">
        <f t="shared" si="1"/>
        <v>0</v>
      </c>
      <c r="L25" s="71">
        <f t="shared" si="5"/>
        <v>0</v>
      </c>
      <c r="M25" s="48">
        <f t="shared" si="6"/>
        <v>0</v>
      </c>
      <c r="N25" s="18">
        <f t="shared" si="7"/>
        <v>0</v>
      </c>
    </row>
    <row r="26" spans="1:14" x14ac:dyDescent="0.3">
      <c r="A26" s="13"/>
      <c r="B26" s="14"/>
      <c r="C26" s="14"/>
      <c r="D26" s="15"/>
      <c r="E26" s="16"/>
      <c r="F26" s="17"/>
      <c r="G26" s="17"/>
      <c r="H26" s="26">
        <f t="shared" si="0"/>
        <v>0</v>
      </c>
      <c r="I26" s="44"/>
      <c r="J26" s="46"/>
      <c r="K26" s="31">
        <f t="shared" si="1"/>
        <v>0</v>
      </c>
      <c r="L26" s="71">
        <f t="shared" si="5"/>
        <v>0</v>
      </c>
      <c r="M26" s="48">
        <f t="shared" si="6"/>
        <v>0</v>
      </c>
      <c r="N26" s="18">
        <f t="shared" si="7"/>
        <v>0</v>
      </c>
    </row>
    <row r="27" spans="1:14" x14ac:dyDescent="0.3">
      <c r="A27" s="13"/>
      <c r="B27" s="14"/>
      <c r="C27" s="14"/>
      <c r="D27" s="15"/>
      <c r="E27" s="16"/>
      <c r="F27" s="17"/>
      <c r="G27" s="17"/>
      <c r="H27" s="26">
        <f t="shared" si="0"/>
        <v>0</v>
      </c>
      <c r="I27" s="44"/>
      <c r="J27" s="46"/>
      <c r="K27" s="31">
        <f t="shared" si="1"/>
        <v>0</v>
      </c>
      <c r="L27" s="71">
        <f t="shared" si="5"/>
        <v>0</v>
      </c>
      <c r="M27" s="48">
        <f t="shared" si="6"/>
        <v>0</v>
      </c>
      <c r="N27" s="18">
        <f t="shared" si="7"/>
        <v>0</v>
      </c>
    </row>
    <row r="28" spans="1:14" x14ac:dyDescent="0.3">
      <c r="A28" s="13"/>
      <c r="B28" s="14"/>
      <c r="C28" s="14"/>
      <c r="D28" s="15"/>
      <c r="E28" s="16"/>
      <c r="F28" s="17"/>
      <c r="G28" s="17"/>
      <c r="H28" s="26">
        <f t="shared" si="0"/>
        <v>0</v>
      </c>
      <c r="I28" s="44"/>
      <c r="J28" s="46"/>
      <c r="K28" s="31">
        <f t="shared" si="1"/>
        <v>0</v>
      </c>
      <c r="L28" s="71">
        <f t="shared" si="5"/>
        <v>0</v>
      </c>
      <c r="M28" s="48">
        <f t="shared" si="6"/>
        <v>0</v>
      </c>
      <c r="N28" s="18">
        <f t="shared" si="7"/>
        <v>0</v>
      </c>
    </row>
    <row r="29" spans="1:14" x14ac:dyDescent="0.3">
      <c r="A29" s="13"/>
      <c r="B29" s="14"/>
      <c r="C29" s="14"/>
      <c r="D29" s="15"/>
      <c r="E29" s="16"/>
      <c r="F29" s="17"/>
      <c r="G29" s="17"/>
      <c r="H29" s="26">
        <f t="shared" si="0"/>
        <v>0</v>
      </c>
      <c r="I29" s="44"/>
      <c r="J29" s="46"/>
      <c r="K29" s="31">
        <f t="shared" si="1"/>
        <v>0</v>
      </c>
      <c r="L29" s="71">
        <f t="shared" si="5"/>
        <v>0</v>
      </c>
      <c r="M29" s="48">
        <f t="shared" si="6"/>
        <v>0</v>
      </c>
      <c r="N29" s="18">
        <f t="shared" si="7"/>
        <v>0</v>
      </c>
    </row>
    <row r="30" spans="1:14" x14ac:dyDescent="0.3">
      <c r="A30" s="13"/>
      <c r="B30" s="14"/>
      <c r="C30" s="14"/>
      <c r="D30" s="15"/>
      <c r="E30" s="16"/>
      <c r="F30" s="17"/>
      <c r="G30" s="17"/>
      <c r="H30" s="26">
        <f t="shared" si="0"/>
        <v>0</v>
      </c>
      <c r="I30" s="44"/>
      <c r="J30" s="46"/>
      <c r="K30" s="31">
        <f t="shared" si="1"/>
        <v>0</v>
      </c>
      <c r="L30" s="71">
        <f t="shared" si="5"/>
        <v>0</v>
      </c>
      <c r="M30" s="48">
        <f t="shared" si="6"/>
        <v>0</v>
      </c>
      <c r="N30" s="18">
        <f t="shared" si="7"/>
        <v>0</v>
      </c>
    </row>
    <row r="31" spans="1:14" x14ac:dyDescent="0.3">
      <c r="A31" s="13"/>
      <c r="B31" s="14"/>
      <c r="C31" s="14"/>
      <c r="D31" s="15"/>
      <c r="E31" s="16"/>
      <c r="F31" s="17"/>
      <c r="G31" s="17"/>
      <c r="H31" s="26">
        <f t="shared" si="0"/>
        <v>0</v>
      </c>
      <c r="I31" s="44"/>
      <c r="J31" s="46"/>
      <c r="K31" s="31">
        <f t="shared" si="1"/>
        <v>0</v>
      </c>
      <c r="L31" s="71">
        <f t="shared" si="5"/>
        <v>0</v>
      </c>
      <c r="M31" s="48">
        <f t="shared" si="6"/>
        <v>0</v>
      </c>
      <c r="N31" s="18">
        <f t="shared" si="7"/>
        <v>0</v>
      </c>
    </row>
    <row r="32" spans="1:14" x14ac:dyDescent="0.3">
      <c r="A32" s="13"/>
      <c r="B32" s="14"/>
      <c r="C32" s="14"/>
      <c r="D32" s="15"/>
      <c r="E32" s="16"/>
      <c r="F32" s="17"/>
      <c r="G32" s="17"/>
      <c r="H32" s="26">
        <f t="shared" si="0"/>
        <v>0</v>
      </c>
      <c r="I32" s="44"/>
      <c r="J32" s="46"/>
      <c r="K32" s="31">
        <f t="shared" si="1"/>
        <v>0</v>
      </c>
      <c r="L32" s="71">
        <f t="shared" si="5"/>
        <v>0</v>
      </c>
      <c r="M32" s="48">
        <f t="shared" si="6"/>
        <v>0</v>
      </c>
      <c r="N32" s="18">
        <f t="shared" si="7"/>
        <v>0</v>
      </c>
    </row>
    <row r="33" spans="1:14" x14ac:dyDescent="0.3">
      <c r="A33" s="13"/>
      <c r="B33" s="14"/>
      <c r="C33" s="14"/>
      <c r="D33" s="15"/>
      <c r="E33" s="16"/>
      <c r="F33" s="17"/>
      <c r="G33" s="17"/>
      <c r="H33" s="26">
        <f t="shared" si="0"/>
        <v>0</v>
      </c>
      <c r="I33" s="44"/>
      <c r="J33" s="46"/>
      <c r="K33" s="31">
        <f t="shared" si="1"/>
        <v>0</v>
      </c>
      <c r="L33" s="71">
        <f t="shared" si="5"/>
        <v>0</v>
      </c>
      <c r="M33" s="48">
        <f t="shared" si="6"/>
        <v>0</v>
      </c>
      <c r="N33" s="18">
        <f t="shared" si="7"/>
        <v>0</v>
      </c>
    </row>
    <row r="34" spans="1:14" x14ac:dyDescent="0.3">
      <c r="A34" s="13"/>
      <c r="B34" s="14"/>
      <c r="C34" s="14"/>
      <c r="D34" s="15"/>
      <c r="E34" s="16"/>
      <c r="F34" s="17"/>
      <c r="G34" s="17"/>
      <c r="H34" s="26">
        <f t="shared" si="0"/>
        <v>0</v>
      </c>
      <c r="I34" s="44"/>
      <c r="J34" s="46"/>
      <c r="K34" s="31">
        <f t="shared" si="1"/>
        <v>0</v>
      </c>
      <c r="L34" s="71">
        <f t="shared" si="5"/>
        <v>0</v>
      </c>
      <c r="M34" s="48">
        <f t="shared" si="6"/>
        <v>0</v>
      </c>
      <c r="N34" s="18">
        <f t="shared" si="7"/>
        <v>0</v>
      </c>
    </row>
    <row r="35" spans="1:14" x14ac:dyDescent="0.3">
      <c r="A35" s="13"/>
      <c r="B35" s="14"/>
      <c r="C35" s="14"/>
      <c r="D35" s="15"/>
      <c r="E35" s="16"/>
      <c r="F35" s="17"/>
      <c r="G35" s="17"/>
      <c r="H35" s="26">
        <f t="shared" si="0"/>
        <v>0</v>
      </c>
      <c r="I35" s="44"/>
      <c r="J35" s="46"/>
      <c r="K35" s="31">
        <f t="shared" si="1"/>
        <v>0</v>
      </c>
      <c r="L35" s="71">
        <f t="shared" si="5"/>
        <v>0</v>
      </c>
      <c r="M35" s="48">
        <f t="shared" si="6"/>
        <v>0</v>
      </c>
      <c r="N35" s="18">
        <f t="shared" si="7"/>
        <v>0</v>
      </c>
    </row>
    <row r="36" spans="1:14" x14ac:dyDescent="0.3">
      <c r="A36" s="13"/>
      <c r="B36" s="14"/>
      <c r="C36" s="14"/>
      <c r="D36" s="15"/>
      <c r="E36" s="16"/>
      <c r="F36" s="17"/>
      <c r="G36" s="17"/>
      <c r="H36" s="26">
        <f t="shared" si="0"/>
        <v>0</v>
      </c>
      <c r="I36" s="44"/>
      <c r="J36" s="46"/>
      <c r="K36" s="31">
        <f t="shared" si="1"/>
        <v>0</v>
      </c>
      <c r="L36" s="71">
        <f t="shared" si="5"/>
        <v>0</v>
      </c>
      <c r="M36" s="48">
        <f t="shared" si="6"/>
        <v>0</v>
      </c>
      <c r="N36" s="18">
        <f t="shared" si="7"/>
        <v>0</v>
      </c>
    </row>
    <row r="37" spans="1:14" x14ac:dyDescent="0.3">
      <c r="A37" s="13"/>
      <c r="B37" s="14"/>
      <c r="C37" s="14"/>
      <c r="D37" s="15"/>
      <c r="E37" s="16"/>
      <c r="F37" s="17"/>
      <c r="G37" s="17"/>
      <c r="H37" s="26">
        <f t="shared" si="0"/>
        <v>0</v>
      </c>
      <c r="I37" s="44"/>
      <c r="J37" s="46"/>
      <c r="K37" s="31">
        <f t="shared" si="1"/>
        <v>0</v>
      </c>
      <c r="L37" s="71">
        <f t="shared" si="5"/>
        <v>0</v>
      </c>
      <c r="M37" s="48">
        <f t="shared" si="6"/>
        <v>0</v>
      </c>
      <c r="N37" s="18">
        <f t="shared" si="7"/>
        <v>0</v>
      </c>
    </row>
    <row r="38" spans="1:14" x14ac:dyDescent="0.3">
      <c r="A38" s="13"/>
      <c r="B38" s="14"/>
      <c r="C38" s="14"/>
      <c r="D38" s="15"/>
      <c r="E38" s="16"/>
      <c r="F38" s="17"/>
      <c r="G38" s="17"/>
      <c r="H38" s="26">
        <f t="shared" si="0"/>
        <v>0</v>
      </c>
      <c r="I38" s="44"/>
      <c r="J38" s="46"/>
      <c r="K38" s="31">
        <f t="shared" si="1"/>
        <v>0</v>
      </c>
      <c r="L38" s="71">
        <f t="shared" si="5"/>
        <v>0</v>
      </c>
      <c r="M38" s="48">
        <f t="shared" si="6"/>
        <v>0</v>
      </c>
      <c r="N38" s="18">
        <f t="shared" si="7"/>
        <v>0</v>
      </c>
    </row>
    <row r="39" spans="1:14" x14ac:dyDescent="0.3">
      <c r="A39" s="13"/>
      <c r="B39" s="14"/>
      <c r="C39" s="14"/>
      <c r="D39" s="15"/>
      <c r="E39" s="16"/>
      <c r="F39" s="17"/>
      <c r="G39" s="17"/>
      <c r="H39" s="26">
        <f t="shared" si="0"/>
        <v>0</v>
      </c>
      <c r="I39" s="44"/>
      <c r="J39" s="46"/>
      <c r="K39" s="31">
        <f t="shared" si="1"/>
        <v>0</v>
      </c>
      <c r="L39" s="71">
        <f t="shared" si="5"/>
        <v>0</v>
      </c>
      <c r="M39" s="48">
        <f t="shared" si="6"/>
        <v>0</v>
      </c>
      <c r="N39" s="18">
        <f t="shared" si="7"/>
        <v>0</v>
      </c>
    </row>
    <row r="40" spans="1:14" x14ac:dyDescent="0.3">
      <c r="A40" s="13"/>
      <c r="B40" s="14"/>
      <c r="C40" s="14"/>
      <c r="D40" s="15"/>
      <c r="E40" s="16"/>
      <c r="F40" s="17"/>
      <c r="G40" s="17"/>
      <c r="H40" s="26">
        <f t="shared" si="0"/>
        <v>0</v>
      </c>
      <c r="I40" s="44"/>
      <c r="J40" s="46"/>
      <c r="K40" s="31">
        <f t="shared" si="1"/>
        <v>0</v>
      </c>
      <c r="L40" s="71">
        <f t="shared" si="5"/>
        <v>0</v>
      </c>
      <c r="M40" s="48">
        <f t="shared" si="6"/>
        <v>0</v>
      </c>
      <c r="N40" s="18">
        <f t="shared" si="7"/>
        <v>0</v>
      </c>
    </row>
    <row r="41" spans="1:14" x14ac:dyDescent="0.3">
      <c r="A41" s="13"/>
      <c r="B41" s="14"/>
      <c r="C41" s="14"/>
      <c r="D41" s="15"/>
      <c r="E41" s="16"/>
      <c r="F41" s="17"/>
      <c r="G41" s="17"/>
      <c r="H41" s="26">
        <f t="shared" si="0"/>
        <v>0</v>
      </c>
      <c r="I41" s="44"/>
      <c r="J41" s="46"/>
      <c r="K41" s="31">
        <f t="shared" si="1"/>
        <v>0</v>
      </c>
      <c r="L41" s="71">
        <f t="shared" si="5"/>
        <v>0</v>
      </c>
      <c r="M41" s="48">
        <f t="shared" si="6"/>
        <v>0</v>
      </c>
      <c r="N41" s="18">
        <f t="shared" si="7"/>
        <v>0</v>
      </c>
    </row>
    <row r="42" spans="1:14" x14ac:dyDescent="0.3">
      <c r="A42" s="13"/>
      <c r="B42" s="14"/>
      <c r="C42" s="14"/>
      <c r="D42" s="15"/>
      <c r="E42" s="16"/>
      <c r="F42" s="17"/>
      <c r="G42" s="17"/>
      <c r="H42" s="26">
        <f t="shared" si="0"/>
        <v>0</v>
      </c>
      <c r="I42" s="44"/>
      <c r="J42" s="46"/>
      <c r="K42" s="31">
        <f t="shared" si="1"/>
        <v>0</v>
      </c>
      <c r="L42" s="71">
        <f t="shared" si="5"/>
        <v>0</v>
      </c>
      <c r="M42" s="48">
        <f t="shared" si="6"/>
        <v>0</v>
      </c>
      <c r="N42" s="18">
        <f t="shared" si="7"/>
        <v>0</v>
      </c>
    </row>
    <row r="43" spans="1:14" x14ac:dyDescent="0.3">
      <c r="A43" s="13"/>
      <c r="B43" s="14"/>
      <c r="C43" s="14"/>
      <c r="D43" s="15"/>
      <c r="E43" s="16"/>
      <c r="F43" s="17"/>
      <c r="G43" s="17"/>
      <c r="H43" s="26">
        <f t="shared" si="0"/>
        <v>0</v>
      </c>
      <c r="I43" s="44"/>
      <c r="J43" s="46"/>
      <c r="K43" s="31">
        <f t="shared" si="1"/>
        <v>0</v>
      </c>
      <c r="L43" s="71">
        <f t="shared" si="5"/>
        <v>0</v>
      </c>
      <c r="M43" s="48">
        <f t="shared" si="6"/>
        <v>0</v>
      </c>
      <c r="N43" s="18">
        <f t="shared" si="7"/>
        <v>0</v>
      </c>
    </row>
    <row r="44" spans="1:14" x14ac:dyDescent="0.3">
      <c r="A44" s="13"/>
      <c r="B44" s="14"/>
      <c r="C44" s="14"/>
      <c r="D44" s="15"/>
      <c r="E44" s="16"/>
      <c r="F44" s="17"/>
      <c r="G44" s="17"/>
      <c r="H44" s="26">
        <f t="shared" si="0"/>
        <v>0</v>
      </c>
      <c r="I44" s="44"/>
      <c r="J44" s="46"/>
      <c r="K44" s="31">
        <f t="shared" si="1"/>
        <v>0</v>
      </c>
      <c r="L44" s="71">
        <f t="shared" si="5"/>
        <v>0</v>
      </c>
      <c r="M44" s="48">
        <f t="shared" si="6"/>
        <v>0</v>
      </c>
      <c r="N44" s="18">
        <f t="shared" si="7"/>
        <v>0</v>
      </c>
    </row>
    <row r="45" spans="1:14" x14ac:dyDescent="0.3">
      <c r="A45" s="13"/>
      <c r="B45" s="14"/>
      <c r="C45" s="14"/>
      <c r="D45" s="15"/>
      <c r="E45" s="16"/>
      <c r="F45" s="17"/>
      <c r="G45" s="17"/>
      <c r="H45" s="26">
        <f t="shared" si="0"/>
        <v>0</v>
      </c>
      <c r="I45" s="44"/>
      <c r="J45" s="46"/>
      <c r="K45" s="31">
        <f t="shared" si="1"/>
        <v>0</v>
      </c>
      <c r="L45" s="71">
        <f t="shared" si="5"/>
        <v>0</v>
      </c>
      <c r="M45" s="48">
        <f t="shared" si="6"/>
        <v>0</v>
      </c>
      <c r="N45" s="18">
        <f t="shared" si="7"/>
        <v>0</v>
      </c>
    </row>
    <row r="46" spans="1:14" x14ac:dyDescent="0.3">
      <c r="A46" s="13"/>
      <c r="B46" s="14"/>
      <c r="C46" s="14"/>
      <c r="D46" s="15"/>
      <c r="E46" s="16"/>
      <c r="F46" s="17"/>
      <c r="G46" s="17"/>
      <c r="H46" s="26">
        <f t="shared" si="0"/>
        <v>0</v>
      </c>
      <c r="I46" s="44"/>
      <c r="J46" s="46"/>
      <c r="K46" s="31">
        <f t="shared" si="1"/>
        <v>0</v>
      </c>
      <c r="L46" s="71">
        <f t="shared" si="5"/>
        <v>0</v>
      </c>
      <c r="M46" s="48">
        <f t="shared" si="6"/>
        <v>0</v>
      </c>
      <c r="N46" s="18">
        <f t="shared" si="7"/>
        <v>0</v>
      </c>
    </row>
    <row r="47" spans="1:14" x14ac:dyDescent="0.3">
      <c r="A47" s="13"/>
      <c r="B47" s="14"/>
      <c r="C47" s="14"/>
      <c r="D47" s="15"/>
      <c r="E47" s="16"/>
      <c r="F47" s="17"/>
      <c r="G47" s="17"/>
      <c r="H47" s="26">
        <f t="shared" si="0"/>
        <v>0</v>
      </c>
      <c r="I47" s="44"/>
      <c r="J47" s="46"/>
      <c r="K47" s="31">
        <f t="shared" si="1"/>
        <v>0</v>
      </c>
      <c r="L47" s="71">
        <f t="shared" si="5"/>
        <v>0</v>
      </c>
      <c r="M47" s="48">
        <f t="shared" si="6"/>
        <v>0</v>
      </c>
      <c r="N47" s="18">
        <f t="shared" si="7"/>
        <v>0</v>
      </c>
    </row>
    <row r="48" spans="1:14" x14ac:dyDescent="0.3">
      <c r="A48" s="13"/>
      <c r="B48" s="14"/>
      <c r="C48" s="14"/>
      <c r="D48" s="15"/>
      <c r="E48" s="16"/>
      <c r="F48" s="17"/>
      <c r="G48" s="17"/>
      <c r="H48" s="26">
        <f t="shared" si="0"/>
        <v>0</v>
      </c>
      <c r="I48" s="44"/>
      <c r="J48" s="46"/>
      <c r="K48" s="31">
        <f t="shared" si="1"/>
        <v>0</v>
      </c>
      <c r="L48" s="71">
        <f t="shared" si="5"/>
        <v>0</v>
      </c>
      <c r="M48" s="48">
        <f t="shared" si="6"/>
        <v>0</v>
      </c>
      <c r="N48" s="18">
        <f t="shared" si="7"/>
        <v>0</v>
      </c>
    </row>
    <row r="49" spans="1:14" x14ac:dyDescent="0.3">
      <c r="A49" s="13"/>
      <c r="B49" s="14"/>
      <c r="C49" s="14"/>
      <c r="D49" s="15"/>
      <c r="E49" s="16"/>
      <c r="F49" s="17"/>
      <c r="G49" s="17"/>
      <c r="H49" s="26">
        <f t="shared" si="0"/>
        <v>0</v>
      </c>
      <c r="I49" s="44"/>
      <c r="J49" s="46"/>
      <c r="K49" s="31">
        <f t="shared" si="1"/>
        <v>0</v>
      </c>
      <c r="L49" s="71">
        <f t="shared" si="5"/>
        <v>0</v>
      </c>
      <c r="M49" s="48">
        <f t="shared" si="6"/>
        <v>0</v>
      </c>
      <c r="N49" s="18">
        <f t="shared" si="7"/>
        <v>0</v>
      </c>
    </row>
    <row r="50" spans="1:14" x14ac:dyDescent="0.3">
      <c r="A50" s="13"/>
      <c r="B50" s="14"/>
      <c r="C50" s="14"/>
      <c r="D50" s="15"/>
      <c r="E50" s="16"/>
      <c r="F50" s="17"/>
      <c r="G50" s="17"/>
      <c r="H50" s="26">
        <f t="shared" si="0"/>
        <v>0</v>
      </c>
      <c r="I50" s="44"/>
      <c r="J50" s="46"/>
      <c r="K50" s="31">
        <f t="shared" si="1"/>
        <v>0</v>
      </c>
      <c r="L50" s="71">
        <f t="shared" si="5"/>
        <v>0</v>
      </c>
      <c r="M50" s="48">
        <f t="shared" si="6"/>
        <v>0</v>
      </c>
      <c r="N50" s="18">
        <f t="shared" si="7"/>
        <v>0</v>
      </c>
    </row>
    <row r="51" spans="1:14" x14ac:dyDescent="0.3">
      <c r="A51" s="13"/>
      <c r="B51" s="14"/>
      <c r="C51" s="14"/>
      <c r="D51" s="15"/>
      <c r="E51" s="16"/>
      <c r="F51" s="17"/>
      <c r="G51" s="17"/>
      <c r="H51" s="26">
        <f t="shared" si="0"/>
        <v>0</v>
      </c>
      <c r="I51" s="44"/>
      <c r="J51" s="46"/>
      <c r="K51" s="31">
        <f t="shared" si="1"/>
        <v>0</v>
      </c>
      <c r="L51" s="71">
        <f t="shared" ref="L51:L55" si="8">ROUND(I51*G51,2)</f>
        <v>0</v>
      </c>
      <c r="M51" s="48">
        <f t="shared" ref="M51:M55" si="9">ROUND(J51*G51,2)</f>
        <v>0</v>
      </c>
      <c r="N51" s="18">
        <f t="shared" ref="N51:N55" si="10">ROUND(K51*G51,2)</f>
        <v>0</v>
      </c>
    </row>
    <row r="52" spans="1:14" x14ac:dyDescent="0.3">
      <c r="A52" s="13"/>
      <c r="B52" s="14"/>
      <c r="C52" s="14"/>
      <c r="D52" s="15"/>
      <c r="E52" s="16"/>
      <c r="F52" s="17"/>
      <c r="G52" s="17"/>
      <c r="H52" s="26">
        <f t="shared" si="0"/>
        <v>0</v>
      </c>
      <c r="I52" s="44"/>
      <c r="J52" s="46"/>
      <c r="K52" s="31">
        <f t="shared" si="1"/>
        <v>0</v>
      </c>
      <c r="L52" s="71">
        <f t="shared" si="8"/>
        <v>0</v>
      </c>
      <c r="M52" s="48">
        <f t="shared" si="9"/>
        <v>0</v>
      </c>
      <c r="N52" s="18">
        <f t="shared" si="10"/>
        <v>0</v>
      </c>
    </row>
    <row r="53" spans="1:14" x14ac:dyDescent="0.3">
      <c r="A53" s="13"/>
      <c r="B53" s="14"/>
      <c r="C53" s="14"/>
      <c r="D53" s="15"/>
      <c r="E53" s="16"/>
      <c r="F53" s="17"/>
      <c r="G53" s="17"/>
      <c r="H53" s="26">
        <f t="shared" si="0"/>
        <v>0</v>
      </c>
      <c r="I53" s="44"/>
      <c r="J53" s="46"/>
      <c r="K53" s="31">
        <f t="shared" si="1"/>
        <v>0</v>
      </c>
      <c r="L53" s="71">
        <f t="shared" si="8"/>
        <v>0</v>
      </c>
      <c r="M53" s="48">
        <f t="shared" si="9"/>
        <v>0</v>
      </c>
      <c r="N53" s="18">
        <f t="shared" si="10"/>
        <v>0</v>
      </c>
    </row>
    <row r="54" spans="1:14" x14ac:dyDescent="0.3">
      <c r="A54" s="13"/>
      <c r="B54" s="14"/>
      <c r="C54" s="14"/>
      <c r="D54" s="15"/>
      <c r="E54" s="16"/>
      <c r="F54" s="17"/>
      <c r="G54" s="17"/>
      <c r="H54" s="26">
        <f t="shared" si="0"/>
        <v>0</v>
      </c>
      <c r="I54" s="44"/>
      <c r="J54" s="46"/>
      <c r="K54" s="31">
        <f t="shared" si="1"/>
        <v>0</v>
      </c>
      <c r="L54" s="71">
        <f t="shared" si="8"/>
        <v>0</v>
      </c>
      <c r="M54" s="48">
        <f t="shared" si="9"/>
        <v>0</v>
      </c>
      <c r="N54" s="18">
        <f t="shared" si="10"/>
        <v>0</v>
      </c>
    </row>
    <row r="55" spans="1:14" x14ac:dyDescent="0.3">
      <c r="A55" s="13"/>
      <c r="B55" s="14"/>
      <c r="C55" s="14"/>
      <c r="D55" s="15"/>
      <c r="E55" s="16"/>
      <c r="F55" s="17"/>
      <c r="G55" s="17"/>
      <c r="H55" s="26">
        <f t="shared" si="0"/>
        <v>0</v>
      </c>
      <c r="I55" s="44"/>
      <c r="J55" s="46"/>
      <c r="K55" s="31">
        <f t="shared" si="1"/>
        <v>0</v>
      </c>
      <c r="L55" s="71">
        <f t="shared" si="8"/>
        <v>0</v>
      </c>
      <c r="M55" s="48">
        <f t="shared" si="9"/>
        <v>0</v>
      </c>
      <c r="N55" s="18">
        <f t="shared" si="10"/>
        <v>0</v>
      </c>
    </row>
    <row r="56" spans="1:14" x14ac:dyDescent="0.3">
      <c r="A56" s="13"/>
      <c r="B56" s="14"/>
      <c r="C56" s="14"/>
      <c r="D56" s="15"/>
      <c r="E56" s="16"/>
      <c r="F56" s="17"/>
      <c r="G56" s="17"/>
      <c r="H56" s="26">
        <f t="shared" si="0"/>
        <v>0</v>
      </c>
      <c r="I56" s="44"/>
      <c r="J56" s="46"/>
      <c r="K56" s="31">
        <f t="shared" si="1"/>
        <v>0</v>
      </c>
      <c r="L56" s="71">
        <f t="shared" si="2"/>
        <v>0</v>
      </c>
      <c r="M56" s="48">
        <f t="shared" si="3"/>
        <v>0</v>
      </c>
      <c r="N56" s="18">
        <f t="shared" si="4"/>
        <v>0</v>
      </c>
    </row>
    <row r="57" spans="1:14" x14ac:dyDescent="0.3">
      <c r="A57" s="13"/>
      <c r="B57" s="14"/>
      <c r="C57" s="14"/>
      <c r="D57" s="15"/>
      <c r="E57" s="16"/>
      <c r="F57" s="17"/>
      <c r="G57" s="17"/>
      <c r="H57" s="26">
        <f t="shared" si="0"/>
        <v>0</v>
      </c>
      <c r="I57" s="44"/>
      <c r="J57" s="46"/>
      <c r="K57" s="31">
        <f t="shared" si="1"/>
        <v>0</v>
      </c>
      <c r="L57" s="71">
        <f t="shared" si="2"/>
        <v>0</v>
      </c>
      <c r="M57" s="48">
        <f t="shared" si="3"/>
        <v>0</v>
      </c>
      <c r="N57" s="18">
        <f t="shared" si="4"/>
        <v>0</v>
      </c>
    </row>
    <row r="58" spans="1:14" x14ac:dyDescent="0.3">
      <c r="A58" s="13"/>
      <c r="B58" s="14"/>
      <c r="C58" s="14"/>
      <c r="D58" s="15"/>
      <c r="E58" s="16"/>
      <c r="F58" s="17"/>
      <c r="G58" s="17"/>
      <c r="H58" s="26">
        <f t="shared" si="0"/>
        <v>0</v>
      </c>
      <c r="I58" s="44"/>
      <c r="J58" s="46"/>
      <c r="K58" s="31">
        <f t="shared" si="1"/>
        <v>0</v>
      </c>
      <c r="L58" s="71">
        <f t="shared" si="2"/>
        <v>0</v>
      </c>
      <c r="M58" s="48">
        <f t="shared" si="3"/>
        <v>0</v>
      </c>
      <c r="N58" s="18">
        <f t="shared" si="4"/>
        <v>0</v>
      </c>
    </row>
    <row r="59" spans="1:14" x14ac:dyDescent="0.3">
      <c r="A59" s="13"/>
      <c r="B59" s="14"/>
      <c r="C59" s="14"/>
      <c r="D59" s="15"/>
      <c r="E59" s="16"/>
      <c r="F59" s="17"/>
      <c r="G59" s="17"/>
      <c r="H59" s="26">
        <f t="shared" si="0"/>
        <v>0</v>
      </c>
      <c r="I59" s="44"/>
      <c r="J59" s="46"/>
      <c r="K59" s="31">
        <f t="shared" si="1"/>
        <v>0</v>
      </c>
      <c r="L59" s="71">
        <f t="shared" si="2"/>
        <v>0</v>
      </c>
      <c r="M59" s="48">
        <f t="shared" si="3"/>
        <v>0</v>
      </c>
      <c r="N59" s="18">
        <f t="shared" si="4"/>
        <v>0</v>
      </c>
    </row>
    <row r="60" spans="1:14" x14ac:dyDescent="0.3">
      <c r="A60" s="13"/>
      <c r="B60" s="14"/>
      <c r="C60" s="14"/>
      <c r="D60" s="15"/>
      <c r="E60" s="16"/>
      <c r="F60" s="17"/>
      <c r="G60" s="17"/>
      <c r="H60" s="26">
        <f t="shared" si="0"/>
        <v>0</v>
      </c>
      <c r="I60" s="44"/>
      <c r="J60" s="46"/>
      <c r="K60" s="31">
        <f t="shared" si="1"/>
        <v>0</v>
      </c>
      <c r="L60" s="71">
        <f t="shared" si="2"/>
        <v>0</v>
      </c>
      <c r="M60" s="48">
        <f t="shared" si="3"/>
        <v>0</v>
      </c>
      <c r="N60" s="18">
        <f t="shared" si="4"/>
        <v>0</v>
      </c>
    </row>
    <row r="61" spans="1:14" x14ac:dyDescent="0.3">
      <c r="A61" s="13"/>
      <c r="B61" s="14"/>
      <c r="C61" s="14"/>
      <c r="D61" s="15"/>
      <c r="E61" s="16"/>
      <c r="F61" s="17"/>
      <c r="G61" s="17"/>
      <c r="H61" s="26">
        <f t="shared" si="0"/>
        <v>0</v>
      </c>
      <c r="I61" s="44"/>
      <c r="J61" s="46"/>
      <c r="K61" s="31">
        <f t="shared" si="1"/>
        <v>0</v>
      </c>
      <c r="L61" s="71">
        <f t="shared" si="2"/>
        <v>0</v>
      </c>
      <c r="M61" s="48">
        <f t="shared" si="3"/>
        <v>0</v>
      </c>
      <c r="N61" s="18">
        <f t="shared" si="4"/>
        <v>0</v>
      </c>
    </row>
    <row r="62" spans="1:14" x14ac:dyDescent="0.3">
      <c r="A62" s="13"/>
      <c r="B62" s="14"/>
      <c r="C62" s="14"/>
      <c r="D62" s="15"/>
      <c r="E62" s="16"/>
      <c r="F62" s="17"/>
      <c r="G62" s="17"/>
      <c r="H62" s="26">
        <f t="shared" si="0"/>
        <v>0</v>
      </c>
      <c r="I62" s="44"/>
      <c r="J62" s="46"/>
      <c r="K62" s="31">
        <f t="shared" si="1"/>
        <v>0</v>
      </c>
      <c r="L62" s="71">
        <f t="shared" si="2"/>
        <v>0</v>
      </c>
      <c r="M62" s="48">
        <f t="shared" si="3"/>
        <v>0</v>
      </c>
      <c r="N62" s="18">
        <f t="shared" si="4"/>
        <v>0</v>
      </c>
    </row>
    <row r="63" spans="1:14" ht="15" thickBot="1" x14ac:dyDescent="0.35">
      <c r="A63" s="19"/>
      <c r="B63" s="20"/>
      <c r="C63" s="20"/>
      <c r="D63" s="21"/>
      <c r="E63" s="22"/>
      <c r="F63" s="23"/>
      <c r="G63" s="23"/>
      <c r="H63" s="27">
        <f t="shared" si="0"/>
        <v>0</v>
      </c>
      <c r="I63" s="45"/>
      <c r="J63" s="47"/>
      <c r="K63" s="32">
        <f t="shared" si="1"/>
        <v>0</v>
      </c>
      <c r="L63" s="72">
        <f t="shared" si="2"/>
        <v>0</v>
      </c>
      <c r="M63" s="49">
        <f t="shared" si="3"/>
        <v>0</v>
      </c>
      <c r="N63" s="24">
        <f t="shared" si="4"/>
        <v>0</v>
      </c>
    </row>
    <row r="64" spans="1:14" ht="15" thickBot="1" x14ac:dyDescent="0.35">
      <c r="A64" s="1"/>
      <c r="B64" s="1"/>
      <c r="C64" s="1"/>
      <c r="D64" s="2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ht="25.2" customHeight="1" thickBot="1" x14ac:dyDescent="0.35">
      <c r="A65" s="1"/>
      <c r="B65" s="1"/>
      <c r="C65" s="1"/>
      <c r="D65" s="2"/>
      <c r="E65" s="1"/>
      <c r="F65" s="1"/>
      <c r="G65" s="1"/>
      <c r="H65" s="1"/>
      <c r="I65" s="1"/>
      <c r="J65" s="1"/>
      <c r="K65" s="1"/>
      <c r="L65" s="515" t="s">
        <v>35</v>
      </c>
      <c r="M65" s="516"/>
      <c r="N65" s="12"/>
    </row>
    <row r="66" spans="1:14" ht="6" customHeight="1" thickBot="1" x14ac:dyDescent="0.35">
      <c r="A66" s="1"/>
      <c r="B66" s="1"/>
      <c r="C66" s="1"/>
      <c r="D66" s="2"/>
      <c r="E66" s="1"/>
      <c r="F66" s="1"/>
      <c r="G66" s="1"/>
      <c r="H66" s="1"/>
      <c r="I66" s="1"/>
      <c r="J66" s="1"/>
      <c r="K66" s="1"/>
      <c r="L66" s="38"/>
      <c r="M66" s="38"/>
      <c r="N66" s="39"/>
    </row>
    <row r="67" spans="1:14" ht="25.2" customHeight="1" thickBot="1" x14ac:dyDescent="0.35">
      <c r="A67" s="1"/>
      <c r="B67" s="1"/>
      <c r="C67" s="1"/>
      <c r="D67" s="2"/>
      <c r="E67" s="1"/>
      <c r="F67" s="1"/>
      <c r="G67" s="1"/>
      <c r="H67" s="1"/>
      <c r="I67" s="1"/>
      <c r="J67" s="1"/>
      <c r="K67" s="1"/>
      <c r="L67" s="623" t="s">
        <v>37</v>
      </c>
      <c r="M67" s="624"/>
      <c r="N67" s="51"/>
    </row>
    <row r="68" spans="1:14" ht="25.2" customHeight="1" thickBot="1" x14ac:dyDescent="0.35">
      <c r="A68" s="1"/>
      <c r="B68" s="1"/>
      <c r="C68" s="1"/>
      <c r="D68" s="2"/>
      <c r="E68" s="1"/>
      <c r="F68" s="1"/>
      <c r="G68" s="1"/>
      <c r="H68" s="1"/>
      <c r="I68" s="1"/>
      <c r="J68" s="1"/>
      <c r="K68" s="1"/>
      <c r="L68" s="626" t="s">
        <v>36</v>
      </c>
      <c r="M68" s="627"/>
      <c r="N68" s="50"/>
    </row>
    <row r="69" spans="1:14" ht="6" customHeight="1" thickBot="1" x14ac:dyDescent="0.35">
      <c r="A69" s="1"/>
      <c r="B69" s="1"/>
      <c r="C69" s="1"/>
      <c r="D69" s="2"/>
      <c r="E69" s="1"/>
      <c r="F69" s="1"/>
      <c r="G69" s="1"/>
      <c r="H69" s="1"/>
      <c r="I69" s="1"/>
      <c r="J69" s="1"/>
      <c r="K69" s="1"/>
      <c r="L69" s="38"/>
      <c r="M69" s="38"/>
      <c r="N69" s="52"/>
    </row>
    <row r="70" spans="1:14" ht="25.2" customHeight="1" thickBot="1" x14ac:dyDescent="0.35">
      <c r="A70" s="1"/>
      <c r="B70" s="1"/>
      <c r="C70" s="1"/>
      <c r="D70" s="2"/>
      <c r="E70" s="1"/>
      <c r="F70" s="1"/>
      <c r="G70" s="1"/>
      <c r="H70" s="1"/>
      <c r="I70" s="1"/>
      <c r="J70" s="1"/>
      <c r="K70" s="1"/>
      <c r="L70" s="515" t="s">
        <v>38</v>
      </c>
      <c r="M70" s="516"/>
      <c r="N70" s="12">
        <f>N65-N67+N68</f>
        <v>0</v>
      </c>
    </row>
    <row r="71" spans="1:14" ht="25.2" customHeight="1" thickBot="1" x14ac:dyDescent="0.35">
      <c r="A71" s="1"/>
      <c r="B71" s="1"/>
      <c r="C71" s="1"/>
      <c r="D71" s="2"/>
      <c r="E71" s="1"/>
      <c r="F71" s="1"/>
      <c r="G71" s="1"/>
      <c r="H71" s="1"/>
      <c r="I71" s="1"/>
      <c r="J71" s="1"/>
      <c r="K71" s="1"/>
      <c r="L71" s="628" t="s">
        <v>39</v>
      </c>
      <c r="M71" s="629"/>
      <c r="N71" s="68">
        <f>N70-N65</f>
        <v>0</v>
      </c>
    </row>
    <row r="72" spans="1:14" ht="25.2" customHeight="1" x14ac:dyDescent="0.3">
      <c r="A72" s="1"/>
      <c r="B72" s="1"/>
      <c r="C72" s="1"/>
      <c r="D72" s="2"/>
      <c r="E72" s="1"/>
      <c r="F72" s="1"/>
      <c r="G72" s="1"/>
      <c r="H72" s="1"/>
      <c r="I72" s="1"/>
      <c r="J72" s="1"/>
      <c r="K72" s="1"/>
      <c r="L72" s="53"/>
      <c r="M72" s="53"/>
      <c r="N72" s="54"/>
    </row>
    <row r="73" spans="1:14" x14ac:dyDescent="0.3">
      <c r="A73" s="517" t="str">
        <f>DADOS!B5</f>
        <v>SÃO FELIPE/BA</v>
      </c>
      <c r="B73" s="517"/>
      <c r="C73" s="517"/>
      <c r="D73" s="517"/>
      <c r="E73" s="1"/>
      <c r="F73" s="1"/>
      <c r="G73" s="42"/>
      <c r="H73" s="42"/>
      <c r="I73" s="42"/>
      <c r="J73" s="518">
        <f ca="1">DADOS!B18</f>
        <v>45812</v>
      </c>
      <c r="K73" s="518"/>
      <c r="L73" s="518"/>
      <c r="M73" s="518"/>
      <c r="N73" s="518"/>
    </row>
    <row r="74" spans="1:14" x14ac:dyDescent="0.3">
      <c r="A74" s="520" t="s">
        <v>20</v>
      </c>
      <c r="B74" s="520"/>
      <c r="C74" s="520"/>
      <c r="D74" s="520"/>
      <c r="E74" s="1"/>
      <c r="F74" s="1"/>
      <c r="G74" s="43"/>
      <c r="H74" s="43"/>
      <c r="I74" s="43"/>
      <c r="J74" s="520" t="s">
        <v>21</v>
      </c>
      <c r="K74" s="520"/>
      <c r="L74" s="520"/>
      <c r="M74" s="520"/>
      <c r="N74" s="520"/>
    </row>
    <row r="75" spans="1:14" x14ac:dyDescent="0.3">
      <c r="A75" s="1"/>
      <c r="B75" s="1"/>
      <c r="C75" s="1"/>
      <c r="D75" s="2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x14ac:dyDescent="0.3">
      <c r="A76" s="1"/>
      <c r="B76" s="1"/>
      <c r="C76" s="1"/>
      <c r="D76" s="2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x14ac:dyDescent="0.3">
      <c r="A77" s="1"/>
      <c r="B77" s="1"/>
      <c r="C77" s="1"/>
      <c r="D77" s="2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x14ac:dyDescent="0.3">
      <c r="A78" s="1"/>
      <c r="B78" s="1"/>
      <c r="C78" s="1"/>
      <c r="D78" s="2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x14ac:dyDescent="0.3">
      <c r="A79" s="1"/>
      <c r="B79" s="1"/>
      <c r="C79" s="1"/>
      <c r="D79" s="2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x14ac:dyDescent="0.3">
      <c r="A80" s="1"/>
      <c r="B80" s="1"/>
      <c r="C80" s="1"/>
      <c r="D80" s="2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x14ac:dyDescent="0.3">
      <c r="A81" s="513"/>
      <c r="B81" s="513"/>
      <c r="C81" s="513"/>
      <c r="D81" s="513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x14ac:dyDescent="0.3">
      <c r="A82" s="625" t="s">
        <v>23</v>
      </c>
      <c r="B82" s="625"/>
      <c r="C82" s="625"/>
      <c r="D82" s="625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x14ac:dyDescent="0.3">
      <c r="A83" s="511" t="s">
        <v>22</v>
      </c>
      <c r="B83" s="511"/>
      <c r="C83" s="512">
        <f>DADOS!B40</f>
        <v>0</v>
      </c>
      <c r="D83" s="512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x14ac:dyDescent="0.3">
      <c r="A84" s="511" t="s">
        <v>24</v>
      </c>
      <c r="B84" s="511"/>
      <c r="C84" s="512">
        <f>DADOS!B41</f>
        <v>0</v>
      </c>
      <c r="D84" s="512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 x14ac:dyDescent="0.3">
      <c r="A85" s="511" t="s">
        <v>25</v>
      </c>
      <c r="B85" s="511"/>
      <c r="C85" s="512">
        <f>DADOS!B42</f>
        <v>0</v>
      </c>
      <c r="D85" s="512"/>
      <c r="E85" s="1"/>
      <c r="F85" s="1"/>
      <c r="G85" s="1"/>
      <c r="H85" s="1"/>
      <c r="I85" s="1"/>
      <c r="J85" s="1"/>
      <c r="K85" s="1"/>
      <c r="L85" s="1"/>
      <c r="M85" s="1"/>
      <c r="N85" s="1"/>
    </row>
  </sheetData>
  <mergeCells count="31">
    <mergeCell ref="C84:D84"/>
    <mergeCell ref="A8:D8"/>
    <mergeCell ref="E8:F8"/>
    <mergeCell ref="G8:H8"/>
    <mergeCell ref="A10:N10"/>
    <mergeCell ref="A6:D6"/>
    <mergeCell ref="E6:I6"/>
    <mergeCell ref="A7:D7"/>
    <mergeCell ref="E7:F7"/>
    <mergeCell ref="G7:H7"/>
    <mergeCell ref="A1:F1"/>
    <mergeCell ref="A2:F2"/>
    <mergeCell ref="A3:F3"/>
    <mergeCell ref="A5:D5"/>
    <mergeCell ref="E5:I5"/>
    <mergeCell ref="A85:B85"/>
    <mergeCell ref="C85:D85"/>
    <mergeCell ref="L65:M65"/>
    <mergeCell ref="L67:M67"/>
    <mergeCell ref="A73:D73"/>
    <mergeCell ref="A74:D74"/>
    <mergeCell ref="A81:D81"/>
    <mergeCell ref="A82:D82"/>
    <mergeCell ref="L68:M68"/>
    <mergeCell ref="L70:M70"/>
    <mergeCell ref="L71:M71"/>
    <mergeCell ref="J73:N73"/>
    <mergeCell ref="J74:N74"/>
    <mergeCell ref="A83:B83"/>
    <mergeCell ref="C83:D83"/>
    <mergeCell ref="A84:B84"/>
  </mergeCells>
  <printOptions horizontalCentered="1"/>
  <pageMargins left="0.59055118110236227" right="0.59055118110236227" top="0.59055118110236227" bottom="0.98425196850393704" header="0.31496062992125984" footer="0.31496062992125984"/>
  <pageSetup paperSize="9" scale="60" fitToHeight="0" orientation="landscape" r:id="rId1"/>
  <headerFooter>
    <oddFooter>&amp;RPágina &amp;P de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Planilha14">
    <pageSetUpPr fitToPage="1"/>
  </sheetPr>
  <dimension ref="A1:O48"/>
  <sheetViews>
    <sheetView showGridLines="0" zoomScale="85" zoomScaleNormal="85" workbookViewId="0">
      <selection activeCell="K48" sqref="A1:K48"/>
    </sheetView>
  </sheetViews>
  <sheetFormatPr defaultRowHeight="14.4" x14ac:dyDescent="0.3"/>
  <cols>
    <col min="1" max="1" width="6.33203125" customWidth="1"/>
    <col min="2" max="2" width="10.6640625" customWidth="1"/>
    <col min="3" max="3" width="8.6640625" customWidth="1"/>
    <col min="4" max="4" width="60.6640625" customWidth="1"/>
    <col min="5" max="5" width="5.6640625" customWidth="1"/>
    <col min="6" max="6" width="10.6640625" customWidth="1"/>
    <col min="7" max="11" width="14.6640625" customWidth="1"/>
    <col min="13" max="13" width="12.33203125" customWidth="1"/>
    <col min="14" max="14" width="10.44140625" customWidth="1"/>
  </cols>
  <sheetData>
    <row r="1" spans="1:14" ht="30" customHeight="1" x14ac:dyDescent="0.3">
      <c r="A1" s="507" t="s">
        <v>167</v>
      </c>
      <c r="B1" s="507"/>
      <c r="C1" s="507"/>
      <c r="D1" s="507"/>
      <c r="E1" s="507"/>
      <c r="F1" s="507"/>
      <c r="G1" s="191"/>
    </row>
    <row r="2" spans="1:14" ht="13.5" customHeight="1" x14ac:dyDescent="0.3">
      <c r="A2" s="497" t="s">
        <v>168</v>
      </c>
      <c r="B2" s="497"/>
      <c r="C2" s="497"/>
      <c r="D2" s="497"/>
      <c r="E2" s="497"/>
      <c r="F2" s="497"/>
      <c r="G2" s="191"/>
    </row>
    <row r="3" spans="1:14" ht="27.75" customHeight="1" thickBot="1" x14ac:dyDescent="0.35">
      <c r="A3" s="496" t="s">
        <v>170</v>
      </c>
      <c r="B3" s="496"/>
      <c r="C3" s="496"/>
      <c r="D3" s="496"/>
      <c r="E3" s="496"/>
      <c r="F3" s="496"/>
      <c r="G3" s="192"/>
    </row>
    <row r="4" spans="1:14" ht="14.25" customHeight="1" thickBot="1" x14ac:dyDescent="0.35">
      <c r="A4" s="1"/>
      <c r="B4" s="1"/>
      <c r="C4" s="1"/>
      <c r="D4" s="2"/>
      <c r="E4" s="1"/>
      <c r="F4" s="1"/>
      <c r="G4" s="1"/>
      <c r="H4" s="1"/>
      <c r="I4" s="1"/>
      <c r="M4" s="75" t="s">
        <v>19</v>
      </c>
      <c r="N4" s="74">
        <f>DADOS!B12</f>
        <v>1.2009000000000001</v>
      </c>
    </row>
    <row r="5" spans="1:14" s="36" customFormat="1" ht="12.6" thickBot="1" x14ac:dyDescent="0.3">
      <c r="A5" s="521" t="s">
        <v>0</v>
      </c>
      <c r="B5" s="521"/>
      <c r="C5" s="521"/>
      <c r="D5" s="521"/>
      <c r="E5" s="521" t="s">
        <v>1</v>
      </c>
      <c r="F5" s="521"/>
      <c r="G5" s="521"/>
      <c r="H5" s="521"/>
      <c r="I5" s="521"/>
    </row>
    <row r="6" spans="1:14" ht="30" customHeight="1" thickBot="1" x14ac:dyDescent="0.35">
      <c r="A6" s="522" t="str">
        <f>DADOS!B4</f>
        <v>PREFEITURA MUNICIPAL DE SÃO FELIPE/BA</v>
      </c>
      <c r="B6" s="522"/>
      <c r="C6" s="522"/>
      <c r="D6" s="522"/>
      <c r="E6" s="524" t="str">
        <f>DADOS!B8</f>
        <v>PAVIMENTAÇÃO ASFÁLTICA DIVERSAS RUAS, NO MUNICÍPIO DE SÃO FELIPE/BA</v>
      </c>
      <c r="F6" s="524"/>
      <c r="G6" s="524"/>
      <c r="H6" s="524"/>
      <c r="I6" s="524"/>
      <c r="M6" s="55" t="s">
        <v>43</v>
      </c>
      <c r="N6" s="73">
        <v>1</v>
      </c>
    </row>
    <row r="7" spans="1:14" s="36" customFormat="1" ht="15" thickBot="1" x14ac:dyDescent="0.35">
      <c r="A7" s="521" t="s">
        <v>15</v>
      </c>
      <c r="B7" s="521"/>
      <c r="C7" s="521"/>
      <c r="D7" s="521"/>
      <c r="E7" s="521" t="s">
        <v>16</v>
      </c>
      <c r="F7" s="521"/>
      <c r="G7" s="521" t="s">
        <v>169</v>
      </c>
      <c r="H7" s="521"/>
      <c r="I7" s="193" t="s">
        <v>18</v>
      </c>
      <c r="M7"/>
      <c r="N7"/>
    </row>
    <row r="8" spans="1:14" ht="30" customHeight="1" thickBot="1" x14ac:dyDescent="0.35">
      <c r="A8" s="522" t="str">
        <f>DADOS!B5</f>
        <v>SÃO FELIPE/BA</v>
      </c>
      <c r="B8" s="522"/>
      <c r="C8" s="522"/>
      <c r="D8" s="522"/>
      <c r="E8" s="523">
        <f ca="1">DADOS!B18</f>
        <v>45812</v>
      </c>
      <c r="F8" s="523"/>
      <c r="G8" s="524" t="str">
        <f>DADOS!B10</f>
        <v>SINAPI - 01/2025 - Bahia
SICRO3 - 10/2024 - Bahia
ORSE - 12/2024 - Sergipe</v>
      </c>
      <c r="H8" s="524"/>
      <c r="I8" s="194">
        <f>DADOS!B11</f>
        <v>0.2009</v>
      </c>
      <c r="M8" s="56" t="s">
        <v>40</v>
      </c>
      <c r="N8" s="73">
        <v>1</v>
      </c>
    </row>
    <row r="9" spans="1:14" ht="24" customHeight="1" x14ac:dyDescent="0.3">
      <c r="A9" s="497" t="s">
        <v>42</v>
      </c>
      <c r="B9" s="497"/>
      <c r="C9" s="497"/>
      <c r="D9" s="497"/>
      <c r="E9" s="497"/>
      <c r="F9" s="497"/>
      <c r="G9" s="497"/>
      <c r="H9" s="497"/>
      <c r="I9" s="497"/>
      <c r="J9" s="497"/>
      <c r="K9" s="497"/>
      <c r="L9" s="196"/>
      <c r="M9" s="196"/>
      <c r="N9" s="196"/>
    </row>
    <row r="10" spans="1:14" ht="6" customHeight="1" thickBot="1" x14ac:dyDescent="0.35">
      <c r="A10" s="1"/>
      <c r="B10" s="1"/>
      <c r="C10" s="1"/>
      <c r="D10" s="2"/>
      <c r="E10" s="1"/>
      <c r="F10" s="1"/>
      <c r="G10" s="1"/>
      <c r="H10" s="1"/>
      <c r="I10" s="1"/>
      <c r="J10" s="1"/>
      <c r="K10" s="1"/>
    </row>
    <row r="11" spans="1:14" s="37" customFormat="1" ht="30.6" customHeight="1" thickBot="1" x14ac:dyDescent="0.3">
      <c r="A11" s="3" t="s">
        <v>2</v>
      </c>
      <c r="B11" s="4" t="s">
        <v>3</v>
      </c>
      <c r="C11" s="4" t="s">
        <v>4</v>
      </c>
      <c r="D11" s="4" t="s">
        <v>5</v>
      </c>
      <c r="E11" s="4" t="s">
        <v>6</v>
      </c>
      <c r="F11" s="4" t="s">
        <v>7</v>
      </c>
      <c r="G11" s="4" t="s">
        <v>45</v>
      </c>
      <c r="H11" s="4" t="s">
        <v>46</v>
      </c>
      <c r="I11" s="4" t="s">
        <v>47</v>
      </c>
      <c r="J11" s="4" t="s">
        <v>48</v>
      </c>
      <c r="K11" s="5" t="s">
        <v>10</v>
      </c>
    </row>
    <row r="12" spans="1:14" ht="15" thickTop="1" x14ac:dyDescent="0.3">
      <c r="A12" s="62">
        <v>1</v>
      </c>
      <c r="B12" s="63"/>
      <c r="C12" s="63"/>
      <c r="D12" s="64" t="s">
        <v>41</v>
      </c>
      <c r="E12" s="65"/>
      <c r="F12" s="66"/>
      <c r="G12" s="66"/>
      <c r="H12" s="66"/>
      <c r="I12" s="66"/>
      <c r="J12" s="66"/>
      <c r="K12" s="67">
        <f>SUM(K13:K32)</f>
        <v>0</v>
      </c>
    </row>
    <row r="13" spans="1:14" x14ac:dyDescent="0.3">
      <c r="A13" s="13"/>
      <c r="B13" s="14"/>
      <c r="C13" s="14"/>
      <c r="D13" s="15"/>
      <c r="E13" s="16"/>
      <c r="F13" s="17"/>
      <c r="G13" s="17"/>
      <c r="H13" s="17">
        <f t="shared" ref="H13:H32" si="0">ROUND(G13*$N$6,2)</f>
        <v>0</v>
      </c>
      <c r="I13" s="17">
        <f t="shared" ref="I13:I32" si="1">ROUND(H13*$N$8,2)</f>
        <v>0</v>
      </c>
      <c r="J13" s="17">
        <f t="shared" ref="J13:J32" si="2">ROUND(I13*$N$4,2)</f>
        <v>0</v>
      </c>
      <c r="K13" s="18">
        <f>ROUND(J13*F13,2)</f>
        <v>0</v>
      </c>
    </row>
    <row r="14" spans="1:14" x14ac:dyDescent="0.3">
      <c r="A14" s="13"/>
      <c r="B14" s="14"/>
      <c r="C14" s="14"/>
      <c r="D14" s="15"/>
      <c r="E14" s="16"/>
      <c r="F14" s="17"/>
      <c r="G14" s="17"/>
      <c r="H14" s="17">
        <f t="shared" si="0"/>
        <v>0</v>
      </c>
      <c r="I14" s="17">
        <f t="shared" si="1"/>
        <v>0</v>
      </c>
      <c r="J14" s="17">
        <f t="shared" si="2"/>
        <v>0</v>
      </c>
      <c r="K14" s="18">
        <f t="shared" ref="K14:K32" si="3">ROUND(J14*F14,2)</f>
        <v>0</v>
      </c>
    </row>
    <row r="15" spans="1:14" x14ac:dyDescent="0.3">
      <c r="A15" s="13"/>
      <c r="B15" s="14"/>
      <c r="C15" s="14"/>
      <c r="D15" s="15"/>
      <c r="E15" s="16"/>
      <c r="F15" s="17"/>
      <c r="G15" s="17"/>
      <c r="H15" s="17">
        <f t="shared" si="0"/>
        <v>0</v>
      </c>
      <c r="I15" s="17">
        <f t="shared" si="1"/>
        <v>0</v>
      </c>
      <c r="J15" s="17">
        <f t="shared" si="2"/>
        <v>0</v>
      </c>
      <c r="K15" s="18">
        <f t="shared" si="3"/>
        <v>0</v>
      </c>
    </row>
    <row r="16" spans="1:14" x14ac:dyDescent="0.3">
      <c r="A16" s="13"/>
      <c r="B16" s="14"/>
      <c r="C16" s="14"/>
      <c r="D16" s="15"/>
      <c r="E16" s="16"/>
      <c r="F16" s="17"/>
      <c r="G16" s="17"/>
      <c r="H16" s="17">
        <f t="shared" si="0"/>
        <v>0</v>
      </c>
      <c r="I16" s="17">
        <f t="shared" si="1"/>
        <v>0</v>
      </c>
      <c r="J16" s="17">
        <f t="shared" si="2"/>
        <v>0</v>
      </c>
      <c r="K16" s="18">
        <f t="shared" ref="K16:K26" si="4">ROUND(J16*F16,2)</f>
        <v>0</v>
      </c>
    </row>
    <row r="17" spans="1:11" x14ac:dyDescent="0.3">
      <c r="A17" s="13"/>
      <c r="B17" s="14"/>
      <c r="C17" s="14"/>
      <c r="D17" s="15"/>
      <c r="E17" s="16"/>
      <c r="F17" s="17"/>
      <c r="G17" s="17"/>
      <c r="H17" s="17">
        <f t="shared" si="0"/>
        <v>0</v>
      </c>
      <c r="I17" s="17">
        <f t="shared" si="1"/>
        <v>0</v>
      </c>
      <c r="J17" s="17">
        <f t="shared" si="2"/>
        <v>0</v>
      </c>
      <c r="K17" s="18">
        <f t="shared" si="4"/>
        <v>0</v>
      </c>
    </row>
    <row r="18" spans="1:11" x14ac:dyDescent="0.3">
      <c r="A18" s="13"/>
      <c r="B18" s="14"/>
      <c r="C18" s="14"/>
      <c r="D18" s="15"/>
      <c r="E18" s="16"/>
      <c r="F18" s="17"/>
      <c r="G18" s="17"/>
      <c r="H18" s="17">
        <f t="shared" si="0"/>
        <v>0</v>
      </c>
      <c r="I18" s="17">
        <f t="shared" si="1"/>
        <v>0</v>
      </c>
      <c r="J18" s="17">
        <f t="shared" si="2"/>
        <v>0</v>
      </c>
      <c r="K18" s="18">
        <f t="shared" si="4"/>
        <v>0</v>
      </c>
    </row>
    <row r="19" spans="1:11" x14ac:dyDescent="0.3">
      <c r="A19" s="13"/>
      <c r="B19" s="14"/>
      <c r="C19" s="14"/>
      <c r="D19" s="15"/>
      <c r="E19" s="16"/>
      <c r="F19" s="17"/>
      <c r="G19" s="17"/>
      <c r="H19" s="17">
        <f t="shared" si="0"/>
        <v>0</v>
      </c>
      <c r="I19" s="17">
        <f t="shared" si="1"/>
        <v>0</v>
      </c>
      <c r="J19" s="17">
        <f t="shared" si="2"/>
        <v>0</v>
      </c>
      <c r="K19" s="18">
        <f t="shared" si="4"/>
        <v>0</v>
      </c>
    </row>
    <row r="20" spans="1:11" x14ac:dyDescent="0.3">
      <c r="A20" s="13"/>
      <c r="B20" s="14"/>
      <c r="C20" s="14"/>
      <c r="D20" s="15"/>
      <c r="E20" s="16"/>
      <c r="F20" s="17"/>
      <c r="G20" s="17"/>
      <c r="H20" s="17">
        <f t="shared" si="0"/>
        <v>0</v>
      </c>
      <c r="I20" s="17">
        <f t="shared" si="1"/>
        <v>0</v>
      </c>
      <c r="J20" s="17">
        <f t="shared" si="2"/>
        <v>0</v>
      </c>
      <c r="K20" s="18">
        <f t="shared" si="4"/>
        <v>0</v>
      </c>
    </row>
    <row r="21" spans="1:11" x14ac:dyDescent="0.3">
      <c r="A21" s="13"/>
      <c r="B21" s="14"/>
      <c r="C21" s="14"/>
      <c r="D21" s="15"/>
      <c r="E21" s="16"/>
      <c r="F21" s="17"/>
      <c r="G21" s="17"/>
      <c r="H21" s="17">
        <f t="shared" si="0"/>
        <v>0</v>
      </c>
      <c r="I21" s="17">
        <f t="shared" si="1"/>
        <v>0</v>
      </c>
      <c r="J21" s="17">
        <f t="shared" si="2"/>
        <v>0</v>
      </c>
      <c r="K21" s="18">
        <f t="shared" si="4"/>
        <v>0</v>
      </c>
    </row>
    <row r="22" spans="1:11" x14ac:dyDescent="0.3">
      <c r="A22" s="13"/>
      <c r="B22" s="14"/>
      <c r="C22" s="14"/>
      <c r="D22" s="15"/>
      <c r="E22" s="16"/>
      <c r="F22" s="17"/>
      <c r="G22" s="17"/>
      <c r="H22" s="17">
        <f t="shared" si="0"/>
        <v>0</v>
      </c>
      <c r="I22" s="17">
        <f t="shared" si="1"/>
        <v>0</v>
      </c>
      <c r="J22" s="17">
        <f t="shared" si="2"/>
        <v>0</v>
      </c>
      <c r="K22" s="18">
        <f t="shared" si="4"/>
        <v>0</v>
      </c>
    </row>
    <row r="23" spans="1:11" x14ac:dyDescent="0.3">
      <c r="A23" s="13"/>
      <c r="B23" s="14"/>
      <c r="C23" s="14"/>
      <c r="D23" s="15"/>
      <c r="E23" s="16"/>
      <c r="F23" s="17"/>
      <c r="G23" s="17"/>
      <c r="H23" s="17">
        <f t="shared" si="0"/>
        <v>0</v>
      </c>
      <c r="I23" s="17">
        <f t="shared" si="1"/>
        <v>0</v>
      </c>
      <c r="J23" s="17">
        <f t="shared" si="2"/>
        <v>0</v>
      </c>
      <c r="K23" s="18">
        <f t="shared" si="4"/>
        <v>0</v>
      </c>
    </row>
    <row r="24" spans="1:11" x14ac:dyDescent="0.3">
      <c r="A24" s="13"/>
      <c r="B24" s="14"/>
      <c r="C24" s="14"/>
      <c r="D24" s="15"/>
      <c r="E24" s="16"/>
      <c r="F24" s="17"/>
      <c r="G24" s="17"/>
      <c r="H24" s="17">
        <f t="shared" si="0"/>
        <v>0</v>
      </c>
      <c r="I24" s="17">
        <f t="shared" si="1"/>
        <v>0</v>
      </c>
      <c r="J24" s="17">
        <f t="shared" si="2"/>
        <v>0</v>
      </c>
      <c r="K24" s="18">
        <f t="shared" si="4"/>
        <v>0</v>
      </c>
    </row>
    <row r="25" spans="1:11" x14ac:dyDescent="0.3">
      <c r="A25" s="13"/>
      <c r="B25" s="14"/>
      <c r="C25" s="14"/>
      <c r="D25" s="15"/>
      <c r="E25" s="16"/>
      <c r="F25" s="17"/>
      <c r="G25" s="17"/>
      <c r="H25" s="17">
        <f t="shared" si="0"/>
        <v>0</v>
      </c>
      <c r="I25" s="17">
        <f t="shared" si="1"/>
        <v>0</v>
      </c>
      <c r="J25" s="17">
        <f t="shared" si="2"/>
        <v>0</v>
      </c>
      <c r="K25" s="18">
        <f t="shared" si="4"/>
        <v>0</v>
      </c>
    </row>
    <row r="26" spans="1:11" x14ac:dyDescent="0.3">
      <c r="A26" s="13"/>
      <c r="B26" s="14"/>
      <c r="C26" s="14"/>
      <c r="D26" s="15"/>
      <c r="E26" s="16"/>
      <c r="F26" s="17"/>
      <c r="G26" s="17"/>
      <c r="H26" s="17">
        <f t="shared" si="0"/>
        <v>0</v>
      </c>
      <c r="I26" s="17">
        <f t="shared" si="1"/>
        <v>0</v>
      </c>
      <c r="J26" s="17">
        <f t="shared" si="2"/>
        <v>0</v>
      </c>
      <c r="K26" s="18">
        <f t="shared" si="4"/>
        <v>0</v>
      </c>
    </row>
    <row r="27" spans="1:11" x14ac:dyDescent="0.3">
      <c r="A27" s="13"/>
      <c r="B27" s="14"/>
      <c r="C27" s="14"/>
      <c r="D27" s="15"/>
      <c r="E27" s="16"/>
      <c r="F27" s="17"/>
      <c r="G27" s="17"/>
      <c r="H27" s="17">
        <f t="shared" si="0"/>
        <v>0</v>
      </c>
      <c r="I27" s="17">
        <f t="shared" si="1"/>
        <v>0</v>
      </c>
      <c r="J27" s="17">
        <f t="shared" si="2"/>
        <v>0</v>
      </c>
      <c r="K27" s="18">
        <f t="shared" si="3"/>
        <v>0</v>
      </c>
    </row>
    <row r="28" spans="1:11" x14ac:dyDescent="0.3">
      <c r="A28" s="13"/>
      <c r="B28" s="14"/>
      <c r="C28" s="14"/>
      <c r="D28" s="15"/>
      <c r="E28" s="16"/>
      <c r="F28" s="17"/>
      <c r="G28" s="17"/>
      <c r="H28" s="17">
        <f t="shared" si="0"/>
        <v>0</v>
      </c>
      <c r="I28" s="17">
        <f t="shared" si="1"/>
        <v>0</v>
      </c>
      <c r="J28" s="17">
        <f t="shared" si="2"/>
        <v>0</v>
      </c>
      <c r="K28" s="18">
        <f t="shared" si="3"/>
        <v>0</v>
      </c>
    </row>
    <row r="29" spans="1:11" x14ac:dyDescent="0.3">
      <c r="A29" s="13"/>
      <c r="B29" s="14"/>
      <c r="C29" s="14"/>
      <c r="D29" s="15"/>
      <c r="E29" s="16"/>
      <c r="F29" s="17"/>
      <c r="G29" s="17"/>
      <c r="H29" s="17">
        <f t="shared" si="0"/>
        <v>0</v>
      </c>
      <c r="I29" s="17">
        <f t="shared" si="1"/>
        <v>0</v>
      </c>
      <c r="J29" s="17">
        <f t="shared" si="2"/>
        <v>0</v>
      </c>
      <c r="K29" s="18">
        <f t="shared" si="3"/>
        <v>0</v>
      </c>
    </row>
    <row r="30" spans="1:11" x14ac:dyDescent="0.3">
      <c r="A30" s="13"/>
      <c r="B30" s="14"/>
      <c r="C30" s="14"/>
      <c r="D30" s="15"/>
      <c r="E30" s="16"/>
      <c r="F30" s="17"/>
      <c r="G30" s="17"/>
      <c r="H30" s="17">
        <f t="shared" si="0"/>
        <v>0</v>
      </c>
      <c r="I30" s="17">
        <f t="shared" si="1"/>
        <v>0</v>
      </c>
      <c r="J30" s="17">
        <f t="shared" si="2"/>
        <v>0</v>
      </c>
      <c r="K30" s="18">
        <f t="shared" si="3"/>
        <v>0</v>
      </c>
    </row>
    <row r="31" spans="1:11" x14ac:dyDescent="0.3">
      <c r="A31" s="13"/>
      <c r="B31" s="14"/>
      <c r="C31" s="14"/>
      <c r="D31" s="15"/>
      <c r="E31" s="16"/>
      <c r="F31" s="17"/>
      <c r="G31" s="17"/>
      <c r="H31" s="17">
        <f t="shared" si="0"/>
        <v>0</v>
      </c>
      <c r="I31" s="17">
        <f t="shared" si="1"/>
        <v>0</v>
      </c>
      <c r="J31" s="17">
        <f t="shared" si="2"/>
        <v>0</v>
      </c>
      <c r="K31" s="18">
        <f t="shared" si="3"/>
        <v>0</v>
      </c>
    </row>
    <row r="32" spans="1:11" ht="15" thickBot="1" x14ac:dyDescent="0.35">
      <c r="A32" s="19"/>
      <c r="B32" s="20"/>
      <c r="C32" s="20"/>
      <c r="D32" s="21"/>
      <c r="E32" s="22"/>
      <c r="F32" s="23"/>
      <c r="G32" s="23"/>
      <c r="H32" s="23">
        <f t="shared" si="0"/>
        <v>0</v>
      </c>
      <c r="I32" s="23">
        <f t="shared" si="1"/>
        <v>0</v>
      </c>
      <c r="J32" s="23">
        <f t="shared" si="2"/>
        <v>0</v>
      </c>
      <c r="K32" s="24">
        <f t="shared" si="3"/>
        <v>0</v>
      </c>
    </row>
    <row r="33" spans="1:15" ht="25.2" customHeight="1" thickBot="1" x14ac:dyDescent="0.35">
      <c r="A33" s="1"/>
      <c r="B33" s="1"/>
      <c r="C33" s="1"/>
      <c r="D33" s="2"/>
      <c r="E33" s="1"/>
      <c r="F33" s="1"/>
      <c r="G33" s="515" t="s">
        <v>12</v>
      </c>
      <c r="H33" s="630"/>
      <c r="I33" s="630"/>
      <c r="J33" s="516"/>
      <c r="K33" s="12">
        <f>ROUND(K35/$N$4,2)</f>
        <v>0</v>
      </c>
    </row>
    <row r="34" spans="1:15" ht="25.2" customHeight="1" thickBot="1" x14ac:dyDescent="0.35">
      <c r="A34" s="1"/>
      <c r="B34" s="1"/>
      <c r="C34" s="1"/>
      <c r="D34" s="2"/>
      <c r="E34" s="1"/>
      <c r="F34" s="1"/>
      <c r="G34" s="515" t="s">
        <v>13</v>
      </c>
      <c r="H34" s="630"/>
      <c r="I34" s="630"/>
      <c r="J34" s="516"/>
      <c r="K34" s="12">
        <f>K35-K33</f>
        <v>0</v>
      </c>
    </row>
    <row r="35" spans="1:15" ht="25.2" customHeight="1" thickBot="1" x14ac:dyDescent="0.35">
      <c r="A35" s="1"/>
      <c r="B35" s="1"/>
      <c r="C35" s="1"/>
      <c r="D35" s="2"/>
      <c r="E35" s="1"/>
      <c r="F35" s="1"/>
      <c r="G35" s="515" t="s">
        <v>14</v>
      </c>
      <c r="H35" s="630"/>
      <c r="I35" s="630"/>
      <c r="J35" s="516"/>
      <c r="K35" s="12">
        <f>K12</f>
        <v>0</v>
      </c>
    </row>
    <row r="36" spans="1:15" x14ac:dyDescent="0.3">
      <c r="A36" s="1"/>
      <c r="B36" s="1"/>
      <c r="C36" s="1"/>
      <c r="D36" s="2"/>
      <c r="E36" s="1"/>
      <c r="F36" s="1"/>
      <c r="G36" s="1"/>
      <c r="H36" s="1"/>
      <c r="I36" s="1"/>
      <c r="J36" s="1"/>
      <c r="K36" s="1"/>
    </row>
    <row r="37" spans="1:15" x14ac:dyDescent="0.3">
      <c r="A37" s="1"/>
      <c r="B37" s="1"/>
      <c r="C37" s="1"/>
      <c r="D37" s="2"/>
      <c r="E37" s="1"/>
      <c r="F37" s="1"/>
      <c r="G37" s="1"/>
      <c r="H37" s="1"/>
      <c r="I37" s="1"/>
      <c r="J37" s="1"/>
      <c r="K37" s="1"/>
    </row>
    <row r="38" spans="1:15" x14ac:dyDescent="0.3">
      <c r="A38" s="517" t="str">
        <f>DADOS!B5</f>
        <v>SÃO FELIPE/BA</v>
      </c>
      <c r="B38" s="517"/>
      <c r="C38" s="517"/>
      <c r="D38" s="517"/>
      <c r="E38" s="1"/>
      <c r="F38" s="1"/>
      <c r="G38" s="518">
        <f ca="1">DADOS!B18</f>
        <v>45812</v>
      </c>
      <c r="H38" s="518"/>
      <c r="I38" s="518"/>
      <c r="J38" s="518"/>
      <c r="K38" s="518"/>
    </row>
    <row r="39" spans="1:15" x14ac:dyDescent="0.3">
      <c r="A39" s="520" t="s">
        <v>20</v>
      </c>
      <c r="B39" s="520"/>
      <c r="C39" s="520"/>
      <c r="D39" s="520"/>
      <c r="E39" s="1"/>
      <c r="F39" s="1"/>
      <c r="G39" s="520" t="s">
        <v>21</v>
      </c>
      <c r="H39" s="520"/>
      <c r="I39" s="520"/>
      <c r="J39" s="520"/>
      <c r="K39" s="520"/>
    </row>
    <row r="40" spans="1:15" x14ac:dyDescent="0.3">
      <c r="A40" s="1"/>
      <c r="B40" s="1"/>
      <c r="C40" s="1"/>
      <c r="D40" s="2"/>
      <c r="E40" s="1"/>
      <c r="F40" s="1"/>
      <c r="G40" s="1"/>
      <c r="H40" s="1"/>
      <c r="I40" s="1"/>
      <c r="J40" s="1"/>
      <c r="K40" s="1"/>
    </row>
    <row r="44" spans="1:15" s="89" customFormat="1" ht="13.8" x14ac:dyDescent="0.25">
      <c r="A44" s="513"/>
      <c r="B44" s="513"/>
      <c r="C44" s="513"/>
      <c r="D44" s="513"/>
      <c r="E44" s="1"/>
      <c r="F44" s="1"/>
      <c r="G44" s="1"/>
      <c r="H44" s="1"/>
      <c r="I44" s="1"/>
      <c r="J44" s="1"/>
      <c r="K44" s="1"/>
      <c r="M44" s="1"/>
      <c r="N44" s="1"/>
      <c r="O44" s="1"/>
    </row>
    <row r="45" spans="1:15" s="89" customFormat="1" ht="13.8" x14ac:dyDescent="0.25">
      <c r="A45" s="625" t="s">
        <v>23</v>
      </c>
      <c r="B45" s="625"/>
      <c r="C45" s="625"/>
      <c r="D45" s="625"/>
      <c r="E45" s="1"/>
      <c r="F45" s="1"/>
      <c r="G45" s="1"/>
      <c r="H45" s="1"/>
      <c r="I45" s="1"/>
      <c r="J45" s="1"/>
      <c r="K45" s="1"/>
      <c r="M45" s="1"/>
      <c r="N45" s="1"/>
      <c r="O45" s="1"/>
    </row>
    <row r="46" spans="1:15" s="89" customFormat="1" ht="13.8" x14ac:dyDescent="0.25">
      <c r="A46" s="511" t="s">
        <v>22</v>
      </c>
      <c r="B46" s="511"/>
      <c r="C46" s="512" t="str">
        <f>DADOS!B15</f>
        <v>Eliabe Vitória Souza</v>
      </c>
      <c r="D46" s="512"/>
      <c r="E46" s="1"/>
      <c r="F46" s="1"/>
      <c r="G46" s="1"/>
      <c r="H46" s="1"/>
      <c r="I46" s="1"/>
      <c r="J46" s="1"/>
      <c r="K46" s="1"/>
      <c r="M46" s="1"/>
      <c r="N46" s="1"/>
      <c r="O46" s="1"/>
    </row>
    <row r="47" spans="1:15" s="89" customFormat="1" ht="13.8" x14ac:dyDescent="0.25">
      <c r="A47" s="511" t="s">
        <v>24</v>
      </c>
      <c r="B47" s="511"/>
      <c r="C47" s="512" t="str">
        <f>DADOS!B16</f>
        <v>Engenheiro Civil</v>
      </c>
      <c r="D47" s="512"/>
      <c r="E47" s="1"/>
      <c r="F47" s="1"/>
      <c r="G47" s="1"/>
      <c r="H47" s="1"/>
      <c r="I47" s="1"/>
      <c r="J47" s="1"/>
      <c r="K47" s="1"/>
      <c r="M47" s="1"/>
      <c r="N47" s="1"/>
      <c r="O47" s="1"/>
    </row>
    <row r="48" spans="1:15" s="89" customFormat="1" ht="13.8" x14ac:dyDescent="0.25">
      <c r="A48" s="511" t="s">
        <v>25</v>
      </c>
      <c r="B48" s="511"/>
      <c r="C48" s="512" t="str">
        <f>DADOS!B17</f>
        <v>CREA/BA:051487735-9</v>
      </c>
      <c r="D48" s="512"/>
      <c r="E48" s="1"/>
      <c r="F48" s="1"/>
      <c r="G48" s="1"/>
      <c r="H48" s="1"/>
      <c r="I48" s="1"/>
      <c r="J48" s="1"/>
      <c r="K48" s="1"/>
      <c r="M48" s="1"/>
      <c r="N48" s="1"/>
      <c r="O48" s="1"/>
    </row>
  </sheetData>
  <mergeCells count="29">
    <mergeCell ref="A48:B48"/>
    <mergeCell ref="C48:D48"/>
    <mergeCell ref="A1:F1"/>
    <mergeCell ref="A2:F2"/>
    <mergeCell ref="A3:F3"/>
    <mergeCell ref="A5:D5"/>
    <mergeCell ref="E5:I5"/>
    <mergeCell ref="A6:D6"/>
    <mergeCell ref="E6:I6"/>
    <mergeCell ref="A7:D7"/>
    <mergeCell ref="E7:F7"/>
    <mergeCell ref="G7:H7"/>
    <mergeCell ref="A8:D8"/>
    <mergeCell ref="E8:F8"/>
    <mergeCell ref="G8:H8"/>
    <mergeCell ref="A44:D44"/>
    <mergeCell ref="A45:D45"/>
    <mergeCell ref="A46:B46"/>
    <mergeCell ref="C46:D46"/>
    <mergeCell ref="A47:B47"/>
    <mergeCell ref="C47:D47"/>
    <mergeCell ref="A9:K9"/>
    <mergeCell ref="A39:D39"/>
    <mergeCell ref="G39:K39"/>
    <mergeCell ref="G33:J33"/>
    <mergeCell ref="G34:J34"/>
    <mergeCell ref="G35:J35"/>
    <mergeCell ref="A38:D38"/>
    <mergeCell ref="G38:K38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76" fitToHeight="0" orientation="landscape" r:id="rId1"/>
  <headerFooter>
    <oddFooter>&amp;RPágina &amp;P de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Planilha15">
    <pageSetUpPr fitToPage="1"/>
  </sheetPr>
  <dimension ref="A1:O77"/>
  <sheetViews>
    <sheetView showGridLines="0" zoomScale="85" zoomScaleNormal="85" workbookViewId="0">
      <selection activeCell="N9" sqref="N9:O9"/>
    </sheetView>
  </sheetViews>
  <sheetFormatPr defaultColWidth="8.88671875" defaultRowHeight="13.8" x14ac:dyDescent="0.25"/>
  <cols>
    <col min="1" max="1" width="7.6640625" style="206" customWidth="1"/>
    <col min="2" max="2" width="10.6640625" style="206" customWidth="1"/>
    <col min="3" max="3" width="8.6640625" style="206" customWidth="1"/>
    <col min="4" max="4" width="58.44140625" style="206" customWidth="1"/>
    <col min="5" max="5" width="5.6640625" style="206" customWidth="1"/>
    <col min="6" max="6" width="10.109375" style="206" customWidth="1"/>
    <col min="7" max="7" width="15.6640625" style="206" customWidth="1"/>
    <col min="8" max="8" width="16.88671875" style="206" customWidth="1"/>
    <col min="9" max="9" width="2.5546875" style="206" customWidth="1"/>
    <col min="10" max="15" width="14.6640625" style="206" customWidth="1"/>
    <col min="16" max="16384" width="8.88671875" style="89"/>
  </cols>
  <sheetData>
    <row r="1" spans="1:15" customFormat="1" ht="30" customHeight="1" x14ac:dyDescent="0.3">
      <c r="A1" s="507" t="s">
        <v>167</v>
      </c>
      <c r="B1" s="507"/>
      <c r="C1" s="507"/>
      <c r="D1" s="507"/>
      <c r="E1" s="507"/>
      <c r="F1" s="507"/>
      <c r="G1" s="191"/>
      <c r="H1" s="127"/>
      <c r="I1" s="127"/>
      <c r="J1" s="127"/>
      <c r="K1" s="127"/>
      <c r="L1" s="127"/>
      <c r="M1" s="127"/>
      <c r="N1" s="127"/>
      <c r="O1" s="127"/>
    </row>
    <row r="2" spans="1:15" customFormat="1" ht="13.5" customHeight="1" thickBot="1" x14ac:dyDescent="0.35">
      <c r="A2" s="497" t="s">
        <v>168</v>
      </c>
      <c r="B2" s="497"/>
      <c r="C2" s="497"/>
      <c r="D2" s="497"/>
      <c r="E2" s="497"/>
      <c r="F2" s="497"/>
      <c r="G2" s="191"/>
      <c r="H2" s="127"/>
      <c r="I2" s="127"/>
      <c r="J2" s="127"/>
      <c r="K2" s="127"/>
      <c r="L2" s="127"/>
      <c r="M2" s="127"/>
      <c r="N2" s="127"/>
      <c r="O2" s="127"/>
    </row>
    <row r="3" spans="1:15" customFormat="1" ht="27.75" customHeight="1" thickBot="1" x14ac:dyDescent="0.35">
      <c r="A3" s="496" t="s">
        <v>170</v>
      </c>
      <c r="B3" s="496"/>
      <c r="C3" s="496"/>
      <c r="D3" s="496"/>
      <c r="E3" s="496"/>
      <c r="F3" s="496"/>
      <c r="G3" s="192"/>
      <c r="H3" s="127"/>
      <c r="I3" s="127"/>
      <c r="J3" s="180"/>
      <c r="K3" s="180"/>
      <c r="L3" s="206"/>
      <c r="M3" s="206"/>
      <c r="N3" s="631" t="s">
        <v>104</v>
      </c>
      <c r="O3" s="632"/>
    </row>
    <row r="4" spans="1:15" customFormat="1" ht="31.95" customHeight="1" thickTop="1" thickBot="1" x14ac:dyDescent="0.35">
      <c r="A4" s="29"/>
      <c r="B4" s="29"/>
      <c r="C4" s="29"/>
      <c r="D4" s="126"/>
      <c r="E4" s="29"/>
      <c r="F4" s="29"/>
      <c r="G4" s="29"/>
      <c r="H4" s="29"/>
      <c r="I4" s="29"/>
      <c r="J4" s="76"/>
      <c r="K4" s="76"/>
      <c r="L4" s="206"/>
      <c r="M4" s="206"/>
      <c r="N4" s="633">
        <v>1</v>
      </c>
      <c r="O4" s="634"/>
    </row>
    <row r="5" spans="1:15" s="36" customFormat="1" ht="14.4" thickBot="1" x14ac:dyDescent="0.3">
      <c r="A5" s="521" t="s">
        <v>0</v>
      </c>
      <c r="B5" s="521"/>
      <c r="C5" s="521"/>
      <c r="D5" s="521"/>
      <c r="E5" s="198" t="s">
        <v>1</v>
      </c>
      <c r="F5" s="198"/>
      <c r="G5" s="198"/>
      <c r="H5" s="198"/>
      <c r="I5" s="199"/>
      <c r="J5" s="29"/>
      <c r="K5" s="29"/>
      <c r="L5" s="206"/>
      <c r="M5" s="206"/>
      <c r="N5" s="206"/>
      <c r="O5" s="206"/>
    </row>
    <row r="6" spans="1:15" customFormat="1" ht="30" customHeight="1" thickBot="1" x14ac:dyDescent="0.35">
      <c r="A6" s="656" t="str">
        <f>DADOS!B4</f>
        <v>PREFEITURA MUNICIPAL DE SÃO FELIPE/BA</v>
      </c>
      <c r="B6" s="656"/>
      <c r="C6" s="656"/>
      <c r="D6" s="656"/>
      <c r="E6" s="662" t="str">
        <f>DADOS!B8</f>
        <v>PAVIMENTAÇÃO ASFÁLTICA DIVERSAS RUAS, NO MUNICÍPIO DE SÃO FELIPE/BA</v>
      </c>
      <c r="F6" s="662"/>
      <c r="G6" s="662"/>
      <c r="H6" s="662"/>
      <c r="I6" s="132"/>
      <c r="J6" s="655" t="s">
        <v>57</v>
      </c>
      <c r="K6" s="655"/>
      <c r="L6" s="655" t="s">
        <v>59</v>
      </c>
      <c r="M6" s="660"/>
      <c r="N6" s="651" t="s">
        <v>61</v>
      </c>
      <c r="O6" s="652"/>
    </row>
    <row r="7" spans="1:15" s="36" customFormat="1" ht="15" thickTop="1" thickBot="1" x14ac:dyDescent="0.3">
      <c r="A7" s="521" t="s">
        <v>15</v>
      </c>
      <c r="B7" s="521"/>
      <c r="C7" s="521"/>
      <c r="D7" s="521"/>
      <c r="E7" s="521" t="s">
        <v>16</v>
      </c>
      <c r="F7" s="521"/>
      <c r="G7" s="198" t="s">
        <v>169</v>
      </c>
      <c r="H7" s="198" t="s">
        <v>171</v>
      </c>
      <c r="I7" s="197"/>
      <c r="J7" s="663">
        <f>DADOS!B28</f>
        <v>0</v>
      </c>
      <c r="K7" s="663"/>
      <c r="L7" s="658"/>
      <c r="M7" s="659"/>
      <c r="N7" s="653"/>
      <c r="O7" s="654"/>
    </row>
    <row r="8" spans="1:15" customFormat="1" ht="30" customHeight="1" thickBot="1" x14ac:dyDescent="0.35">
      <c r="A8" s="656" t="str">
        <f>DADOS!B5</f>
        <v>SÃO FELIPE/BA</v>
      </c>
      <c r="B8" s="656"/>
      <c r="C8" s="656"/>
      <c r="D8" s="656"/>
      <c r="E8" s="661">
        <f ca="1">DADOS!B18</f>
        <v>45812</v>
      </c>
      <c r="F8" s="661"/>
      <c r="G8" s="132" t="str">
        <f>DADOS!B10</f>
        <v>SINAPI - 01/2025 - Bahia
SICRO3 - 10/2024 - Bahia
ORSE - 12/2024 - Sergipe</v>
      </c>
      <c r="H8" s="207">
        <f>DADOS!B11</f>
        <v>0.2009</v>
      </c>
      <c r="I8" s="208"/>
      <c r="J8" s="655" t="s">
        <v>58</v>
      </c>
      <c r="K8" s="655"/>
      <c r="L8" s="655" t="s">
        <v>60</v>
      </c>
      <c r="M8" s="660"/>
      <c r="N8" s="651" t="s">
        <v>56</v>
      </c>
      <c r="O8" s="652"/>
    </row>
    <row r="9" spans="1:15" ht="21" customHeight="1" thickTop="1" thickBot="1" x14ac:dyDescent="0.3">
      <c r="I9" s="85"/>
      <c r="J9" s="644">
        <f>DADOS!B30</f>
        <v>0</v>
      </c>
      <c r="K9" s="644"/>
      <c r="L9" s="640"/>
      <c r="M9" s="641"/>
      <c r="N9" s="642">
        <f>N60</f>
        <v>0</v>
      </c>
      <c r="O9" s="643"/>
    </row>
    <row r="10" spans="1:15" ht="21" customHeight="1" x14ac:dyDescent="0.25">
      <c r="A10" s="497" t="s">
        <v>105</v>
      </c>
      <c r="B10" s="497"/>
      <c r="C10" s="497"/>
      <c r="D10" s="497"/>
      <c r="E10" s="497"/>
      <c r="F10" s="497"/>
      <c r="G10" s="497"/>
      <c r="H10" s="497"/>
      <c r="I10" s="497"/>
      <c r="J10" s="61"/>
      <c r="K10" s="61"/>
      <c r="L10" s="200"/>
      <c r="M10" s="201"/>
      <c r="N10" s="202"/>
      <c r="O10" s="202"/>
    </row>
    <row r="11" spans="1:15" ht="15" customHeight="1" thickBot="1" x14ac:dyDescent="0.3">
      <c r="A11" s="29"/>
      <c r="B11" s="29"/>
      <c r="C11" s="29"/>
      <c r="D11" s="126"/>
      <c r="E11" s="29"/>
      <c r="F11" s="29"/>
      <c r="G11" s="29"/>
      <c r="H11" s="29"/>
      <c r="I11" s="76"/>
    </row>
    <row r="12" spans="1:15" ht="25.95" customHeight="1" x14ac:dyDescent="0.25">
      <c r="A12" s="182" t="s">
        <v>2</v>
      </c>
      <c r="B12" s="181" t="s">
        <v>3</v>
      </c>
      <c r="C12" s="181" t="s">
        <v>4</v>
      </c>
      <c r="D12" s="181" t="s">
        <v>5</v>
      </c>
      <c r="E12" s="181" t="s">
        <v>6</v>
      </c>
      <c r="F12" s="181" t="s">
        <v>27</v>
      </c>
      <c r="G12" s="181" t="s">
        <v>9</v>
      </c>
      <c r="H12" s="183" t="s">
        <v>10</v>
      </c>
      <c r="I12" s="29"/>
      <c r="J12" s="645" t="s">
        <v>49</v>
      </c>
      <c r="K12" s="646"/>
      <c r="L12" s="647"/>
      <c r="M12" s="648" t="s">
        <v>53</v>
      </c>
      <c r="N12" s="649"/>
      <c r="O12" s="650"/>
    </row>
    <row r="13" spans="1:15" s="90" customFormat="1" ht="25.95" customHeight="1" x14ac:dyDescent="0.2">
      <c r="A13" s="209">
        <v>1</v>
      </c>
      <c r="B13" s="210"/>
      <c r="C13" s="210"/>
      <c r="D13" s="211" t="s">
        <v>11</v>
      </c>
      <c r="E13" s="212"/>
      <c r="F13" s="213"/>
      <c r="G13" s="213"/>
      <c r="H13" s="214"/>
      <c r="I13" s="86"/>
      <c r="J13" s="205" t="s">
        <v>50</v>
      </c>
      <c r="K13" s="203" t="s">
        <v>51</v>
      </c>
      <c r="L13" s="204" t="s">
        <v>52</v>
      </c>
      <c r="M13" s="186" t="s">
        <v>50</v>
      </c>
      <c r="N13" s="184" t="s">
        <v>51</v>
      </c>
      <c r="O13" s="185" t="s">
        <v>52</v>
      </c>
    </row>
    <row r="14" spans="1:15" x14ac:dyDescent="0.25">
      <c r="A14" s="98"/>
      <c r="B14" s="215"/>
      <c r="C14" s="215"/>
      <c r="D14" s="216"/>
      <c r="E14" s="217"/>
      <c r="F14" s="218"/>
      <c r="G14" s="218"/>
      <c r="H14" s="219"/>
      <c r="I14" s="220"/>
      <c r="J14" s="221"/>
      <c r="K14" s="222"/>
      <c r="L14" s="223"/>
      <c r="M14" s="224">
        <f>ROUND(J14*G14,2)</f>
        <v>0</v>
      </c>
      <c r="N14" s="225">
        <f>ROUND(K14*G14,2)</f>
        <v>0</v>
      </c>
      <c r="O14" s="223">
        <f t="shared" ref="O14" si="0">M14+N14</f>
        <v>0</v>
      </c>
    </row>
    <row r="15" spans="1:15" x14ac:dyDescent="0.25">
      <c r="A15" s="98"/>
      <c r="B15" s="215"/>
      <c r="C15" s="215"/>
      <c r="D15" s="216"/>
      <c r="E15" s="217"/>
      <c r="F15" s="218"/>
      <c r="G15" s="218"/>
      <c r="H15" s="219"/>
      <c r="I15" s="226"/>
      <c r="J15" s="221"/>
      <c r="K15" s="222"/>
      <c r="L15" s="223"/>
      <c r="M15" s="224">
        <f t="shared" ref="M15:M56" si="1">ROUND(J15*G15,2)</f>
        <v>0</v>
      </c>
      <c r="N15" s="225">
        <f t="shared" ref="N15:N56" si="2">ROUND(K15*G15,2)</f>
        <v>0</v>
      </c>
      <c r="O15" s="223">
        <f t="shared" ref="O15:O56" si="3">M15+N15</f>
        <v>0</v>
      </c>
    </row>
    <row r="16" spans="1:15" x14ac:dyDescent="0.25">
      <c r="A16" s="98"/>
      <c r="B16" s="215"/>
      <c r="C16" s="215"/>
      <c r="D16" s="216"/>
      <c r="E16" s="217"/>
      <c r="F16" s="218"/>
      <c r="G16" s="218"/>
      <c r="H16" s="219"/>
      <c r="I16" s="226"/>
      <c r="J16" s="221"/>
      <c r="K16" s="222"/>
      <c r="L16" s="223"/>
      <c r="M16" s="224">
        <f t="shared" si="1"/>
        <v>0</v>
      </c>
      <c r="N16" s="225">
        <f t="shared" si="2"/>
        <v>0</v>
      </c>
      <c r="O16" s="223">
        <f t="shared" si="3"/>
        <v>0</v>
      </c>
    </row>
    <row r="17" spans="1:15" x14ac:dyDescent="0.25">
      <c r="A17" s="98"/>
      <c r="B17" s="215"/>
      <c r="C17" s="215"/>
      <c r="D17" s="216"/>
      <c r="E17" s="217"/>
      <c r="F17" s="218"/>
      <c r="G17" s="218"/>
      <c r="H17" s="219"/>
      <c r="I17" s="226"/>
      <c r="J17" s="221"/>
      <c r="K17" s="222"/>
      <c r="L17" s="223"/>
      <c r="M17" s="224">
        <f t="shared" si="1"/>
        <v>0</v>
      </c>
      <c r="N17" s="225">
        <f t="shared" si="2"/>
        <v>0</v>
      </c>
      <c r="O17" s="223">
        <f t="shared" si="3"/>
        <v>0</v>
      </c>
    </row>
    <row r="18" spans="1:15" x14ac:dyDescent="0.25">
      <c r="A18" s="98"/>
      <c r="B18" s="215"/>
      <c r="C18" s="215"/>
      <c r="D18" s="216"/>
      <c r="E18" s="217"/>
      <c r="F18" s="218"/>
      <c r="G18" s="218"/>
      <c r="H18" s="219"/>
      <c r="I18" s="226"/>
      <c r="J18" s="221"/>
      <c r="K18" s="222"/>
      <c r="L18" s="223"/>
      <c r="M18" s="224">
        <f t="shared" si="1"/>
        <v>0</v>
      </c>
      <c r="N18" s="225">
        <f t="shared" si="2"/>
        <v>0</v>
      </c>
      <c r="O18" s="223">
        <f t="shared" si="3"/>
        <v>0</v>
      </c>
    </row>
    <row r="19" spans="1:15" x14ac:dyDescent="0.25">
      <c r="A19" s="98"/>
      <c r="B19" s="215"/>
      <c r="C19" s="215"/>
      <c r="D19" s="216"/>
      <c r="E19" s="217"/>
      <c r="F19" s="218"/>
      <c r="G19" s="218"/>
      <c r="H19" s="219"/>
      <c r="I19" s="226"/>
      <c r="J19" s="221"/>
      <c r="K19" s="222"/>
      <c r="L19" s="223"/>
      <c r="M19" s="224">
        <f t="shared" si="1"/>
        <v>0</v>
      </c>
      <c r="N19" s="225">
        <f t="shared" si="2"/>
        <v>0</v>
      </c>
      <c r="O19" s="223">
        <f t="shared" si="3"/>
        <v>0</v>
      </c>
    </row>
    <row r="20" spans="1:15" x14ac:dyDescent="0.25">
      <c r="A20" s="98"/>
      <c r="B20" s="215"/>
      <c r="C20" s="215"/>
      <c r="D20" s="216"/>
      <c r="E20" s="217"/>
      <c r="F20" s="218"/>
      <c r="G20" s="218"/>
      <c r="H20" s="219"/>
      <c r="I20" s="226"/>
      <c r="J20" s="221"/>
      <c r="K20" s="222"/>
      <c r="L20" s="223"/>
      <c r="M20" s="224">
        <f t="shared" si="1"/>
        <v>0</v>
      </c>
      <c r="N20" s="225">
        <f t="shared" si="2"/>
        <v>0</v>
      </c>
      <c r="O20" s="223">
        <f t="shared" si="3"/>
        <v>0</v>
      </c>
    </row>
    <row r="21" spans="1:15" x14ac:dyDescent="0.25">
      <c r="A21" s="98"/>
      <c r="B21" s="215"/>
      <c r="C21" s="215"/>
      <c r="D21" s="216"/>
      <c r="E21" s="217"/>
      <c r="F21" s="218"/>
      <c r="G21" s="218"/>
      <c r="H21" s="219"/>
      <c r="I21" s="226"/>
      <c r="J21" s="221"/>
      <c r="K21" s="222"/>
      <c r="L21" s="223"/>
      <c r="M21" s="224">
        <f t="shared" si="1"/>
        <v>0</v>
      </c>
      <c r="N21" s="225">
        <f t="shared" si="2"/>
        <v>0</v>
      </c>
      <c r="O21" s="223">
        <f t="shared" si="3"/>
        <v>0</v>
      </c>
    </row>
    <row r="22" spans="1:15" x14ac:dyDescent="0.25">
      <c r="A22" s="98"/>
      <c r="B22" s="215"/>
      <c r="C22" s="215"/>
      <c r="D22" s="216"/>
      <c r="E22" s="217"/>
      <c r="F22" s="218"/>
      <c r="G22" s="218"/>
      <c r="H22" s="219"/>
      <c r="I22" s="226"/>
      <c r="J22" s="221"/>
      <c r="K22" s="222"/>
      <c r="L22" s="223"/>
      <c r="M22" s="224">
        <f t="shared" si="1"/>
        <v>0</v>
      </c>
      <c r="N22" s="225">
        <f t="shared" si="2"/>
        <v>0</v>
      </c>
      <c r="O22" s="223">
        <f t="shared" si="3"/>
        <v>0</v>
      </c>
    </row>
    <row r="23" spans="1:15" x14ac:dyDescent="0.25">
      <c r="A23" s="98"/>
      <c r="B23" s="215"/>
      <c r="C23" s="215"/>
      <c r="D23" s="216"/>
      <c r="E23" s="217"/>
      <c r="F23" s="218"/>
      <c r="G23" s="218"/>
      <c r="H23" s="219"/>
      <c r="I23" s="226"/>
      <c r="J23" s="221"/>
      <c r="K23" s="222"/>
      <c r="L23" s="223"/>
      <c r="M23" s="224">
        <f t="shared" si="1"/>
        <v>0</v>
      </c>
      <c r="N23" s="225">
        <f t="shared" si="2"/>
        <v>0</v>
      </c>
      <c r="O23" s="223">
        <f t="shared" si="3"/>
        <v>0</v>
      </c>
    </row>
    <row r="24" spans="1:15" x14ac:dyDescent="0.25">
      <c r="A24" s="98"/>
      <c r="B24" s="215"/>
      <c r="C24" s="215"/>
      <c r="D24" s="216"/>
      <c r="E24" s="217"/>
      <c r="F24" s="218"/>
      <c r="G24" s="218"/>
      <c r="H24" s="219"/>
      <c r="I24" s="226"/>
      <c r="J24" s="221"/>
      <c r="K24" s="222"/>
      <c r="L24" s="223"/>
      <c r="M24" s="224">
        <f t="shared" si="1"/>
        <v>0</v>
      </c>
      <c r="N24" s="225">
        <f t="shared" si="2"/>
        <v>0</v>
      </c>
      <c r="O24" s="223">
        <f t="shared" si="3"/>
        <v>0</v>
      </c>
    </row>
    <row r="25" spans="1:15" x14ac:dyDescent="0.25">
      <c r="A25" s="98"/>
      <c r="B25" s="215"/>
      <c r="C25" s="215"/>
      <c r="D25" s="216"/>
      <c r="E25" s="217"/>
      <c r="F25" s="218"/>
      <c r="G25" s="218"/>
      <c r="H25" s="219"/>
      <c r="I25" s="226"/>
      <c r="J25" s="221"/>
      <c r="K25" s="222"/>
      <c r="L25" s="223"/>
      <c r="M25" s="224">
        <f t="shared" si="1"/>
        <v>0</v>
      </c>
      <c r="N25" s="225">
        <f t="shared" si="2"/>
        <v>0</v>
      </c>
      <c r="O25" s="223">
        <f t="shared" si="3"/>
        <v>0</v>
      </c>
    </row>
    <row r="26" spans="1:15" x14ac:dyDescent="0.25">
      <c r="A26" s="98"/>
      <c r="B26" s="215"/>
      <c r="C26" s="215"/>
      <c r="D26" s="216"/>
      <c r="E26" s="217"/>
      <c r="F26" s="218"/>
      <c r="G26" s="218"/>
      <c r="H26" s="219"/>
      <c r="I26" s="226"/>
      <c r="J26" s="221"/>
      <c r="K26" s="222"/>
      <c r="L26" s="223"/>
      <c r="M26" s="224">
        <f t="shared" si="1"/>
        <v>0</v>
      </c>
      <c r="N26" s="225">
        <f t="shared" si="2"/>
        <v>0</v>
      </c>
      <c r="O26" s="223">
        <f t="shared" si="3"/>
        <v>0</v>
      </c>
    </row>
    <row r="27" spans="1:15" x14ac:dyDescent="0.25">
      <c r="A27" s="98"/>
      <c r="B27" s="215"/>
      <c r="C27" s="215"/>
      <c r="D27" s="216"/>
      <c r="E27" s="217"/>
      <c r="F27" s="218"/>
      <c r="G27" s="218"/>
      <c r="H27" s="219"/>
      <c r="I27" s="226"/>
      <c r="J27" s="221"/>
      <c r="K27" s="222"/>
      <c r="L27" s="223"/>
      <c r="M27" s="224">
        <f t="shared" si="1"/>
        <v>0</v>
      </c>
      <c r="N27" s="225">
        <f t="shared" si="2"/>
        <v>0</v>
      </c>
      <c r="O27" s="223">
        <f t="shared" si="3"/>
        <v>0</v>
      </c>
    </row>
    <row r="28" spans="1:15" x14ac:dyDescent="0.25">
      <c r="A28" s="98"/>
      <c r="B28" s="215"/>
      <c r="C28" s="215"/>
      <c r="D28" s="216"/>
      <c r="E28" s="217"/>
      <c r="F28" s="218"/>
      <c r="G28" s="218"/>
      <c r="H28" s="219"/>
      <c r="I28" s="226"/>
      <c r="J28" s="221"/>
      <c r="K28" s="222"/>
      <c r="L28" s="223"/>
      <c r="M28" s="224">
        <f t="shared" si="1"/>
        <v>0</v>
      </c>
      <c r="N28" s="225">
        <f t="shared" si="2"/>
        <v>0</v>
      </c>
      <c r="O28" s="223">
        <f t="shared" si="3"/>
        <v>0</v>
      </c>
    </row>
    <row r="29" spans="1:15" x14ac:dyDescent="0.25">
      <c r="A29" s="98"/>
      <c r="B29" s="215"/>
      <c r="C29" s="215"/>
      <c r="D29" s="216"/>
      <c r="E29" s="217"/>
      <c r="F29" s="218"/>
      <c r="G29" s="218"/>
      <c r="H29" s="219"/>
      <c r="I29" s="226"/>
      <c r="J29" s="221"/>
      <c r="K29" s="222"/>
      <c r="L29" s="223"/>
      <c r="M29" s="224">
        <f t="shared" si="1"/>
        <v>0</v>
      </c>
      <c r="N29" s="225">
        <f t="shared" si="2"/>
        <v>0</v>
      </c>
      <c r="O29" s="223">
        <f t="shared" si="3"/>
        <v>0</v>
      </c>
    </row>
    <row r="30" spans="1:15" x14ac:dyDescent="0.25">
      <c r="A30" s="98"/>
      <c r="B30" s="215"/>
      <c r="C30" s="215"/>
      <c r="D30" s="216"/>
      <c r="E30" s="217"/>
      <c r="F30" s="218"/>
      <c r="G30" s="218"/>
      <c r="H30" s="219"/>
      <c r="I30" s="226"/>
      <c r="J30" s="221"/>
      <c r="K30" s="222"/>
      <c r="L30" s="223"/>
      <c r="M30" s="224">
        <f t="shared" si="1"/>
        <v>0</v>
      </c>
      <c r="N30" s="225">
        <f t="shared" si="2"/>
        <v>0</v>
      </c>
      <c r="O30" s="223">
        <f t="shared" si="3"/>
        <v>0</v>
      </c>
    </row>
    <row r="31" spans="1:15" x14ac:dyDescent="0.25">
      <c r="A31" s="98"/>
      <c r="B31" s="215"/>
      <c r="C31" s="215"/>
      <c r="D31" s="216"/>
      <c r="E31" s="217"/>
      <c r="F31" s="218"/>
      <c r="G31" s="218"/>
      <c r="H31" s="219"/>
      <c r="I31" s="226"/>
      <c r="J31" s="221"/>
      <c r="K31" s="222"/>
      <c r="L31" s="223"/>
      <c r="M31" s="224">
        <f t="shared" si="1"/>
        <v>0</v>
      </c>
      <c r="N31" s="225">
        <f t="shared" si="2"/>
        <v>0</v>
      </c>
      <c r="O31" s="223">
        <f t="shared" si="3"/>
        <v>0</v>
      </c>
    </row>
    <row r="32" spans="1:15" x14ac:dyDescent="0.25">
      <c r="A32" s="98"/>
      <c r="B32" s="215"/>
      <c r="C32" s="215"/>
      <c r="D32" s="216"/>
      <c r="E32" s="217"/>
      <c r="F32" s="218"/>
      <c r="G32" s="218"/>
      <c r="H32" s="219"/>
      <c r="I32" s="226"/>
      <c r="J32" s="221"/>
      <c r="K32" s="222"/>
      <c r="L32" s="223"/>
      <c r="M32" s="224">
        <f t="shared" si="1"/>
        <v>0</v>
      </c>
      <c r="N32" s="225">
        <f t="shared" si="2"/>
        <v>0</v>
      </c>
      <c r="O32" s="223">
        <f t="shared" si="3"/>
        <v>0</v>
      </c>
    </row>
    <row r="33" spans="1:15" x14ac:dyDescent="0.25">
      <c r="A33" s="98"/>
      <c r="B33" s="215"/>
      <c r="C33" s="215"/>
      <c r="D33" s="216"/>
      <c r="E33" s="217"/>
      <c r="F33" s="218"/>
      <c r="G33" s="218"/>
      <c r="H33" s="219"/>
      <c r="I33" s="226"/>
      <c r="J33" s="221"/>
      <c r="K33" s="222"/>
      <c r="L33" s="223"/>
      <c r="M33" s="224">
        <f t="shared" si="1"/>
        <v>0</v>
      </c>
      <c r="N33" s="225">
        <f t="shared" si="2"/>
        <v>0</v>
      </c>
      <c r="O33" s="223">
        <f t="shared" si="3"/>
        <v>0</v>
      </c>
    </row>
    <row r="34" spans="1:15" x14ac:dyDescent="0.25">
      <c r="A34" s="98"/>
      <c r="B34" s="215"/>
      <c r="C34" s="215"/>
      <c r="D34" s="216"/>
      <c r="E34" s="217"/>
      <c r="F34" s="218"/>
      <c r="G34" s="218"/>
      <c r="H34" s="219"/>
      <c r="I34" s="226"/>
      <c r="J34" s="221"/>
      <c r="K34" s="222"/>
      <c r="L34" s="223"/>
      <c r="M34" s="224">
        <f t="shared" ref="M34:M45" si="4">ROUND(J34*G34,2)</f>
        <v>0</v>
      </c>
      <c r="N34" s="225">
        <f t="shared" ref="N34:N45" si="5">ROUND(K34*G34,2)</f>
        <v>0</v>
      </c>
      <c r="O34" s="223">
        <f t="shared" ref="O34:O45" si="6">M34+N34</f>
        <v>0</v>
      </c>
    </row>
    <row r="35" spans="1:15" x14ac:dyDescent="0.25">
      <c r="A35" s="98"/>
      <c r="B35" s="215"/>
      <c r="C35" s="215"/>
      <c r="D35" s="216"/>
      <c r="E35" s="217"/>
      <c r="F35" s="218"/>
      <c r="G35" s="218"/>
      <c r="H35" s="219"/>
      <c r="I35" s="226"/>
      <c r="J35" s="221"/>
      <c r="K35" s="222"/>
      <c r="L35" s="223"/>
      <c r="M35" s="224">
        <f t="shared" si="4"/>
        <v>0</v>
      </c>
      <c r="N35" s="225">
        <f t="shared" si="5"/>
        <v>0</v>
      </c>
      <c r="O35" s="223">
        <f t="shared" si="6"/>
        <v>0</v>
      </c>
    </row>
    <row r="36" spans="1:15" x14ac:dyDescent="0.25">
      <c r="A36" s="98"/>
      <c r="B36" s="215"/>
      <c r="C36" s="215"/>
      <c r="D36" s="216"/>
      <c r="E36" s="217"/>
      <c r="F36" s="218"/>
      <c r="G36" s="218"/>
      <c r="H36" s="219"/>
      <c r="I36" s="226"/>
      <c r="J36" s="221"/>
      <c r="K36" s="222"/>
      <c r="L36" s="223"/>
      <c r="M36" s="224">
        <f t="shared" si="4"/>
        <v>0</v>
      </c>
      <c r="N36" s="225">
        <f t="shared" si="5"/>
        <v>0</v>
      </c>
      <c r="O36" s="223">
        <f t="shared" si="6"/>
        <v>0</v>
      </c>
    </row>
    <row r="37" spans="1:15" x14ac:dyDescent="0.25">
      <c r="A37" s="98"/>
      <c r="B37" s="215"/>
      <c r="C37" s="215"/>
      <c r="D37" s="216"/>
      <c r="E37" s="217"/>
      <c r="F37" s="218"/>
      <c r="G37" s="218"/>
      <c r="H37" s="219"/>
      <c r="I37" s="226"/>
      <c r="J37" s="221"/>
      <c r="K37" s="222"/>
      <c r="L37" s="223"/>
      <c r="M37" s="224">
        <f t="shared" si="4"/>
        <v>0</v>
      </c>
      <c r="N37" s="225">
        <f t="shared" si="5"/>
        <v>0</v>
      </c>
      <c r="O37" s="223">
        <f t="shared" si="6"/>
        <v>0</v>
      </c>
    </row>
    <row r="38" spans="1:15" x14ac:dyDescent="0.25">
      <c r="A38" s="98"/>
      <c r="B38" s="215"/>
      <c r="C38" s="215"/>
      <c r="D38" s="216"/>
      <c r="E38" s="217"/>
      <c r="F38" s="218"/>
      <c r="G38" s="218"/>
      <c r="H38" s="219"/>
      <c r="I38" s="226"/>
      <c r="J38" s="221"/>
      <c r="K38" s="222"/>
      <c r="L38" s="223"/>
      <c r="M38" s="224">
        <f t="shared" si="4"/>
        <v>0</v>
      </c>
      <c r="N38" s="225">
        <f t="shared" si="5"/>
        <v>0</v>
      </c>
      <c r="O38" s="223">
        <f t="shared" si="6"/>
        <v>0</v>
      </c>
    </row>
    <row r="39" spans="1:15" x14ac:dyDescent="0.25">
      <c r="A39" s="98"/>
      <c r="B39" s="215"/>
      <c r="C39" s="215"/>
      <c r="D39" s="216"/>
      <c r="E39" s="217"/>
      <c r="F39" s="218"/>
      <c r="G39" s="218"/>
      <c r="H39" s="219"/>
      <c r="I39" s="226"/>
      <c r="J39" s="221"/>
      <c r="K39" s="222"/>
      <c r="L39" s="223"/>
      <c r="M39" s="224">
        <f t="shared" si="4"/>
        <v>0</v>
      </c>
      <c r="N39" s="225">
        <f t="shared" si="5"/>
        <v>0</v>
      </c>
      <c r="O39" s="223">
        <f t="shared" si="6"/>
        <v>0</v>
      </c>
    </row>
    <row r="40" spans="1:15" x14ac:dyDescent="0.25">
      <c r="A40" s="98"/>
      <c r="B40" s="215"/>
      <c r="C40" s="215"/>
      <c r="D40" s="216"/>
      <c r="E40" s="217"/>
      <c r="F40" s="218"/>
      <c r="G40" s="218"/>
      <c r="H40" s="219"/>
      <c r="I40" s="226"/>
      <c r="J40" s="221"/>
      <c r="K40" s="222"/>
      <c r="L40" s="223"/>
      <c r="M40" s="224">
        <f t="shared" si="4"/>
        <v>0</v>
      </c>
      <c r="N40" s="225">
        <f t="shared" si="5"/>
        <v>0</v>
      </c>
      <c r="O40" s="223">
        <f t="shared" si="6"/>
        <v>0</v>
      </c>
    </row>
    <row r="41" spans="1:15" x14ac:dyDescent="0.25">
      <c r="A41" s="98"/>
      <c r="B41" s="215"/>
      <c r="C41" s="215"/>
      <c r="D41" s="216"/>
      <c r="E41" s="217"/>
      <c r="F41" s="218"/>
      <c r="G41" s="218"/>
      <c r="H41" s="219"/>
      <c r="I41" s="226"/>
      <c r="J41" s="221"/>
      <c r="K41" s="222"/>
      <c r="L41" s="223"/>
      <c r="M41" s="224">
        <f t="shared" si="4"/>
        <v>0</v>
      </c>
      <c r="N41" s="225">
        <f t="shared" si="5"/>
        <v>0</v>
      </c>
      <c r="O41" s="223">
        <f t="shared" si="6"/>
        <v>0</v>
      </c>
    </row>
    <row r="42" spans="1:15" x14ac:dyDescent="0.25">
      <c r="A42" s="98"/>
      <c r="B42" s="215"/>
      <c r="C42" s="215"/>
      <c r="D42" s="216"/>
      <c r="E42" s="217"/>
      <c r="F42" s="218"/>
      <c r="G42" s="218"/>
      <c r="H42" s="219"/>
      <c r="I42" s="226"/>
      <c r="J42" s="221"/>
      <c r="K42" s="222"/>
      <c r="L42" s="223"/>
      <c r="M42" s="224">
        <f t="shared" si="4"/>
        <v>0</v>
      </c>
      <c r="N42" s="225">
        <f t="shared" si="5"/>
        <v>0</v>
      </c>
      <c r="O42" s="223">
        <f t="shared" si="6"/>
        <v>0</v>
      </c>
    </row>
    <row r="43" spans="1:15" x14ac:dyDescent="0.25">
      <c r="A43" s="98"/>
      <c r="B43" s="215"/>
      <c r="C43" s="215"/>
      <c r="D43" s="216"/>
      <c r="E43" s="217"/>
      <c r="F43" s="218"/>
      <c r="G43" s="218"/>
      <c r="H43" s="219"/>
      <c r="I43" s="226"/>
      <c r="J43" s="221"/>
      <c r="K43" s="222"/>
      <c r="L43" s="223"/>
      <c r="M43" s="224">
        <f t="shared" si="4"/>
        <v>0</v>
      </c>
      <c r="N43" s="225">
        <f t="shared" si="5"/>
        <v>0</v>
      </c>
      <c r="O43" s="223">
        <f t="shared" si="6"/>
        <v>0</v>
      </c>
    </row>
    <row r="44" spans="1:15" x14ac:dyDescent="0.25">
      <c r="A44" s="98"/>
      <c r="B44" s="215"/>
      <c r="C44" s="215"/>
      <c r="D44" s="216"/>
      <c r="E44" s="217"/>
      <c r="F44" s="218"/>
      <c r="G44" s="218"/>
      <c r="H44" s="219"/>
      <c r="I44" s="226"/>
      <c r="J44" s="221"/>
      <c r="K44" s="222"/>
      <c r="L44" s="223"/>
      <c r="M44" s="224">
        <f t="shared" si="4"/>
        <v>0</v>
      </c>
      <c r="N44" s="225">
        <f t="shared" si="5"/>
        <v>0</v>
      </c>
      <c r="O44" s="223">
        <f t="shared" si="6"/>
        <v>0</v>
      </c>
    </row>
    <row r="45" spans="1:15" x14ac:dyDescent="0.25">
      <c r="A45" s="98"/>
      <c r="B45" s="215"/>
      <c r="C45" s="215"/>
      <c r="D45" s="216"/>
      <c r="E45" s="217"/>
      <c r="F45" s="218"/>
      <c r="G45" s="218"/>
      <c r="H45" s="219"/>
      <c r="I45" s="226"/>
      <c r="J45" s="221"/>
      <c r="K45" s="222"/>
      <c r="L45" s="223"/>
      <c r="M45" s="224">
        <f t="shared" si="4"/>
        <v>0</v>
      </c>
      <c r="N45" s="225">
        <f t="shared" si="5"/>
        <v>0</v>
      </c>
      <c r="O45" s="223">
        <f t="shared" si="6"/>
        <v>0</v>
      </c>
    </row>
    <row r="46" spans="1:15" x14ac:dyDescent="0.25">
      <c r="A46" s="98"/>
      <c r="B46" s="215"/>
      <c r="C46" s="215"/>
      <c r="D46" s="216"/>
      <c r="E46" s="217"/>
      <c r="F46" s="218"/>
      <c r="G46" s="218"/>
      <c r="H46" s="219"/>
      <c r="I46" s="226"/>
      <c r="J46" s="221"/>
      <c r="K46" s="222"/>
      <c r="L46" s="223"/>
      <c r="M46" s="224">
        <f t="shared" si="1"/>
        <v>0</v>
      </c>
      <c r="N46" s="225">
        <f t="shared" si="2"/>
        <v>0</v>
      </c>
      <c r="O46" s="223">
        <f t="shared" si="3"/>
        <v>0</v>
      </c>
    </row>
    <row r="47" spans="1:15" x14ac:dyDescent="0.25">
      <c r="A47" s="98"/>
      <c r="B47" s="215"/>
      <c r="C47" s="215"/>
      <c r="D47" s="216"/>
      <c r="E47" s="217"/>
      <c r="F47" s="218"/>
      <c r="G47" s="218"/>
      <c r="H47" s="219"/>
      <c r="I47" s="226"/>
      <c r="J47" s="221"/>
      <c r="K47" s="222"/>
      <c r="L47" s="223"/>
      <c r="M47" s="224">
        <f t="shared" si="1"/>
        <v>0</v>
      </c>
      <c r="N47" s="225">
        <f t="shared" si="2"/>
        <v>0</v>
      </c>
      <c r="O47" s="223">
        <f t="shared" si="3"/>
        <v>0</v>
      </c>
    </row>
    <row r="48" spans="1:15" x14ac:dyDescent="0.25">
      <c r="A48" s="98"/>
      <c r="B48" s="215"/>
      <c r="C48" s="215"/>
      <c r="D48" s="216"/>
      <c r="E48" s="217"/>
      <c r="F48" s="218"/>
      <c r="G48" s="218"/>
      <c r="H48" s="219"/>
      <c r="I48" s="226"/>
      <c r="J48" s="221"/>
      <c r="K48" s="222"/>
      <c r="L48" s="223"/>
      <c r="M48" s="224">
        <f t="shared" si="1"/>
        <v>0</v>
      </c>
      <c r="N48" s="225">
        <f t="shared" si="2"/>
        <v>0</v>
      </c>
      <c r="O48" s="223">
        <f t="shared" si="3"/>
        <v>0</v>
      </c>
    </row>
    <row r="49" spans="1:15" x14ac:dyDescent="0.25">
      <c r="A49" s="98"/>
      <c r="B49" s="215"/>
      <c r="C49" s="215"/>
      <c r="D49" s="216"/>
      <c r="E49" s="217"/>
      <c r="F49" s="218"/>
      <c r="G49" s="218"/>
      <c r="H49" s="219"/>
      <c r="I49" s="226"/>
      <c r="J49" s="221"/>
      <c r="K49" s="222"/>
      <c r="L49" s="223"/>
      <c r="M49" s="224">
        <f t="shared" si="1"/>
        <v>0</v>
      </c>
      <c r="N49" s="225">
        <f t="shared" si="2"/>
        <v>0</v>
      </c>
      <c r="O49" s="223">
        <f t="shared" si="3"/>
        <v>0</v>
      </c>
    </row>
    <row r="50" spans="1:15" x14ac:dyDescent="0.25">
      <c r="A50" s="98"/>
      <c r="B50" s="215"/>
      <c r="C50" s="215"/>
      <c r="D50" s="216"/>
      <c r="E50" s="217"/>
      <c r="F50" s="218"/>
      <c r="G50" s="218"/>
      <c r="H50" s="219"/>
      <c r="I50" s="226"/>
      <c r="J50" s="221"/>
      <c r="K50" s="222"/>
      <c r="L50" s="223"/>
      <c r="M50" s="224">
        <f t="shared" si="1"/>
        <v>0</v>
      </c>
      <c r="N50" s="225">
        <f t="shared" si="2"/>
        <v>0</v>
      </c>
      <c r="O50" s="223">
        <f t="shared" si="3"/>
        <v>0</v>
      </c>
    </row>
    <row r="51" spans="1:15" x14ac:dyDescent="0.25">
      <c r="A51" s="98"/>
      <c r="B51" s="215"/>
      <c r="C51" s="215"/>
      <c r="D51" s="216"/>
      <c r="E51" s="217"/>
      <c r="F51" s="218"/>
      <c r="G51" s="218"/>
      <c r="H51" s="219"/>
      <c r="I51" s="226"/>
      <c r="J51" s="221"/>
      <c r="K51" s="222"/>
      <c r="L51" s="223"/>
      <c r="M51" s="224">
        <f t="shared" si="1"/>
        <v>0</v>
      </c>
      <c r="N51" s="225">
        <f t="shared" si="2"/>
        <v>0</v>
      </c>
      <c r="O51" s="223">
        <f t="shared" si="3"/>
        <v>0</v>
      </c>
    </row>
    <row r="52" spans="1:15" x14ac:dyDescent="0.25">
      <c r="A52" s="98"/>
      <c r="B52" s="215"/>
      <c r="C52" s="215"/>
      <c r="D52" s="216"/>
      <c r="E52" s="217"/>
      <c r="F52" s="218"/>
      <c r="G52" s="218"/>
      <c r="H52" s="219"/>
      <c r="I52" s="226"/>
      <c r="J52" s="221"/>
      <c r="K52" s="222"/>
      <c r="L52" s="223"/>
      <c r="M52" s="224">
        <f t="shared" si="1"/>
        <v>0</v>
      </c>
      <c r="N52" s="225">
        <f t="shared" si="2"/>
        <v>0</v>
      </c>
      <c r="O52" s="223">
        <f t="shared" si="3"/>
        <v>0</v>
      </c>
    </row>
    <row r="53" spans="1:15" x14ac:dyDescent="0.25">
      <c r="A53" s="98"/>
      <c r="B53" s="215"/>
      <c r="C53" s="215"/>
      <c r="D53" s="216"/>
      <c r="E53" s="217"/>
      <c r="F53" s="218"/>
      <c r="G53" s="218"/>
      <c r="H53" s="219"/>
      <c r="I53" s="226"/>
      <c r="J53" s="221"/>
      <c r="K53" s="222"/>
      <c r="L53" s="223"/>
      <c r="M53" s="224">
        <f t="shared" si="1"/>
        <v>0</v>
      </c>
      <c r="N53" s="225">
        <f t="shared" si="2"/>
        <v>0</v>
      </c>
      <c r="O53" s="223">
        <f t="shared" si="3"/>
        <v>0</v>
      </c>
    </row>
    <row r="54" spans="1:15" x14ac:dyDescent="0.25">
      <c r="A54" s="98"/>
      <c r="B54" s="215"/>
      <c r="C54" s="215"/>
      <c r="D54" s="216"/>
      <c r="E54" s="217"/>
      <c r="F54" s="218"/>
      <c r="G54" s="218"/>
      <c r="H54" s="219"/>
      <c r="I54" s="226"/>
      <c r="J54" s="221"/>
      <c r="K54" s="222"/>
      <c r="L54" s="223"/>
      <c r="M54" s="224">
        <f t="shared" si="1"/>
        <v>0</v>
      </c>
      <c r="N54" s="225">
        <f t="shared" si="2"/>
        <v>0</v>
      </c>
      <c r="O54" s="223">
        <f t="shared" si="3"/>
        <v>0</v>
      </c>
    </row>
    <row r="55" spans="1:15" x14ac:dyDescent="0.25">
      <c r="A55" s="98"/>
      <c r="B55" s="215"/>
      <c r="C55" s="215"/>
      <c r="D55" s="216"/>
      <c r="E55" s="217"/>
      <c r="F55" s="218"/>
      <c r="G55" s="218"/>
      <c r="H55" s="219"/>
      <c r="I55" s="226"/>
      <c r="J55" s="221"/>
      <c r="K55" s="222"/>
      <c r="L55" s="223"/>
      <c r="M55" s="224">
        <f t="shared" si="1"/>
        <v>0</v>
      </c>
      <c r="N55" s="225">
        <f t="shared" si="2"/>
        <v>0</v>
      </c>
      <c r="O55" s="223">
        <f t="shared" si="3"/>
        <v>0</v>
      </c>
    </row>
    <row r="56" spans="1:15" ht="14.4" thickBot="1" x14ac:dyDescent="0.3">
      <c r="A56" s="100"/>
      <c r="B56" s="227"/>
      <c r="C56" s="227"/>
      <c r="D56" s="228"/>
      <c r="E56" s="229"/>
      <c r="F56" s="230"/>
      <c r="G56" s="230"/>
      <c r="H56" s="231"/>
      <c r="I56" s="226"/>
      <c r="J56" s="232"/>
      <c r="K56" s="233"/>
      <c r="L56" s="234"/>
      <c r="M56" s="235">
        <f t="shared" si="1"/>
        <v>0</v>
      </c>
      <c r="N56" s="236">
        <f t="shared" si="2"/>
        <v>0</v>
      </c>
      <c r="O56" s="234">
        <f t="shared" si="3"/>
        <v>0</v>
      </c>
    </row>
    <row r="57" spans="1:15" ht="14.4" thickBot="1" x14ac:dyDescent="0.3">
      <c r="A57" s="91"/>
      <c r="B57" s="91"/>
      <c r="C57" s="91"/>
      <c r="D57" s="237"/>
      <c r="E57" s="238"/>
      <c r="F57" s="226"/>
      <c r="G57" s="226"/>
      <c r="H57" s="226"/>
      <c r="I57" s="226"/>
      <c r="J57" s="226"/>
      <c r="K57" s="226"/>
      <c r="L57" s="239"/>
      <c r="M57" s="239"/>
      <c r="N57" s="239"/>
      <c r="O57" s="239"/>
    </row>
    <row r="58" spans="1:15" x14ac:dyDescent="0.25">
      <c r="A58" s="29"/>
      <c r="B58" s="29"/>
      <c r="C58" s="29"/>
      <c r="D58" s="126"/>
      <c r="E58" s="29"/>
      <c r="F58" s="29"/>
      <c r="G58" s="29"/>
      <c r="H58" s="635" t="s">
        <v>55</v>
      </c>
      <c r="I58" s="226"/>
      <c r="J58" s="29"/>
      <c r="K58" s="29"/>
      <c r="M58" s="637" t="s">
        <v>54</v>
      </c>
      <c r="N58" s="638"/>
      <c r="O58" s="639"/>
    </row>
    <row r="59" spans="1:15" ht="14.4" thickBot="1" x14ac:dyDescent="0.3">
      <c r="A59" s="29"/>
      <c r="B59" s="29"/>
      <c r="C59" s="29"/>
      <c r="D59" s="126"/>
      <c r="E59" s="29"/>
      <c r="F59" s="29"/>
      <c r="G59" s="29"/>
      <c r="H59" s="636"/>
      <c r="I59" s="226"/>
      <c r="J59" s="29"/>
      <c r="K59" s="29"/>
      <c r="M59" s="77" t="s">
        <v>50</v>
      </c>
      <c r="N59" s="78" t="s">
        <v>51</v>
      </c>
      <c r="O59" s="79" t="s">
        <v>52</v>
      </c>
    </row>
    <row r="60" spans="1:15" ht="19.2" customHeight="1" thickTop="1" thickBot="1" x14ac:dyDescent="0.3">
      <c r="A60" s="29"/>
      <c r="B60" s="29"/>
      <c r="C60" s="29"/>
      <c r="D60" s="126"/>
      <c r="E60" s="29"/>
      <c r="F60" s="29"/>
      <c r="G60" s="29"/>
      <c r="H60" s="82">
        <f>SUM(H14:H56)</f>
        <v>0</v>
      </c>
      <c r="I60" s="87"/>
      <c r="J60" s="29"/>
      <c r="K60" s="29"/>
      <c r="M60" s="80">
        <f>SUM(M15:M56)</f>
        <v>0</v>
      </c>
      <c r="N60" s="83">
        <f>SUM(N15:N56)</f>
        <v>0</v>
      </c>
      <c r="O60" s="81">
        <f>SUM(O15:O56)</f>
        <v>0</v>
      </c>
    </row>
    <row r="61" spans="1:15" x14ac:dyDescent="0.25">
      <c r="A61" s="29"/>
      <c r="B61" s="29"/>
      <c r="C61" s="29"/>
      <c r="D61" s="126"/>
      <c r="E61" s="29"/>
      <c r="F61" s="29"/>
      <c r="G61" s="29"/>
      <c r="H61" s="29"/>
      <c r="I61" s="87"/>
      <c r="J61" s="29"/>
      <c r="K61" s="29"/>
      <c r="M61" s="29"/>
      <c r="N61" s="29"/>
      <c r="O61" s="29"/>
    </row>
    <row r="62" spans="1:15" ht="20.399999999999999" customHeight="1" x14ac:dyDescent="0.25">
      <c r="A62" s="29"/>
      <c r="B62" s="29"/>
      <c r="C62" s="29"/>
      <c r="D62" s="126"/>
      <c r="E62" s="29"/>
      <c r="F62" s="29"/>
      <c r="G62" s="29"/>
      <c r="H62" s="29"/>
      <c r="I62" s="88"/>
      <c r="J62" s="29"/>
      <c r="K62" s="29"/>
      <c r="M62" s="29"/>
      <c r="N62" s="29"/>
      <c r="O62" s="29"/>
    </row>
    <row r="63" spans="1:15" x14ac:dyDescent="0.25">
      <c r="A63" s="560" t="str">
        <f>DADOS!B5</f>
        <v>SÃO FELIPE/BA</v>
      </c>
      <c r="B63" s="560"/>
      <c r="C63" s="560"/>
      <c r="D63" s="560"/>
      <c r="E63" s="29"/>
      <c r="F63" s="657">
        <f ca="1">DADOS!B18</f>
        <v>45812</v>
      </c>
      <c r="G63" s="657"/>
      <c r="H63" s="657"/>
      <c r="I63" s="29"/>
      <c r="J63" s="240"/>
      <c r="K63" s="240"/>
      <c r="M63" s="29"/>
      <c r="N63" s="29"/>
      <c r="O63" s="29"/>
    </row>
    <row r="64" spans="1:15" x14ac:dyDescent="0.25">
      <c r="A64" s="562" t="s">
        <v>20</v>
      </c>
      <c r="B64" s="562"/>
      <c r="C64" s="562"/>
      <c r="D64" s="562"/>
      <c r="E64" s="29"/>
      <c r="F64" s="562" t="s">
        <v>21</v>
      </c>
      <c r="G64" s="562"/>
      <c r="H64" s="562"/>
      <c r="I64" s="29"/>
      <c r="J64" s="179"/>
      <c r="K64" s="179"/>
      <c r="M64" s="29"/>
      <c r="N64" s="29"/>
      <c r="O64" s="29"/>
    </row>
    <row r="65" spans="1:15" x14ac:dyDescent="0.25">
      <c r="A65" s="29"/>
      <c r="B65" s="29"/>
      <c r="C65" s="29"/>
      <c r="D65" s="126"/>
      <c r="E65" s="29"/>
      <c r="F65" s="29"/>
      <c r="G65" s="29"/>
      <c r="H65" s="29"/>
      <c r="I65" s="240"/>
      <c r="J65" s="29"/>
      <c r="K65" s="29"/>
      <c r="M65" s="29"/>
      <c r="N65" s="29"/>
      <c r="O65" s="29"/>
    </row>
    <row r="66" spans="1:15" x14ac:dyDescent="0.25">
      <c r="A66" s="29"/>
      <c r="B66" s="29"/>
      <c r="C66" s="29"/>
      <c r="D66" s="126"/>
      <c r="E66" s="29"/>
      <c r="F66" s="29"/>
      <c r="G66" s="29"/>
      <c r="H66" s="29"/>
      <c r="I66" s="179"/>
      <c r="J66" s="29"/>
      <c r="K66" s="29"/>
      <c r="M66" s="29"/>
      <c r="N66" s="29"/>
      <c r="O66" s="29"/>
    </row>
    <row r="67" spans="1:15" x14ac:dyDescent="0.25">
      <c r="A67" s="29"/>
      <c r="B67" s="29"/>
      <c r="C67" s="29"/>
      <c r="D67" s="126"/>
      <c r="E67" s="29"/>
      <c r="F67" s="29"/>
      <c r="G67" s="29"/>
      <c r="H67" s="29"/>
      <c r="I67" s="29"/>
      <c r="J67" s="29"/>
      <c r="K67" s="29"/>
      <c r="M67" s="29"/>
      <c r="N67" s="29"/>
      <c r="O67" s="29"/>
    </row>
    <row r="68" spans="1:15" x14ac:dyDescent="0.25">
      <c r="A68" s="29"/>
      <c r="B68" s="29"/>
      <c r="C68" s="29"/>
      <c r="D68" s="126"/>
      <c r="E68" s="29"/>
      <c r="F68" s="29"/>
      <c r="G68" s="29"/>
      <c r="H68" s="29"/>
      <c r="I68" s="29"/>
      <c r="J68" s="29"/>
      <c r="K68" s="29"/>
      <c r="M68" s="29"/>
      <c r="N68" s="29"/>
      <c r="O68" s="29"/>
    </row>
    <row r="69" spans="1:15" x14ac:dyDescent="0.25">
      <c r="A69" s="29"/>
      <c r="B69" s="29"/>
      <c r="C69" s="29"/>
      <c r="D69" s="126"/>
      <c r="E69" s="29"/>
      <c r="F69" s="29"/>
      <c r="G69" s="29"/>
      <c r="H69" s="29"/>
      <c r="I69" s="29"/>
      <c r="J69" s="29"/>
      <c r="K69" s="29"/>
      <c r="M69" s="29"/>
      <c r="N69" s="29"/>
      <c r="O69" s="29"/>
    </row>
    <row r="70" spans="1:15" x14ac:dyDescent="0.25">
      <c r="A70" s="29"/>
      <c r="B70" s="29"/>
      <c r="C70" s="29"/>
      <c r="D70" s="126"/>
      <c r="E70" s="29"/>
      <c r="F70" s="29"/>
      <c r="G70" s="29"/>
      <c r="H70" s="29"/>
      <c r="I70" s="29"/>
      <c r="J70" s="29"/>
      <c r="K70" s="29"/>
      <c r="M70" s="29"/>
      <c r="N70" s="29"/>
      <c r="O70" s="29"/>
    </row>
    <row r="71" spans="1:15" x14ac:dyDescent="0.25">
      <c r="A71" s="558"/>
      <c r="B71" s="558"/>
      <c r="C71" s="558"/>
      <c r="D71" s="558"/>
      <c r="E71" s="29"/>
      <c r="F71" s="29"/>
      <c r="G71" s="29"/>
      <c r="H71" s="29"/>
      <c r="I71" s="29"/>
      <c r="J71" s="29"/>
      <c r="K71" s="29"/>
      <c r="M71" s="29"/>
      <c r="N71" s="29"/>
      <c r="O71" s="29"/>
    </row>
    <row r="72" spans="1:15" ht="16.2" customHeight="1" x14ac:dyDescent="0.25">
      <c r="A72" s="568" t="s">
        <v>23</v>
      </c>
      <c r="B72" s="568"/>
      <c r="C72" s="568"/>
      <c r="D72" s="568"/>
      <c r="E72" s="29"/>
      <c r="F72" s="29"/>
      <c r="G72" s="29"/>
      <c r="H72" s="29"/>
      <c r="I72" s="29"/>
      <c r="J72" s="29"/>
      <c r="K72" s="29"/>
      <c r="M72" s="29"/>
      <c r="N72" s="29"/>
      <c r="O72" s="29"/>
    </row>
    <row r="73" spans="1:15" x14ac:dyDescent="0.25">
      <c r="A73" s="567" t="s">
        <v>22</v>
      </c>
      <c r="B73" s="567"/>
      <c r="C73" s="508">
        <f>DADOS!B40</f>
        <v>0</v>
      </c>
      <c r="D73" s="508"/>
      <c r="E73" s="29"/>
      <c r="F73" s="29"/>
      <c r="G73" s="29"/>
      <c r="H73" s="29"/>
      <c r="I73" s="29"/>
      <c r="J73" s="29"/>
      <c r="K73" s="29"/>
      <c r="M73" s="29"/>
      <c r="N73" s="29"/>
      <c r="O73" s="29"/>
    </row>
    <row r="74" spans="1:15" x14ac:dyDescent="0.25">
      <c r="A74" s="567" t="s">
        <v>24</v>
      </c>
      <c r="B74" s="567"/>
      <c r="C74" s="508">
        <f>DADOS!B41</f>
        <v>0</v>
      </c>
      <c r="D74" s="508"/>
      <c r="E74" s="29"/>
      <c r="F74" s="29"/>
      <c r="G74" s="29"/>
      <c r="H74" s="29"/>
      <c r="I74" s="29"/>
      <c r="J74" s="29"/>
      <c r="K74" s="29"/>
      <c r="M74" s="29"/>
      <c r="N74" s="29"/>
      <c r="O74" s="29"/>
    </row>
    <row r="75" spans="1:15" x14ac:dyDescent="0.25">
      <c r="A75" s="567" t="s">
        <v>25</v>
      </c>
      <c r="B75" s="567"/>
      <c r="C75" s="508">
        <f>DADOS!B42</f>
        <v>0</v>
      </c>
      <c r="D75" s="508"/>
      <c r="E75" s="29"/>
      <c r="F75" s="29"/>
      <c r="G75" s="29"/>
      <c r="H75" s="29"/>
      <c r="I75" s="29"/>
      <c r="J75" s="29"/>
      <c r="K75" s="29"/>
      <c r="M75" s="29"/>
      <c r="N75" s="29"/>
      <c r="O75" s="29"/>
    </row>
    <row r="76" spans="1:15" x14ac:dyDescent="0.25">
      <c r="I76" s="29"/>
    </row>
    <row r="77" spans="1:15" x14ac:dyDescent="0.25">
      <c r="I77" s="29"/>
    </row>
  </sheetData>
  <mergeCells count="41">
    <mergeCell ref="L7:M7"/>
    <mergeCell ref="L8:M8"/>
    <mergeCell ref="A8:D8"/>
    <mergeCell ref="E8:F8"/>
    <mergeCell ref="E6:H6"/>
    <mergeCell ref="J7:K7"/>
    <mergeCell ref="L6:M6"/>
    <mergeCell ref="A7:D7"/>
    <mergeCell ref="E7:F7"/>
    <mergeCell ref="A1:F1"/>
    <mergeCell ref="A2:F2"/>
    <mergeCell ref="A3:F3"/>
    <mergeCell ref="A5:D5"/>
    <mergeCell ref="A75:B75"/>
    <mergeCell ref="C75:D75"/>
    <mergeCell ref="A73:B73"/>
    <mergeCell ref="C73:D73"/>
    <mergeCell ref="A74:B74"/>
    <mergeCell ref="C74:D74"/>
    <mergeCell ref="A72:D72"/>
    <mergeCell ref="A64:D64"/>
    <mergeCell ref="F64:H64"/>
    <mergeCell ref="A71:D71"/>
    <mergeCell ref="A63:D63"/>
    <mergeCell ref="F63:H63"/>
    <mergeCell ref="N3:O3"/>
    <mergeCell ref="N4:O4"/>
    <mergeCell ref="H58:H59"/>
    <mergeCell ref="M58:O58"/>
    <mergeCell ref="L9:M9"/>
    <mergeCell ref="N9:O9"/>
    <mergeCell ref="J9:K9"/>
    <mergeCell ref="J12:L12"/>
    <mergeCell ref="M12:O12"/>
    <mergeCell ref="N6:O6"/>
    <mergeCell ref="N8:O8"/>
    <mergeCell ref="N7:O7"/>
    <mergeCell ref="J6:K6"/>
    <mergeCell ref="J8:K8"/>
    <mergeCell ref="A10:I10"/>
    <mergeCell ref="A6:D6"/>
  </mergeCells>
  <phoneticPr fontId="23" type="noConversion"/>
  <printOptions horizontalCentered="1"/>
  <pageMargins left="0.59055118110236227" right="0.59055118110236227" top="0.59055118110236227" bottom="0.59055118110236227" header="0.31496062992125984" footer="0.31496062992125984"/>
  <pageSetup paperSize="9" scale="59" fitToHeight="0" orientation="landscape" r:id="rId1"/>
  <headerFooter>
    <oddFooter>&amp;RPágina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21</vt:i4>
      </vt:variant>
    </vt:vector>
  </HeadingPairs>
  <TitlesOfParts>
    <vt:vector size="34" baseType="lpstr">
      <vt:lpstr>DADOS</vt:lpstr>
      <vt:lpstr>BDI SERVIÇO</vt:lpstr>
      <vt:lpstr>BDI (2)</vt:lpstr>
      <vt:lpstr>SÃO SEBASTIAO</vt:lpstr>
      <vt:lpstr>SÃO BENEDITO</vt:lpstr>
      <vt:lpstr>RUA DA LINHA</vt:lpstr>
      <vt:lpstr>BDI INSUMO</vt:lpstr>
      <vt:lpstr>PLQ</vt:lpstr>
      <vt:lpstr>COMPOSIÇÕES</vt:lpstr>
      <vt:lpstr>Cotações </vt:lpstr>
      <vt:lpstr>PLANILHA REPROGRAMAÇÃO</vt:lpstr>
      <vt:lpstr>PLANILHA SERVIÇOS EXTRAS</vt:lpstr>
      <vt:lpstr>PLANILHA CONTROLE</vt:lpstr>
      <vt:lpstr>'BDI (2)'!Area_de_impressao</vt:lpstr>
      <vt:lpstr>'BDI INSUMO'!Area_de_impressao</vt:lpstr>
      <vt:lpstr>'BDI SERVIÇO'!Area_de_impressao</vt:lpstr>
      <vt:lpstr>COMPOSIÇÕES!Area_de_impressao</vt:lpstr>
      <vt:lpstr>'Cotações '!Area_de_impressao</vt:lpstr>
      <vt:lpstr>'PLANILHA CONTROLE'!Area_de_impressao</vt:lpstr>
      <vt:lpstr>'PLANILHA REPROGRAMAÇÃO'!Area_de_impressao</vt:lpstr>
      <vt:lpstr>'PLANILHA SERVIÇOS EXTRAS'!Area_de_impressao</vt:lpstr>
      <vt:lpstr>PLQ!Area_de_impressao</vt:lpstr>
      <vt:lpstr>'RUA DA LINHA'!Area_de_impressao</vt:lpstr>
      <vt:lpstr>'SÃO BENEDITO'!Area_de_impressao</vt:lpstr>
      <vt:lpstr>'SÃO SEBASTIAO'!Area_de_impressao</vt:lpstr>
      <vt:lpstr>COMPOSIÇÕES!Titulos_de_impressao</vt:lpstr>
      <vt:lpstr>'Cotações '!Titulos_de_impressao</vt:lpstr>
      <vt:lpstr>'PLANILHA CONTROLE'!Titulos_de_impressao</vt:lpstr>
      <vt:lpstr>'PLANILHA REPROGRAMAÇÃO'!Titulos_de_impressao</vt:lpstr>
      <vt:lpstr>'PLANILHA SERVIÇOS EXTRAS'!Titulos_de_impressao</vt:lpstr>
      <vt:lpstr>PLQ!Titulos_de_impressao</vt:lpstr>
      <vt:lpstr>'RUA DA LINHA'!Titulos_de_impressao</vt:lpstr>
      <vt:lpstr>'SÃO BENEDITO'!Titulos_de_impressao</vt:lpstr>
      <vt:lpstr>'SÃO SEBASTIAO'!Titulos_de_impressao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</dc:creator>
  <cp:lastModifiedBy>Karolyne Santana dos Santos</cp:lastModifiedBy>
  <cp:lastPrinted>2025-06-04T17:02:50Z</cp:lastPrinted>
  <dcterms:created xsi:type="dcterms:W3CDTF">2019-04-18T22:31:43Z</dcterms:created>
  <dcterms:modified xsi:type="dcterms:W3CDTF">2025-06-04T17:08:51Z</dcterms:modified>
</cp:coreProperties>
</file>