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UPB - 2025\05 - JUNHO\REDE DE HIDRANTES - ANDARAI - MERCADO MUCAMBO\"/>
    </mc:Choice>
  </mc:AlternateContent>
  <xr:revisionPtr revIDLastSave="0" documentId="13_ncr:1_{0FB96CC0-FAE1-49CE-BA30-E949716F69D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rriletes" sheetId="25" r:id="rId1"/>
    <sheet name="CALCULO DAS BOMBAS" sheetId="26" r:id="rId2"/>
    <sheet name="QUANTITATIVO" sheetId="29" r:id="rId3"/>
    <sheet name="ANEXO F" sheetId="30" r:id="rId4"/>
  </sheets>
  <definedNames>
    <definedName name="_xlnm.Print_Area" localSheetId="3">'ANEXO F'!$B$3:$S$13</definedName>
    <definedName name="_xlnm.Print_Area" localSheetId="0">Barriletes!$A$1:$W$94</definedName>
  </definedNames>
  <calcPr calcId="181029"/>
</workbook>
</file>

<file path=xl/calcChain.xml><?xml version="1.0" encoding="utf-8"?>
<calcChain xmlns="http://schemas.openxmlformats.org/spreadsheetml/2006/main">
  <c r="D19" i="25" l="1"/>
  <c r="D20" i="25"/>
  <c r="H23" i="30" l="1"/>
  <c r="H24" i="30"/>
  <c r="H25" i="30"/>
  <c r="E23" i="30"/>
  <c r="E24" i="30"/>
  <c r="E25" i="30"/>
  <c r="H22" i="30"/>
  <c r="E22" i="30"/>
  <c r="A23" i="30"/>
  <c r="A24" i="30"/>
  <c r="A25" i="30"/>
  <c r="A22" i="30"/>
  <c r="D5" i="29"/>
  <c r="F23" i="25"/>
  <c r="F22" i="25"/>
  <c r="F21" i="25"/>
  <c r="F20" i="25"/>
  <c r="F19" i="25"/>
  <c r="C10" i="30"/>
  <c r="F2" i="26"/>
  <c r="F17" i="30" s="1"/>
  <c r="B24" i="25"/>
  <c r="B25" i="25" s="1"/>
  <c r="U72" i="25" l="1"/>
  <c r="U71" i="25"/>
  <c r="U70" i="25"/>
  <c r="U69" i="25"/>
  <c r="U68" i="25"/>
  <c r="N72" i="25"/>
  <c r="N71" i="25"/>
  <c r="N70" i="25"/>
  <c r="N69" i="25"/>
  <c r="N68" i="25"/>
  <c r="F72" i="25"/>
  <c r="F71" i="25"/>
  <c r="F70" i="25"/>
  <c r="F69" i="25"/>
  <c r="F68" i="25"/>
  <c r="F56" i="25"/>
  <c r="F55" i="25"/>
  <c r="F54" i="25"/>
  <c r="F53" i="25"/>
  <c r="F52" i="25"/>
  <c r="F26" i="25" l="1"/>
  <c r="F25" i="25"/>
  <c r="F24" i="25"/>
  <c r="D7" i="30" l="1"/>
  <c r="D6" i="30"/>
  <c r="N7" i="30"/>
  <c r="N8" i="30"/>
  <c r="N9" i="30"/>
  <c r="N10" i="30"/>
  <c r="N11" i="30"/>
  <c r="N12" i="30"/>
  <c r="N13" i="30"/>
  <c r="N6" i="30"/>
  <c r="F7" i="30"/>
  <c r="F8" i="30"/>
  <c r="F9" i="30"/>
  <c r="F10" i="30"/>
  <c r="F11" i="30"/>
  <c r="F12" i="30"/>
  <c r="F13" i="30"/>
  <c r="F6" i="30"/>
  <c r="E7" i="30"/>
  <c r="R7" i="30" s="1"/>
  <c r="E8" i="30"/>
  <c r="R8" i="30" s="1"/>
  <c r="E9" i="30"/>
  <c r="R9" i="30" s="1"/>
  <c r="E10" i="30"/>
  <c r="R10" i="30" s="1"/>
  <c r="E11" i="30"/>
  <c r="R11" i="30" s="1"/>
  <c r="E12" i="30"/>
  <c r="E13" i="30"/>
  <c r="R13" i="30" s="1"/>
  <c r="E6" i="30"/>
  <c r="R6" i="30" s="1"/>
  <c r="B7" i="30"/>
  <c r="B8" i="30"/>
  <c r="B9" i="30"/>
  <c r="B10" i="30"/>
  <c r="B11" i="30"/>
  <c r="B12" i="30"/>
  <c r="B13" i="30"/>
  <c r="B6" i="30"/>
  <c r="C7" i="30"/>
  <c r="C8" i="30"/>
  <c r="C9" i="30"/>
  <c r="C6" i="30"/>
  <c r="R12" i="30"/>
  <c r="L7" i="30" l="1"/>
  <c r="L6" i="30"/>
  <c r="K20" i="25" l="1"/>
  <c r="L20" i="25" s="1"/>
  <c r="K7" i="30" s="1"/>
  <c r="K19" i="25"/>
  <c r="L19" i="25" s="1"/>
  <c r="K6" i="30" s="1"/>
  <c r="I23" i="25"/>
  <c r="I10" i="30" s="1"/>
  <c r="I22" i="25"/>
  <c r="I9" i="30" s="1"/>
  <c r="I21" i="25"/>
  <c r="I8" i="30" s="1"/>
  <c r="I20" i="25"/>
  <c r="I7" i="30" s="1"/>
  <c r="I19" i="25"/>
  <c r="I6" i="30" s="1"/>
  <c r="U90" i="25" l="1"/>
  <c r="U89" i="25"/>
  <c r="U88" i="25"/>
  <c r="U87" i="25"/>
  <c r="U86" i="25"/>
  <c r="N90" i="25"/>
  <c r="N89" i="25"/>
  <c r="N88" i="25"/>
  <c r="N87" i="25"/>
  <c r="N86" i="25"/>
  <c r="F90" i="25"/>
  <c r="F89" i="25"/>
  <c r="F88" i="25"/>
  <c r="F87" i="25"/>
  <c r="F86" i="25"/>
  <c r="F37" i="25"/>
  <c r="F38" i="25"/>
  <c r="N23" i="25" l="1"/>
  <c r="S10" i="30" s="1"/>
  <c r="Q10" i="30" s="1"/>
  <c r="N22" i="25"/>
  <c r="S9" i="30" s="1"/>
  <c r="Q9" i="30" s="1"/>
  <c r="N91" i="25" l="1"/>
  <c r="U91" i="25"/>
  <c r="N73" i="25"/>
  <c r="J76" i="25" s="1"/>
  <c r="U73" i="25"/>
  <c r="G23" i="25" l="1"/>
  <c r="Q76" i="25"/>
  <c r="G26" i="25"/>
  <c r="Q94" i="25"/>
  <c r="G25" i="25"/>
  <c r="G12" i="30" s="1"/>
  <c r="H12" i="30" s="1"/>
  <c r="J94" i="25"/>
  <c r="G22" i="25"/>
  <c r="F36" i="25"/>
  <c r="H26" i="25" l="1"/>
  <c r="G13" i="30"/>
  <c r="H13" i="30" s="1"/>
  <c r="H23" i="25"/>
  <c r="J23" i="25" s="1"/>
  <c r="J10" i="30" s="1"/>
  <c r="M10" i="30" s="1"/>
  <c r="G10" i="30"/>
  <c r="H10" i="30" s="1"/>
  <c r="H22" i="25"/>
  <c r="J22" i="25" s="1"/>
  <c r="J9" i="30" s="1"/>
  <c r="M9" i="30" s="1"/>
  <c r="G9" i="30"/>
  <c r="H9" i="30" s="1"/>
  <c r="H25" i="25"/>
  <c r="F40" i="25" l="1"/>
  <c r="F57" i="25"/>
  <c r="B60" i="25" s="1"/>
  <c r="G20" i="25" s="1"/>
  <c r="G7" i="30" s="1"/>
  <c r="H7" i="30" s="1"/>
  <c r="F39" i="25"/>
  <c r="I24" i="25" l="1"/>
  <c r="I11" i="30" s="1"/>
  <c r="C11" i="30"/>
  <c r="N24" i="25"/>
  <c r="S11" i="30" s="1"/>
  <c r="Q11" i="30" s="1"/>
  <c r="F91" i="25"/>
  <c r="F41" i="25"/>
  <c r="B44" i="25" s="1"/>
  <c r="G19" i="25" s="1"/>
  <c r="G6" i="30" s="1"/>
  <c r="H6" i="30" s="1"/>
  <c r="N20" i="25"/>
  <c r="S7" i="30" s="1"/>
  <c r="Q7" i="30" s="1"/>
  <c r="G24" i="25" l="1"/>
  <c r="B94" i="25"/>
  <c r="H24" i="25" l="1"/>
  <c r="J24" i="25" s="1"/>
  <c r="J11" i="30" s="1"/>
  <c r="M11" i="30" s="1"/>
  <c r="G11" i="30"/>
  <c r="H11" i="30" s="1"/>
  <c r="B26" i="25"/>
  <c r="C13" i="30" s="1"/>
  <c r="C12" i="30"/>
  <c r="I25" i="25"/>
  <c r="N25" i="25"/>
  <c r="S12" i="30" s="1"/>
  <c r="Q12" i="30" s="1"/>
  <c r="I26" i="25" l="1"/>
  <c r="I13" i="30" s="1"/>
  <c r="J25" i="25"/>
  <c r="J12" i="30" s="1"/>
  <c r="M12" i="30" s="1"/>
  <c r="I12" i="30"/>
  <c r="N26" i="25"/>
  <c r="S13" i="30" s="1"/>
  <c r="Q13" i="30" s="1"/>
  <c r="N21" i="25"/>
  <c r="S8" i="30" s="1"/>
  <c r="Q8" i="30" s="1"/>
  <c r="J26" i="25" l="1"/>
  <c r="J13" i="30" s="1"/>
  <c r="M13" i="30" s="1"/>
  <c r="N19" i="25"/>
  <c r="S6" i="30" s="1"/>
  <c r="Q6" i="30" s="1"/>
  <c r="H20" i="25" l="1"/>
  <c r="J20" i="25" s="1"/>
  <c r="O20" i="25" l="1"/>
  <c r="J7" i="30"/>
  <c r="M7" i="30" s="1"/>
  <c r="O7" i="30" s="1"/>
  <c r="P7" i="30" s="1"/>
  <c r="F73" i="25"/>
  <c r="B76" i="25" s="1"/>
  <c r="D10" i="30" l="1"/>
  <c r="O10" i="30" s="1"/>
  <c r="P10" i="30" s="1"/>
  <c r="G21" i="25"/>
  <c r="H21" i="25" l="1"/>
  <c r="J21" i="25" s="1"/>
  <c r="J8" i="30" s="1"/>
  <c r="M8" i="30" s="1"/>
  <c r="G8" i="30"/>
  <c r="H8" i="30" s="1"/>
  <c r="H19" i="25"/>
  <c r="J19" i="25" s="1"/>
  <c r="O19" i="25" l="1"/>
  <c r="C21" i="25" s="1"/>
  <c r="J6" i="30"/>
  <c r="O21" i="25" l="1"/>
  <c r="C24" i="25" s="1"/>
  <c r="D11" i="30" s="1"/>
  <c r="O11" i="30" s="1"/>
  <c r="P11" i="30" s="1"/>
  <c r="D8" i="30"/>
  <c r="O8" i="30" s="1"/>
  <c r="P8" i="30" s="1"/>
  <c r="M6" i="30"/>
  <c r="O6" i="30" s="1"/>
  <c r="P6" i="30" s="1"/>
  <c r="O22" i="25" l="1"/>
  <c r="C25" i="25" s="1"/>
  <c r="D12" i="30" s="1"/>
  <c r="O12" i="30" s="1"/>
  <c r="P12" i="30" s="1"/>
  <c r="D9" i="30"/>
  <c r="O9" i="30" s="1"/>
  <c r="P9" i="30" s="1"/>
  <c r="O24" i="25"/>
  <c r="O23" i="25"/>
  <c r="C2" i="26" l="1"/>
  <c r="C26" i="25"/>
  <c r="D13" i="30" s="1"/>
  <c r="O13" i="30" s="1"/>
  <c r="P13" i="30" s="1"/>
  <c r="O25" i="25"/>
  <c r="I2" i="26" l="1"/>
  <c r="I17" i="30" s="1"/>
  <c r="C17" i="30"/>
  <c r="L4" i="26"/>
  <c r="O26" i="25"/>
</calcChain>
</file>

<file path=xl/sharedStrings.xml><?xml version="1.0" encoding="utf-8"?>
<sst xmlns="http://schemas.openxmlformats.org/spreadsheetml/2006/main" count="425" uniqueCount="177">
  <si>
    <t>Diametro</t>
  </si>
  <si>
    <t>Peça</t>
  </si>
  <si>
    <t>C.E</t>
  </si>
  <si>
    <t xml:space="preserve">Lequiv.  = </t>
  </si>
  <si>
    <t>Quant.</t>
  </si>
  <si>
    <t>m</t>
  </si>
  <si>
    <t>mm</t>
  </si>
  <si>
    <t>Comprimento equivalente:</t>
  </si>
  <si>
    <t>NBR 5626 - tab 06</t>
  </si>
  <si>
    <t>Comprimento total:</t>
  </si>
  <si>
    <t xml:space="preserve"> unid</t>
  </si>
  <si>
    <t xml:space="preserve">Lt = </t>
  </si>
  <si>
    <t>PROJETO INDICATIVO PREVENÇÃO CONTRA INCÊNDIO E PÂNICO</t>
  </si>
  <si>
    <t>NORMA: IT Nº 22/2016</t>
  </si>
  <si>
    <t>ESGUICHO REGULÁVEL DM 40</t>
  </si>
  <si>
    <t>TUBO: AÇO GALVANIZADO; C = 120</t>
  </si>
  <si>
    <t>TRECHO</t>
  </si>
  <si>
    <t xml:space="preserve">VAZÃO </t>
  </si>
  <si>
    <t>P válvula</t>
  </si>
  <si>
    <t>PERDA DE CARGA ( TUBULAÇÃO)</t>
  </si>
  <si>
    <t>Elevação</t>
  </si>
  <si>
    <t>V</t>
  </si>
  <si>
    <t>P montante</t>
  </si>
  <si>
    <t>Ipm</t>
  </si>
  <si>
    <t xml:space="preserve"> mca</t>
  </si>
  <si>
    <t>D (mm)</t>
  </si>
  <si>
    <t>L real</t>
  </si>
  <si>
    <t>L virtual</t>
  </si>
  <si>
    <t>L total</t>
  </si>
  <si>
    <t>J unit</t>
  </si>
  <si>
    <t>J total</t>
  </si>
  <si>
    <t xml:space="preserve"> (m/s)</t>
  </si>
  <si>
    <t>BOMBA DE INCÊNDIO</t>
  </si>
  <si>
    <t>H man =</t>
  </si>
  <si>
    <t>mca</t>
  </si>
  <si>
    <t>VAZÃO =</t>
  </si>
  <si>
    <t>m³/h</t>
  </si>
  <si>
    <t>cv</t>
  </si>
  <si>
    <t>COM OS CÁLCULOS DOS SISTEMAS DE HIDRANTES MAIS FAVORÁVEL, MAIS DESFAVORÁVEL, LANÇOU-SE SOBRE A CURVA DA MOTO-BOMBA ESCOLHIDA, ONDE SE OBTEVE:</t>
  </si>
  <si>
    <t>BOMBA SELECIONADA:</t>
  </si>
  <si>
    <t>BOMBA PRINCIPAL</t>
  </si>
  <si>
    <t>BOMBA RESERVA</t>
  </si>
  <si>
    <t>JOCKEY</t>
  </si>
  <si>
    <t>MARCA: SCHNEIDER</t>
  </si>
  <si>
    <t xml:space="preserve">
CÁLCULO DA RESERVA TÉCNICA DE INCÊNDIO - RTI
</t>
  </si>
  <si>
    <t>LEGENDA</t>
  </si>
  <si>
    <t>VAZÃO Ipm - VAZÃO MÍNIMA NA VÁLVULA DO HIDRANTE</t>
  </si>
  <si>
    <t>J unit - FÓRMULA DE HAZEN WILLIAMS</t>
  </si>
  <si>
    <t>P válvula mca - PRESSÃO RESIDUAL MÍNIMA NA PONTA DOS ESGUICHOS</t>
  </si>
  <si>
    <t>J total - PERDA DE CARGA m/m</t>
  </si>
  <si>
    <t>D (mm) - DIÂMETRO DA TUBULAÇÃO</t>
  </si>
  <si>
    <t>Elevação m - DISTÂNCIA ENTRE CURVA DE 90º E A PONTA DO ESGUICHO</t>
  </si>
  <si>
    <t>L real - COMPRIMENTO RETILÍNEO</t>
  </si>
  <si>
    <t>V ( m/s) - VAZÃO / ÁREA DA TUBULAÇÃO</t>
  </si>
  <si>
    <t>L virtual - PERDAS DE CARGA LOCALIZADAS</t>
  </si>
  <si>
    <t>P montante mca - PRESSÃO RESIDUAL NA PONTA DOS ESGUICHO</t>
  </si>
  <si>
    <t>REGISTRO GLOBO ANGULAR</t>
  </si>
  <si>
    <t>JOELHO 90º MACHO-FÊMEA</t>
  </si>
  <si>
    <t>REGISTRO DE GAVETA</t>
  </si>
  <si>
    <t>BL1-A</t>
  </si>
  <si>
    <t>BL2-A</t>
  </si>
  <si>
    <t>BL3-A</t>
  </si>
  <si>
    <t>TRECHOS BL1-A</t>
  </si>
  <si>
    <t>TRECHOS BL2-A</t>
  </si>
  <si>
    <t>TRECHOS BL3-A</t>
  </si>
  <si>
    <t>RTI-ENTRA BOMBA 1</t>
  </si>
  <si>
    <t>RTI-ENTRA BOMBA 2</t>
  </si>
  <si>
    <t>RTI-ENTRA BOMBA 3</t>
  </si>
  <si>
    <t>TRECHOS B1-RI</t>
  </si>
  <si>
    <t>TRECHOS B2-RI</t>
  </si>
  <si>
    <t>TRECHOS B3-RI</t>
  </si>
  <si>
    <t>LISTA DE MATERIAIS (AÇO GALV.)</t>
  </si>
  <si>
    <t>Descrição</t>
  </si>
  <si>
    <t>Dimensão</t>
  </si>
  <si>
    <t>Und.</t>
  </si>
  <si>
    <t>Tubo Aço Galvanizado</t>
  </si>
  <si>
    <t>2.1/2"</t>
  </si>
  <si>
    <t>Joelho 90 Fêmea</t>
  </si>
  <si>
    <t>Tê 90</t>
  </si>
  <si>
    <t>Niple duplo</t>
  </si>
  <si>
    <t>Adaptador com rosca macho para engate rápido</t>
  </si>
  <si>
    <t>Tampão com engate rápido  com corrente</t>
  </si>
  <si>
    <t xml:space="preserve">Tampa com ferro fundido com incrição incêndio </t>
  </si>
  <si>
    <t>-</t>
  </si>
  <si>
    <t>Registros, Válvulas e Hidrantes</t>
  </si>
  <si>
    <t xml:space="preserve">Esguicho regulável </t>
  </si>
  <si>
    <t>1.1/2"</t>
  </si>
  <si>
    <t>Registro Globo angular</t>
  </si>
  <si>
    <t>Válvula de retenção</t>
  </si>
  <si>
    <t>Válvula de pé com crivo</t>
  </si>
  <si>
    <t>CURVA</t>
  </si>
  <si>
    <t>TE SAIDA LATERAL</t>
  </si>
  <si>
    <t>TÊ PASSAGEM DIRETA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</si>
  <si>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</si>
  <si>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Curva 90 Fêmea</t>
  </si>
  <si>
    <t>Mangueira 15m</t>
  </si>
  <si>
    <t>Pressostato</t>
  </si>
  <si>
    <t>Manômetro</t>
  </si>
  <si>
    <t xml:space="preserve">União </t>
  </si>
  <si>
    <t>3''</t>
  </si>
  <si>
    <t xml:space="preserve">Adaptador p/Caixa D'água </t>
  </si>
  <si>
    <t>Abrigo para mangueira</t>
  </si>
  <si>
    <t>200 psi</t>
  </si>
  <si>
    <t>0 a 10 kgf</t>
  </si>
  <si>
    <t>Hidrante de recalque com caixa enterrada em alvenaria e tampa em ferro</t>
  </si>
  <si>
    <t>H1-A</t>
  </si>
  <si>
    <t>TRECHO H1-A</t>
  </si>
  <si>
    <t>TRECHOS H2-A</t>
  </si>
  <si>
    <r>
      <rPr>
        <sz val="10"/>
        <color theme="1"/>
        <rFont val="Arial"/>
        <family val="2"/>
      </rPr>
      <t>Ø</t>
    </r>
    <r>
      <rPr>
        <sz val="11"/>
        <color theme="1"/>
        <rFont val="Calibri"/>
        <family val="2"/>
      </rPr>
      <t xml:space="preserve"> mangueira (mm):</t>
    </r>
  </si>
  <si>
    <t>Tubo: aço galvanizado</t>
  </si>
  <si>
    <t>ESGUICHO REGULÁVEL DN</t>
  </si>
  <si>
    <t>Lance de mangueira  (m) =</t>
  </si>
  <si>
    <t>FATOR K ESGUICHO</t>
  </si>
  <si>
    <t>Perda</t>
  </si>
  <si>
    <t>Esguicho</t>
  </si>
  <si>
    <t>Perda de Carga</t>
  </si>
  <si>
    <t>(Mangueira)</t>
  </si>
  <si>
    <t xml:space="preserve">A EDIFICAÇÃO SE ENQUADRA EM RISCO BAIXO, COM TEMPO DE OPERAÇÃO DE 60MIN, PRESSÃO MÍNIMA DE 1,0 KGF/CM² E RESERVA TÉCNICA DE INCÊNDIO DE 8.0000L  TABELA 3  IT Nº 22/2016. </t>
  </si>
  <si>
    <t>CÁLCULO DA BOMBA JOCKEY</t>
  </si>
  <si>
    <t>VAZÃO SEMPRE 20L/MIN</t>
  </si>
  <si>
    <t>DIFERENÇA DE PRESSÃO ENTRE ELA E A BOMBA PRINCIPAL É DE 10 MCA</t>
  </si>
  <si>
    <t>H2-A</t>
  </si>
  <si>
    <t>POTÊNCIA CALCULADA =</t>
  </si>
  <si>
    <t>PÔTENCIA = 2 cv</t>
  </si>
  <si>
    <r>
      <t xml:space="preserve">C </t>
    </r>
    <r>
      <rPr>
        <vertAlign val="subscript"/>
        <sz val="14"/>
        <color theme="1"/>
        <rFont val="Arial"/>
        <family val="2"/>
      </rPr>
      <t>mang</t>
    </r>
    <r>
      <rPr>
        <sz val="14"/>
        <color theme="1"/>
        <rFont val="Arial"/>
        <family val="2"/>
      </rPr>
      <t xml:space="preserve">  </t>
    </r>
    <r>
      <rPr>
        <sz val="14"/>
        <color theme="1"/>
        <rFont val="Calibri"/>
        <family val="2"/>
      </rPr>
      <t>=</t>
    </r>
  </si>
  <si>
    <r>
      <t xml:space="preserve">C </t>
    </r>
    <r>
      <rPr>
        <vertAlign val="subscript"/>
        <sz val="14"/>
        <color theme="1"/>
        <rFont val="Arial"/>
        <family val="2"/>
      </rPr>
      <t xml:space="preserve">tubo  </t>
    </r>
    <r>
      <rPr>
        <sz val="14"/>
        <color theme="1"/>
        <rFont val="Calibri"/>
        <family val="2"/>
      </rPr>
      <t>=</t>
    </r>
  </si>
  <si>
    <t>n hidrant.</t>
  </si>
  <si>
    <t>2 x n hidrant.</t>
  </si>
  <si>
    <t>Sistema tipo: 3</t>
  </si>
  <si>
    <t>Segue  o fator K dos esguichos Bucka 200</t>
  </si>
  <si>
    <t>ANEXO F</t>
  </si>
  <si>
    <t>HIDRANTES</t>
  </si>
  <si>
    <t>H1</t>
  </si>
  <si>
    <t>H2</t>
  </si>
  <si>
    <t>SEGUIMENTOS RETOS</t>
  </si>
  <si>
    <t>EQUIVALENTES</t>
  </si>
  <si>
    <t>COMPRIMENTO</t>
  </si>
  <si>
    <t>TEÓRICO TOTAL</t>
  </si>
  <si>
    <t>PERDA DE CARGA / M</t>
  </si>
  <si>
    <t>CANALIZAÇÃO</t>
  </si>
  <si>
    <t>MANGUEIRA</t>
  </si>
  <si>
    <t>ESGUICHO</t>
  </si>
  <si>
    <t>TOTAL</t>
  </si>
  <si>
    <t>DESNÍVEL DO TRECHO</t>
  </si>
  <si>
    <t>PRESSÃO NO PONTO DO TRECHO</t>
  </si>
  <si>
    <t>FATOR DE VAZÃO</t>
  </si>
  <si>
    <t>VAZÃO ACUMULADA</t>
  </si>
  <si>
    <t>DIAMETRO NOMINAL</t>
  </si>
  <si>
    <t>(mm)</t>
  </si>
  <si>
    <t>mca/m</t>
  </si>
  <si>
    <t>l/min.      Mca 1/2</t>
  </si>
  <si>
    <t>l/min</t>
  </si>
  <si>
    <t>VAZÃO</t>
  </si>
  <si>
    <t>ÁREA DA TUBULAÇÃO</t>
  </si>
  <si>
    <t>m²</t>
  </si>
  <si>
    <t>VELOCIDADE NA CANALIZAÇÃO</t>
  </si>
  <si>
    <t>m/s</t>
  </si>
  <si>
    <t>P VALVULA</t>
  </si>
  <si>
    <t>I/min</t>
  </si>
  <si>
    <t>MODELO:ME - AL/BR 1320N</t>
  </si>
  <si>
    <t>ROTOR = 118 mm</t>
  </si>
  <si>
    <t>PÔTENCIA = 9 cv</t>
  </si>
  <si>
    <t>1.1/2</t>
  </si>
  <si>
    <t>RISCO MÉDIO, CARGA 300MJ/m²</t>
  </si>
  <si>
    <t>,</t>
  </si>
  <si>
    <t>Esguicho Bucka 200 1.1/2" -----K=115</t>
  </si>
  <si>
    <t>PÔTENCIA = 5 cv</t>
  </si>
  <si>
    <t>CLASSIFICAÇÃO DA EDIFICAÇÃO:  GRUPO - C, DIVISÃO - C2</t>
  </si>
  <si>
    <t>CLASSIFICAÇÃO QUANTO AO TIPO DE SISTEMA: TIPO 3</t>
  </si>
  <si>
    <t>QUANTIDADE DE HIDRANTES: 03</t>
  </si>
  <si>
    <t>DATA:  JULHO/2025</t>
  </si>
  <si>
    <t>OBRA: GALPÃO MUCAMBO</t>
  </si>
  <si>
    <t>MUNICÍPIO: ANDARAÍ - BA</t>
  </si>
  <si>
    <t>ROTOR = 147 mm</t>
  </si>
  <si>
    <t>MODELO: BC-22 R 1 1/2</t>
  </si>
  <si>
    <t>ROTOR = 175 mm</t>
  </si>
  <si>
    <t>MODELO: SH90 BCA-41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</si>
</sst>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0.000"/>
    <numFmt numFmtId="166" formatCode="0.0"/>
    <numFmt numFmtId="167" formatCode="0.0000"/>
  </numFmts>
  <fonts count="3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color indexed="10"/>
      <name val="Arial"/>
      <family val="2"/>
    </font>
    <font>
      <b/>
      <i/>
      <sz val="9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10"/>
      <color rgb="FF002060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name val="Calibri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4"/>
      <color theme="1"/>
      <name val="Calibri"/>
      <family val="2"/>
    </font>
    <font>
      <sz val="12"/>
      <color rgb="FF2C363A"/>
      <name val="Courier New"/>
      <family val="3"/>
    </font>
    <font>
      <b/>
      <sz val="14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/>
        <bgColor rgb="FFFFFF00"/>
      </patternFill>
    </fill>
    <fill>
      <patternFill patternType="solid">
        <fgColor theme="6" tint="0.59999389629810485"/>
        <bgColor rgb="FFFFFF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0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164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9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8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5" fillId="0" borderId="0" xfId="0" applyNumberFormat="1" applyFont="1"/>
    <xf numFmtId="165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2" fontId="5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5" xfId="0" applyFont="1" applyBorder="1" applyAlignment="1">
      <alignment horizontal="center"/>
    </xf>
    <xf numFmtId="0" fontId="15" fillId="0" borderId="0" xfId="0" applyFont="1" applyAlignment="1">
      <alignment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5" fontId="15" fillId="0" borderId="2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/>
    <xf numFmtId="0" fontId="3" fillId="0" borderId="10" xfId="0" applyFont="1" applyBorder="1"/>
    <xf numFmtId="0" fontId="5" fillId="0" borderId="17" xfId="0" applyFont="1" applyBorder="1"/>
    <xf numFmtId="0" fontId="5" fillId="0" borderId="10" xfId="0" applyFont="1" applyBorder="1"/>
    <xf numFmtId="0" fontId="8" fillId="0" borderId="10" xfId="0" applyFont="1" applyBorder="1"/>
    <xf numFmtId="0" fontId="6" fillId="0" borderId="5" xfId="0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2" fontId="3" fillId="0" borderId="17" xfId="0" applyNumberFormat="1" applyFont="1" applyBorder="1" applyAlignment="1">
      <alignment horizontal="center"/>
    </xf>
    <xf numFmtId="0" fontId="3" fillId="0" borderId="18" xfId="0" applyFont="1" applyBorder="1" applyAlignment="1">
      <alignment horizontal="right"/>
    </xf>
    <xf numFmtId="2" fontId="3" fillId="0" borderId="19" xfId="0" applyNumberFormat="1" applyFont="1" applyBorder="1"/>
    <xf numFmtId="0" fontId="5" fillId="0" borderId="19" xfId="0" applyFont="1" applyBorder="1" applyAlignment="1">
      <alignment horizontal="center"/>
    </xf>
    <xf numFmtId="0" fontId="5" fillId="0" borderId="19" xfId="0" applyFont="1" applyBorder="1"/>
    <xf numFmtId="0" fontId="3" fillId="0" borderId="19" xfId="0" applyFont="1" applyBorder="1"/>
    <xf numFmtId="2" fontId="3" fillId="0" borderId="20" xfId="0" applyNumberFormat="1" applyFont="1" applyBorder="1" applyAlignment="1">
      <alignment horizontal="center"/>
    </xf>
    <xf numFmtId="2" fontId="5" fillId="0" borderId="19" xfId="0" applyNumberFormat="1" applyFont="1" applyBorder="1"/>
    <xf numFmtId="2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2" fontId="0" fillId="0" borderId="0" xfId="0" applyNumberFormat="1"/>
    <xf numFmtId="0" fontId="16" fillId="0" borderId="13" xfId="0" applyFont="1" applyBorder="1" applyAlignment="1">
      <alignment vertical="center"/>
    </xf>
    <xf numFmtId="0" fontId="18" fillId="0" borderId="16" xfId="0" applyFont="1" applyBorder="1"/>
    <xf numFmtId="0" fontId="16" fillId="0" borderId="10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166" fontId="16" fillId="0" borderId="0" xfId="0" applyNumberFormat="1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2" fontId="16" fillId="0" borderId="0" xfId="0" applyNumberFormat="1" applyFont="1" applyAlignment="1">
      <alignment horizontal="left" vertical="center"/>
    </xf>
    <xf numFmtId="0" fontId="18" fillId="0" borderId="17" xfId="0" applyFont="1" applyBorder="1"/>
    <xf numFmtId="0" fontId="17" fillId="0" borderId="0" xfId="0" applyFont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6" fillId="0" borderId="17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15" fillId="2" borderId="3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2" fontId="15" fillId="0" borderId="3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2" fontId="3" fillId="0" borderId="0" xfId="0" applyNumberFormat="1" applyFont="1"/>
    <xf numFmtId="2" fontId="12" fillId="4" borderId="17" xfId="0" applyNumberFormat="1" applyFont="1" applyFill="1" applyBorder="1" applyAlignment="1">
      <alignment horizontal="center"/>
    </xf>
    <xf numFmtId="2" fontId="15" fillId="3" borderId="1" xfId="0" applyNumberFormat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21" fillId="0" borderId="38" xfId="0" applyFont="1" applyBorder="1"/>
    <xf numFmtId="0" fontId="21" fillId="5" borderId="38" xfId="0" applyFont="1" applyFill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/>
    </xf>
    <xf numFmtId="2" fontId="20" fillId="6" borderId="38" xfId="0" applyNumberFormat="1" applyFont="1" applyFill="1" applyBorder="1" applyAlignment="1">
      <alignment horizontal="center"/>
    </xf>
    <xf numFmtId="2" fontId="21" fillId="6" borderId="38" xfId="0" applyNumberFormat="1" applyFont="1" applyFill="1" applyBorder="1" applyAlignment="1">
      <alignment horizontal="center"/>
    </xf>
    <xf numFmtId="2" fontId="15" fillId="0" borderId="3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2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20" fillId="5" borderId="48" xfId="0" applyFont="1" applyFill="1" applyBorder="1"/>
    <xf numFmtId="0" fontId="21" fillId="0" borderId="49" xfId="0" applyFont="1" applyBorder="1"/>
    <xf numFmtId="0" fontId="20" fillId="0" borderId="53" xfId="0" applyFont="1" applyBorder="1"/>
    <xf numFmtId="0" fontId="21" fillId="5" borderId="54" xfId="0" applyFont="1" applyFill="1" applyBorder="1" applyAlignment="1">
      <alignment horizontal="center"/>
    </xf>
    <xf numFmtId="0" fontId="15" fillId="2" borderId="62" xfId="0" applyFont="1" applyFill="1" applyBorder="1" applyAlignment="1">
      <alignment horizontal="center" vertical="center"/>
    </xf>
    <xf numFmtId="0" fontId="15" fillId="2" borderId="66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2" fontId="21" fillId="8" borderId="59" xfId="0" applyNumberFormat="1" applyFont="1" applyFill="1" applyBorder="1" applyAlignment="1">
      <alignment horizontal="center"/>
    </xf>
    <xf numFmtId="0" fontId="22" fillId="0" borderId="56" xfId="0" applyFont="1" applyBorder="1"/>
    <xf numFmtId="0" fontId="22" fillId="0" borderId="60" xfId="0" applyFont="1" applyBorder="1"/>
    <xf numFmtId="2" fontId="21" fillId="9" borderId="59" xfId="0" applyNumberFormat="1" applyFont="1" applyFill="1" applyBorder="1" applyAlignment="1">
      <alignment horizontal="center"/>
    </xf>
    <xf numFmtId="0" fontId="3" fillId="0" borderId="17" xfId="0" applyFont="1" applyBorder="1"/>
    <xf numFmtId="0" fontId="3" fillId="0" borderId="20" xfId="0" applyFont="1" applyBorder="1"/>
    <xf numFmtId="0" fontId="0" fillId="0" borderId="19" xfId="0" applyBorder="1"/>
    <xf numFmtId="0" fontId="5" fillId="0" borderId="20" xfId="0" applyFont="1" applyBorder="1"/>
    <xf numFmtId="0" fontId="24" fillId="0" borderId="0" xfId="0" applyFont="1"/>
    <xf numFmtId="0" fontId="15" fillId="0" borderId="2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2" fontId="15" fillId="0" borderId="11" xfId="0" applyNumberFormat="1" applyFont="1" applyBorder="1" applyAlignment="1">
      <alignment horizontal="center" vertical="center"/>
    </xf>
    <xf numFmtId="2" fontId="15" fillId="3" borderId="11" xfId="0" applyNumberFormat="1" applyFont="1" applyFill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 vertical="center"/>
    </xf>
    <xf numFmtId="2" fontId="15" fillId="10" borderId="1" xfId="0" applyNumberFormat="1" applyFont="1" applyFill="1" applyBorder="1" applyAlignment="1">
      <alignment horizontal="center" vertical="center"/>
    </xf>
    <xf numFmtId="0" fontId="25" fillId="0" borderId="38" xfId="0" applyFont="1" applyBorder="1" applyAlignment="1">
      <alignment horizontal="right"/>
    </xf>
    <xf numFmtId="0" fontId="15" fillId="2" borderId="29" xfId="0" applyFont="1" applyFill="1" applyBorder="1" applyAlignment="1">
      <alignment horizontal="center" vertical="center"/>
    </xf>
    <xf numFmtId="0" fontId="28" fillId="0" borderId="0" xfId="0" applyFont="1"/>
    <xf numFmtId="0" fontId="21" fillId="0" borderId="0" xfId="0" applyFont="1"/>
    <xf numFmtId="0" fontId="15" fillId="1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2" fontId="15" fillId="10" borderId="27" xfId="0" applyNumberFormat="1" applyFont="1" applyFill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10" xfId="1" applyBorder="1"/>
    <xf numFmtId="0" fontId="2" fillId="0" borderId="10" xfId="1" applyBorder="1" applyAlignment="1">
      <alignment horizontal="center"/>
    </xf>
    <xf numFmtId="0" fontId="2" fillId="0" borderId="0" xfId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10" xfId="1" applyBorder="1" applyAlignment="1">
      <alignment wrapText="1"/>
    </xf>
    <xf numFmtId="0" fontId="2" fillId="0" borderId="37" xfId="1" applyBorder="1" applyAlignment="1">
      <alignment horizontal="center" vertical="center"/>
    </xf>
    <xf numFmtId="0" fontId="2" fillId="0" borderId="17" xfId="1" applyBorder="1" applyAlignment="1">
      <alignment horizontal="center"/>
    </xf>
    <xf numFmtId="0" fontId="2" fillId="0" borderId="10" xfId="1" applyBorder="1" applyAlignment="1">
      <alignment horizontal="left"/>
    </xf>
    <xf numFmtId="0" fontId="2" fillId="0" borderId="18" xfId="1" applyBorder="1"/>
    <xf numFmtId="0" fontId="2" fillId="0" borderId="19" xfId="1" applyBorder="1" applyAlignment="1">
      <alignment horizontal="center"/>
    </xf>
    <xf numFmtId="0" fontId="2" fillId="0" borderId="20" xfId="1" applyBorder="1" applyAlignment="1">
      <alignment horizontal="center" vertical="center"/>
    </xf>
    <xf numFmtId="0" fontId="2" fillId="0" borderId="36" xfId="1" applyBorder="1" applyAlignment="1">
      <alignment horizontal="center" vertical="center"/>
    </xf>
    <xf numFmtId="0" fontId="2" fillId="0" borderId="35" xfId="1" applyBorder="1" applyAlignment="1">
      <alignment wrapText="1"/>
    </xf>
    <xf numFmtId="2" fontId="15" fillId="0" borderId="44" xfId="0" applyNumberFormat="1" applyFont="1" applyBorder="1" applyAlignment="1">
      <alignment vertical="center"/>
    </xf>
    <xf numFmtId="2" fontId="15" fillId="0" borderId="45" xfId="0" applyNumberFormat="1" applyFont="1" applyBorder="1" applyAlignment="1">
      <alignment vertical="center"/>
    </xf>
    <xf numFmtId="2" fontId="15" fillId="0" borderId="46" xfId="0" applyNumberFormat="1" applyFont="1" applyBorder="1" applyAlignment="1">
      <alignment vertical="center"/>
    </xf>
    <xf numFmtId="2" fontId="15" fillId="0" borderId="47" xfId="0" applyNumberFormat="1" applyFont="1" applyBorder="1" applyAlignment="1">
      <alignment vertical="center"/>
    </xf>
    <xf numFmtId="2" fontId="15" fillId="0" borderId="42" xfId="0" applyNumberFormat="1" applyFont="1" applyBorder="1" applyAlignment="1">
      <alignment vertical="center"/>
    </xf>
    <xf numFmtId="2" fontId="15" fillId="0" borderId="6" xfId="0" applyNumberFormat="1" applyFont="1" applyBorder="1" applyAlignment="1">
      <alignment vertical="center"/>
    </xf>
    <xf numFmtId="0" fontId="0" fillId="10" borderId="1" xfId="0" applyFill="1" applyBorder="1" applyAlignment="1">
      <alignment horizontal="center" vertical="center"/>
    </xf>
    <xf numFmtId="2" fontId="21" fillId="11" borderId="1" xfId="0" applyNumberFormat="1" applyFont="1" applyFill="1" applyBorder="1" applyAlignment="1">
      <alignment horizontal="center"/>
    </xf>
    <xf numFmtId="167" fontId="15" fillId="10" borderId="1" xfId="0" applyNumberFormat="1" applyFont="1" applyFill="1" applyBorder="1" applyAlignment="1">
      <alignment horizontal="center" vertical="center"/>
    </xf>
    <xf numFmtId="165" fontId="15" fillId="10" borderId="1" xfId="0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15" fillId="2" borderId="69" xfId="0" applyFont="1" applyFill="1" applyBorder="1" applyAlignment="1">
      <alignment vertical="center"/>
    </xf>
    <xf numFmtId="0" fontId="15" fillId="2" borderId="29" xfId="0" applyFont="1" applyFill="1" applyBorder="1" applyAlignment="1">
      <alignment vertical="center"/>
    </xf>
    <xf numFmtId="0" fontId="15" fillId="2" borderId="70" xfId="0" applyFont="1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2" fontId="15" fillId="10" borderId="5" xfId="0" applyNumberFormat="1" applyFont="1" applyFill="1" applyBorder="1" applyAlignment="1">
      <alignment horizontal="center" vertical="center"/>
    </xf>
    <xf numFmtId="0" fontId="15" fillId="10" borderId="8" xfId="0" applyFont="1" applyFill="1" applyBorder="1" applyAlignment="1">
      <alignment horizontal="center" vertical="center"/>
    </xf>
    <xf numFmtId="0" fontId="15" fillId="10" borderId="26" xfId="0" applyFont="1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 wrapText="1"/>
    </xf>
    <xf numFmtId="0" fontId="15" fillId="10" borderId="27" xfId="0" applyFont="1" applyFill="1" applyBorder="1" applyAlignment="1">
      <alignment horizontal="center" vertical="center"/>
    </xf>
    <xf numFmtId="167" fontId="15" fillId="10" borderId="27" xfId="0" applyNumberFormat="1" applyFont="1" applyFill="1" applyBorder="1" applyAlignment="1">
      <alignment horizontal="center" vertical="center"/>
    </xf>
    <xf numFmtId="165" fontId="15" fillId="10" borderId="27" xfId="0" applyNumberFormat="1" applyFont="1" applyFill="1" applyBorder="1" applyAlignment="1">
      <alignment horizontal="center" vertical="center"/>
    </xf>
    <xf numFmtId="2" fontId="15" fillId="10" borderId="2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6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5" fillId="0" borderId="7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30" xfId="0" applyFont="1" applyBorder="1" applyAlignment="1">
      <alignment horizontal="left" vertical="center"/>
    </xf>
    <xf numFmtId="0" fontId="23" fillId="7" borderId="50" xfId="0" applyFont="1" applyFill="1" applyBorder="1" applyAlignment="1">
      <alignment horizontal="center" vertical="center"/>
    </xf>
    <xf numFmtId="0" fontId="22" fillId="2" borderId="65" xfId="0" applyFont="1" applyFill="1" applyBorder="1" applyAlignment="1">
      <alignment vertical="center"/>
    </xf>
    <xf numFmtId="0" fontId="23" fillId="7" borderId="39" xfId="0" applyFont="1" applyFill="1" applyBorder="1" applyAlignment="1">
      <alignment horizontal="center" vertical="center"/>
    </xf>
    <xf numFmtId="0" fontId="22" fillId="2" borderId="41" xfId="0" applyFont="1" applyFill="1" applyBorder="1"/>
    <xf numFmtId="0" fontId="21" fillId="0" borderId="50" xfId="0" applyFont="1" applyBorder="1" applyAlignment="1">
      <alignment horizontal="center"/>
    </xf>
    <xf numFmtId="0" fontId="22" fillId="0" borderId="51" xfId="0" applyFont="1" applyBorder="1"/>
    <xf numFmtId="0" fontId="22" fillId="0" borderId="52" xfId="0" applyFont="1" applyBorder="1"/>
    <xf numFmtId="0" fontId="20" fillId="0" borderId="39" xfId="0" applyFont="1" applyBorder="1" applyAlignment="1">
      <alignment horizontal="center"/>
    </xf>
    <xf numFmtId="0" fontId="22" fillId="0" borderId="40" xfId="0" applyFont="1" applyBorder="1"/>
    <xf numFmtId="0" fontId="22" fillId="0" borderId="41" xfId="0" applyFont="1" applyBorder="1"/>
    <xf numFmtId="0" fontId="20" fillId="5" borderId="39" xfId="0" applyFont="1" applyFill="1" applyBorder="1" applyAlignment="1">
      <alignment horizontal="center"/>
    </xf>
    <xf numFmtId="0" fontId="20" fillId="0" borderId="55" xfId="0" applyFont="1" applyBorder="1" applyAlignment="1">
      <alignment horizontal="left"/>
    </xf>
    <xf numFmtId="0" fontId="22" fillId="0" borderId="56" xfId="0" applyFont="1" applyBorder="1"/>
    <xf numFmtId="0" fontId="22" fillId="0" borderId="57" xfId="0" applyFont="1" applyBorder="1"/>
    <xf numFmtId="0" fontId="20" fillId="0" borderId="58" xfId="0" applyFont="1" applyBorder="1" applyAlignment="1">
      <alignment horizontal="center"/>
    </xf>
    <xf numFmtId="0" fontId="20" fillId="0" borderId="56" xfId="0" applyFont="1" applyBorder="1" applyAlignment="1">
      <alignment horizontal="center"/>
    </xf>
    <xf numFmtId="0" fontId="20" fillId="0" borderId="57" xfId="0" applyFont="1" applyBorder="1" applyAlignment="1">
      <alignment horizontal="center"/>
    </xf>
    <xf numFmtId="0" fontId="15" fillId="0" borderId="10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2" borderId="61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63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5" fillId="2" borderId="64" xfId="0" applyFont="1" applyFill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2" fontId="15" fillId="0" borderId="9" xfId="0" applyNumberFormat="1" applyFont="1" applyBorder="1" applyAlignment="1">
      <alignment horizontal="center" vertical="center"/>
    </xf>
    <xf numFmtId="2" fontId="15" fillId="0" borderId="43" xfId="0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13" xfId="0" applyFont="1" applyBorder="1" applyAlignment="1">
      <alignment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6" fillId="0" borderId="26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10" xfId="0" applyFont="1" applyBorder="1" applyAlignment="1">
      <alignment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9" fillId="0" borderId="32" xfId="1" applyFont="1" applyBorder="1" applyAlignment="1">
      <alignment horizontal="center"/>
    </xf>
    <xf numFmtId="0" fontId="19" fillId="0" borderId="33" xfId="1" applyFont="1" applyBorder="1" applyAlignment="1">
      <alignment horizontal="center"/>
    </xf>
    <xf numFmtId="0" fontId="19" fillId="0" borderId="34" xfId="1" applyFont="1" applyBorder="1" applyAlignment="1">
      <alignment horizontal="center"/>
    </xf>
    <xf numFmtId="0" fontId="2" fillId="0" borderId="35" xfId="1" applyBorder="1" applyAlignment="1">
      <alignment horizontal="center"/>
    </xf>
    <xf numFmtId="0" fontId="2" fillId="0" borderId="36" xfId="1" applyBorder="1" applyAlignment="1">
      <alignment horizontal="center"/>
    </xf>
    <xf numFmtId="0" fontId="2" fillId="0" borderId="37" xfId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6" fillId="0" borderId="21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30" xfId="0" applyFont="1" applyBorder="1" applyAlignment="1">
      <alignment horizontal="left" vertical="center"/>
    </xf>
    <xf numFmtId="0" fontId="16" fillId="0" borderId="74" xfId="0" applyFont="1" applyBorder="1" applyAlignment="1">
      <alignment horizontal="left" vertical="center"/>
    </xf>
    <xf numFmtId="0" fontId="16" fillId="0" borderId="72" xfId="0" applyFont="1" applyBorder="1" applyAlignment="1">
      <alignment horizontal="left" vertical="center"/>
    </xf>
    <xf numFmtId="0" fontId="16" fillId="0" borderId="75" xfId="0" applyFont="1" applyBorder="1" applyAlignment="1">
      <alignment horizontal="left" vertical="center"/>
    </xf>
    <xf numFmtId="0" fontId="16" fillId="0" borderId="71" xfId="0" applyFont="1" applyBorder="1" applyAlignment="1">
      <alignment horizontal="left" vertical="center" wrapText="1"/>
    </xf>
    <xf numFmtId="0" fontId="16" fillId="0" borderId="72" xfId="0" applyFont="1" applyBorder="1" applyAlignment="1">
      <alignment horizontal="left" vertical="center" wrapText="1"/>
    </xf>
    <xf numFmtId="0" fontId="16" fillId="0" borderId="73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13" xfId="0" applyFont="1" applyBorder="1" applyAlignment="1">
      <alignment horizontal="left" vertical="center"/>
    </xf>
    <xf numFmtId="0" fontId="15" fillId="2" borderId="67" xfId="0" applyFont="1" applyFill="1" applyBorder="1" applyAlignment="1">
      <alignment horizontal="center" vertical="center"/>
    </xf>
    <xf numFmtId="0" fontId="29" fillId="0" borderId="69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9" fillId="0" borderId="70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2" fontId="21" fillId="11" borderId="1" xfId="0" applyNumberFormat="1" applyFont="1" applyFill="1" applyBorder="1" applyAlignment="1">
      <alignment horizontal="center"/>
    </xf>
    <xf numFmtId="2" fontId="21" fillId="11" borderId="27" xfId="0" applyNumberFormat="1" applyFont="1" applyFill="1" applyBorder="1" applyAlignment="1">
      <alignment horizontal="center"/>
    </xf>
  </cellXfs>
  <cellStyles count="6">
    <cellStyle name="Normal" xfId="0" builtinId="0"/>
    <cellStyle name="Normal 2" xfId="1" xr:uid="{00000000-0005-0000-0000-000001000000}"/>
    <cellStyle name="Vírgula 2" xfId="2" xr:uid="{00000000-0005-0000-0000-000002000000}"/>
    <cellStyle name="Vírgula 2 2" xfId="3" xr:uid="{33285E58-2A52-4046-B50E-9C264E05C018}"/>
    <cellStyle name="Vírgula 2 2 2" xfId="4" xr:uid="{3FA40BA0-02FF-49BB-9C6C-79E628ABFE16}"/>
    <cellStyle name="Vírgula 2 2 3" xfId="5" xr:uid="{2CCA68CD-4B75-425B-9B04-53E42FC073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707936</xdr:colOff>
      <xdr:row>17</xdr:row>
      <xdr:rowOff>95250</xdr:rowOff>
    </xdr:from>
    <xdr:to>
      <xdr:col>19</xdr:col>
      <xdr:colOff>56733</xdr:colOff>
      <xdr:row>27</xdr:row>
      <xdr:rowOff>104394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660E2DC-CACD-3A71-FAA1-1F1133C2B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23461" y="3343275"/>
          <a:ext cx="2606347" cy="239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4"/>
  <sheetViews>
    <sheetView zoomScale="70" zoomScaleNormal="70" zoomScaleSheetLayoutView="100" zoomScalePageLayoutView="80" workbookViewId="0">
      <selection activeCell="O19" sqref="O19"/>
    </sheetView>
  </sheetViews>
  <sheetFormatPr defaultRowHeight="12.75" x14ac:dyDescent="0.2"/>
  <cols>
    <col min="1" max="1" width="22.140625" customWidth="1"/>
    <col min="2" max="2" width="11.5703125" customWidth="1"/>
    <col min="3" max="3" width="13.42578125" customWidth="1"/>
    <col min="4" max="4" width="13.5703125" customWidth="1"/>
    <col min="5" max="5" width="12.7109375" style="2" bestFit="1" customWidth="1"/>
    <col min="6" max="6" width="13.140625" style="2" bestFit="1" customWidth="1"/>
    <col min="7" max="7" width="11.85546875" style="2" customWidth="1"/>
    <col min="8" max="8" width="13.85546875" customWidth="1"/>
    <col min="9" max="9" width="11.7109375" customWidth="1"/>
    <col min="10" max="10" width="14.5703125" customWidth="1"/>
    <col min="11" max="11" width="13" customWidth="1"/>
    <col min="12" max="13" width="12.28515625" customWidth="1"/>
    <col min="14" max="14" width="10.5703125" customWidth="1"/>
    <col min="15" max="15" width="13.5703125" customWidth="1"/>
    <col min="16" max="16" width="12.5703125" customWidth="1"/>
    <col min="18" max="18" width="14.28515625" customWidth="1"/>
    <col min="19" max="19" width="12.85546875" customWidth="1"/>
    <col min="20" max="20" width="10.28515625" customWidth="1"/>
    <col min="21" max="21" width="10.7109375" customWidth="1"/>
    <col min="22" max="22" width="10" customWidth="1"/>
    <col min="23" max="23" width="11" customWidth="1"/>
    <col min="27" max="27" width="13.140625" customWidth="1"/>
    <col min="32" max="32" width="12" customWidth="1"/>
    <col min="33" max="33" width="12.7109375" customWidth="1"/>
    <col min="36" max="36" width="13.28515625" customWidth="1"/>
  </cols>
  <sheetData>
    <row r="1" spans="1:36" ht="15.75" x14ac:dyDescent="0.2">
      <c r="A1" s="202" t="s">
        <v>12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4"/>
    </row>
    <row r="2" spans="1:36" ht="14.25" x14ac:dyDescent="0.2">
      <c r="A2" s="174" t="s">
        <v>172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6"/>
    </row>
    <row r="3" spans="1:36" ht="14.25" x14ac:dyDescent="0.2">
      <c r="A3" s="174" t="s">
        <v>171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</row>
    <row r="4" spans="1:36" ht="14.25" x14ac:dyDescent="0.2">
      <c r="A4" s="174" t="s">
        <v>170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6"/>
    </row>
    <row r="5" spans="1:36" ht="19.5" customHeight="1" x14ac:dyDescent="0.25">
      <c r="A5" s="174" t="s">
        <v>13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6"/>
      <c r="R5" s="35"/>
      <c r="S5" s="35"/>
      <c r="W5" s="55"/>
    </row>
    <row r="6" spans="1:36" ht="19.5" customHeight="1" x14ac:dyDescent="0.25">
      <c r="A6" s="174" t="s">
        <v>167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6"/>
      <c r="R6" s="35"/>
      <c r="S6" s="35"/>
      <c r="W6" s="55"/>
    </row>
    <row r="7" spans="1:36" ht="19.5" customHeight="1" x14ac:dyDescent="0.25">
      <c r="A7" s="174" t="s">
        <v>168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6"/>
      <c r="R7" s="35"/>
      <c r="S7" s="35"/>
      <c r="W7" s="55"/>
    </row>
    <row r="8" spans="1:36" ht="19.5" customHeight="1" x14ac:dyDescent="0.25">
      <c r="A8" s="174" t="s">
        <v>163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  <c r="R8" s="35"/>
      <c r="S8" s="35"/>
      <c r="W8" s="55"/>
    </row>
    <row r="9" spans="1:36" ht="19.5" customHeight="1" x14ac:dyDescent="0.25">
      <c r="A9" s="174" t="s">
        <v>14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  <c r="Q9" s="117" t="s">
        <v>129</v>
      </c>
      <c r="R9" s="118"/>
      <c r="S9" s="118"/>
      <c r="T9" s="118"/>
      <c r="U9" s="118"/>
      <c r="V9" s="118"/>
      <c r="W9" s="118"/>
      <c r="X9" s="118"/>
    </row>
    <row r="10" spans="1:36" ht="19.5" customHeight="1" x14ac:dyDescent="0.25">
      <c r="A10" s="174" t="s">
        <v>15</v>
      </c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6"/>
      <c r="Q10" s="118"/>
      <c r="R10" s="118"/>
      <c r="S10" s="118"/>
      <c r="T10" s="118"/>
      <c r="U10" s="118"/>
      <c r="V10" s="118"/>
      <c r="W10" s="118"/>
      <c r="X10" s="118"/>
    </row>
    <row r="11" spans="1:36" ht="15.75" x14ac:dyDescent="0.25">
      <c r="A11" s="174" t="s">
        <v>169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6"/>
      <c r="Q11" s="117" t="s">
        <v>165</v>
      </c>
      <c r="R11" s="118"/>
      <c r="S11" s="118"/>
      <c r="T11" s="118"/>
      <c r="U11" s="118"/>
      <c r="V11" s="118"/>
      <c r="W11" s="118"/>
      <c r="X11" s="118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</row>
    <row r="12" spans="1:36" ht="16.5" thickBot="1" x14ac:dyDescent="0.3">
      <c r="A12" s="8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90"/>
      <c r="Q12" s="118"/>
      <c r="R12" s="118"/>
      <c r="S12" s="118"/>
      <c r="T12" s="118"/>
      <c r="U12" s="118"/>
      <c r="V12" s="118"/>
      <c r="W12" s="118"/>
      <c r="X12" s="118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</row>
    <row r="13" spans="1:36" ht="15.75" x14ac:dyDescent="0.25">
      <c r="A13" s="91" t="s">
        <v>128</v>
      </c>
      <c r="B13" s="92"/>
      <c r="C13" s="181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  <c r="Q13" s="117"/>
      <c r="R13" s="118"/>
      <c r="S13" s="118"/>
      <c r="T13" s="118"/>
      <c r="U13" s="118"/>
      <c r="V13" s="118"/>
      <c r="W13" s="118"/>
      <c r="X13" s="118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</row>
    <row r="14" spans="1:36" ht="21" x14ac:dyDescent="0.35">
      <c r="A14" s="93" t="s">
        <v>108</v>
      </c>
      <c r="B14" s="80"/>
      <c r="C14" s="81">
        <v>40</v>
      </c>
      <c r="D14" s="115" t="s">
        <v>124</v>
      </c>
      <c r="E14" s="82">
        <v>140</v>
      </c>
      <c r="F14" s="184" t="s">
        <v>109</v>
      </c>
      <c r="G14" s="185"/>
      <c r="H14" s="185"/>
      <c r="I14" s="186"/>
      <c r="J14" s="115" t="s">
        <v>125</v>
      </c>
      <c r="K14" s="83">
        <v>120</v>
      </c>
      <c r="L14" s="187" t="s">
        <v>110</v>
      </c>
      <c r="M14" s="185"/>
      <c r="N14" s="186"/>
      <c r="O14" s="94" t="s">
        <v>162</v>
      </c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</row>
    <row r="15" spans="1:36" ht="16.5" thickBot="1" x14ac:dyDescent="0.3">
      <c r="A15" s="188" t="s">
        <v>111</v>
      </c>
      <c r="B15" s="189"/>
      <c r="C15" s="190"/>
      <c r="D15" s="191">
        <v>30</v>
      </c>
      <c r="E15" s="190"/>
      <c r="F15" s="191" t="s">
        <v>112</v>
      </c>
      <c r="G15" s="192"/>
      <c r="H15" s="193"/>
      <c r="I15" s="103">
        <v>115</v>
      </c>
      <c r="J15" s="191"/>
      <c r="K15" s="192"/>
      <c r="L15" s="193"/>
      <c r="M15" s="100"/>
      <c r="N15" s="101"/>
      <c r="O15" s="10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</row>
    <row r="16" spans="1:36" ht="12.75" customHeight="1" thickBot="1" x14ac:dyDescent="0.25">
      <c r="A16" s="194" t="s">
        <v>164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6"/>
      <c r="S16" s="32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</row>
    <row r="17" spans="1:36" ht="21.95" customHeight="1" x14ac:dyDescent="0.2">
      <c r="A17" s="197" t="s">
        <v>16</v>
      </c>
      <c r="B17" s="95" t="s">
        <v>17</v>
      </c>
      <c r="C17" s="95" t="s">
        <v>18</v>
      </c>
      <c r="D17" s="95" t="s">
        <v>113</v>
      </c>
      <c r="E17" s="199" t="s">
        <v>19</v>
      </c>
      <c r="F17" s="200"/>
      <c r="G17" s="200"/>
      <c r="H17" s="200"/>
      <c r="I17" s="200"/>
      <c r="J17" s="201"/>
      <c r="K17" s="177" t="s">
        <v>115</v>
      </c>
      <c r="L17" s="178"/>
      <c r="M17" s="95" t="s">
        <v>20</v>
      </c>
      <c r="N17" s="95" t="s">
        <v>21</v>
      </c>
      <c r="O17" s="96" t="s">
        <v>22</v>
      </c>
      <c r="R17" s="33"/>
      <c r="S17" s="34"/>
      <c r="V17" s="15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</row>
    <row r="18" spans="1:36" ht="21.95" customHeight="1" x14ac:dyDescent="0.25">
      <c r="A18" s="198"/>
      <c r="B18" s="26" t="s">
        <v>23</v>
      </c>
      <c r="C18" s="26" t="s">
        <v>24</v>
      </c>
      <c r="D18" s="25" t="s">
        <v>114</v>
      </c>
      <c r="E18" s="77" t="s">
        <v>25</v>
      </c>
      <c r="F18" s="78" t="s">
        <v>26</v>
      </c>
      <c r="G18" s="78" t="s">
        <v>27</v>
      </c>
      <c r="H18" s="78" t="s">
        <v>28</v>
      </c>
      <c r="I18" s="78" t="s">
        <v>29</v>
      </c>
      <c r="J18" s="79" t="s">
        <v>30</v>
      </c>
      <c r="K18" s="179" t="s">
        <v>116</v>
      </c>
      <c r="L18" s="180"/>
      <c r="M18" s="26" t="s">
        <v>5</v>
      </c>
      <c r="N18" s="26" t="s">
        <v>31</v>
      </c>
      <c r="O18" s="69" t="s">
        <v>24</v>
      </c>
      <c r="R18" s="33"/>
      <c r="S18" s="34"/>
      <c r="V18" s="15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</row>
    <row r="19" spans="1:36" ht="21.95" customHeight="1" x14ac:dyDescent="0.25">
      <c r="A19" s="70" t="s">
        <v>105</v>
      </c>
      <c r="B19" s="28">
        <v>200</v>
      </c>
      <c r="C19" s="97">
        <v>15</v>
      </c>
      <c r="D19" s="84">
        <f>C19-(((B19/$I$15)^2)*10.2)</f>
        <v>-15.850661625708884</v>
      </c>
      <c r="E19" s="27">
        <v>63</v>
      </c>
      <c r="F19" s="114">
        <f>4+16.22</f>
        <v>20.22</v>
      </c>
      <c r="G19" s="76">
        <f>B44</f>
        <v>16.8</v>
      </c>
      <c r="H19" s="27">
        <f t="shared" ref="H19:H20" si="0">F19+G19</f>
        <v>37.019999999999996</v>
      </c>
      <c r="I19" s="30">
        <f>605*((B19)^1.85)*(K14^ -1.85)*((E19^-4.87)*10000)</f>
        <v>2.6877389535105909E-2</v>
      </c>
      <c r="J19" s="30">
        <f t="shared" ref="J19:J21" si="1">H19*I19</f>
        <v>0.99500096058962062</v>
      </c>
      <c r="K19" s="85">
        <f>(605*((B19)^1.85)*(($E$14)^-1.85)*(($C$14)^-4.87)*10000)</f>
        <v>0.18462556733307775</v>
      </c>
      <c r="L19" s="85">
        <f>K19*$D$15</f>
        <v>5.5387670199923322</v>
      </c>
      <c r="M19" s="114">
        <v>4</v>
      </c>
      <c r="N19" s="29">
        <f t="shared" ref="N19:N21" si="2">(B19/60000)/((E19/2000)^2*3.1416)</f>
        <v>1.0693176848527877</v>
      </c>
      <c r="O19" s="72">
        <f>C19+D19+J19+M19+L19</f>
        <v>9.6831063548730683</v>
      </c>
      <c r="R19" s="31"/>
      <c r="S19" s="31"/>
      <c r="T19" s="50"/>
      <c r="U19" s="31"/>
      <c r="V19" s="31"/>
      <c r="W19" s="31"/>
      <c r="X19" s="31"/>
      <c r="Y19" s="50"/>
      <c r="Z19" s="50"/>
      <c r="AA19" s="31"/>
      <c r="AB19" s="51"/>
      <c r="AC19" s="51"/>
      <c r="AD19" s="24"/>
      <c r="AE19" s="24"/>
      <c r="AF19" s="24"/>
      <c r="AG19" s="24"/>
      <c r="AH19" s="24"/>
      <c r="AI19" s="24"/>
      <c r="AJ19" s="24"/>
    </row>
    <row r="20" spans="1:36" ht="21.95" customHeight="1" x14ac:dyDescent="0.25">
      <c r="A20" s="70" t="s">
        <v>121</v>
      </c>
      <c r="B20" s="28">
        <v>200</v>
      </c>
      <c r="C20" s="97">
        <v>15</v>
      </c>
      <c r="D20" s="84">
        <f>C20-(((B20/$I$15)^2)*10.2)</f>
        <v>-15.850661625708884</v>
      </c>
      <c r="E20" s="27">
        <v>63</v>
      </c>
      <c r="F20" s="114">
        <f>4+0.6+16.14</f>
        <v>20.740000000000002</v>
      </c>
      <c r="G20" s="76">
        <f>B60</f>
        <v>14.899999999999999</v>
      </c>
      <c r="H20" s="27">
        <f t="shared" si="0"/>
        <v>35.64</v>
      </c>
      <c r="I20" s="30">
        <f>605*((B20)^1.85)*(K14^ -1.85)*((E20^-4.87)*10000)</f>
        <v>2.6877389535105909E-2</v>
      </c>
      <c r="J20" s="30">
        <f t="shared" si="1"/>
        <v>0.9579101630311746</v>
      </c>
      <c r="K20" s="85">
        <f>(605*((B20)^1.85)*(($E$14)^-1.85)*(($C$14)^-4.87)*10000)</f>
        <v>0.18462556733307775</v>
      </c>
      <c r="L20" s="85">
        <f>K20*$D$15</f>
        <v>5.5387670199923322</v>
      </c>
      <c r="M20" s="114">
        <v>4</v>
      </c>
      <c r="N20" s="29">
        <f t="shared" si="2"/>
        <v>1.0693176848527877</v>
      </c>
      <c r="O20" s="72">
        <f>C20+D20+J20+M20+L20</f>
        <v>9.6460155573146231</v>
      </c>
      <c r="R20" s="33"/>
      <c r="S20" s="34"/>
      <c r="V20" s="15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</row>
    <row r="21" spans="1:36" ht="21.95" customHeight="1" x14ac:dyDescent="0.2">
      <c r="A21" s="71" t="s">
        <v>59</v>
      </c>
      <c r="B21" s="28">
        <v>400</v>
      </c>
      <c r="C21" s="86">
        <f>O19</f>
        <v>9.6831063548730683</v>
      </c>
      <c r="D21" s="207"/>
      <c r="E21" s="87">
        <v>63</v>
      </c>
      <c r="F21" s="114">
        <f>8.58+5.5+0.5+1.31+24.54+3.84+5.15+0.93+0.77+0.39+0.3+0.48+1+1+1+1</f>
        <v>56.289999999999992</v>
      </c>
      <c r="G21" s="76">
        <f>B76</f>
        <v>34.799999999999997</v>
      </c>
      <c r="H21" s="30">
        <f t="shared" ref="H21:H26" si="3">F21+G21</f>
        <v>91.089999999999989</v>
      </c>
      <c r="I21" s="30">
        <f>605*((B21)^1.85)*(K14^ -1.85)*((E21^-4.87)*10000)</f>
        <v>9.6893039009142826E-2</v>
      </c>
      <c r="J21" s="30">
        <f t="shared" si="1"/>
        <v>8.8259869233428194</v>
      </c>
      <c r="K21" s="138"/>
      <c r="L21" s="139"/>
      <c r="M21" s="114">
        <v>5.5</v>
      </c>
      <c r="N21" s="29">
        <f t="shared" si="2"/>
        <v>2.1386353697055753</v>
      </c>
      <c r="O21" s="72">
        <f t="shared" ref="O21" si="4">C21+J21+M21</f>
        <v>24.009093278215886</v>
      </c>
      <c r="R21" s="33"/>
      <c r="S21" s="34"/>
      <c r="V21" s="15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</row>
    <row r="22" spans="1:36" ht="21.95" customHeight="1" x14ac:dyDescent="0.2">
      <c r="A22" s="71" t="s">
        <v>60</v>
      </c>
      <c r="B22" s="28">
        <v>400</v>
      </c>
      <c r="C22" s="86">
        <v>10.08</v>
      </c>
      <c r="D22" s="208"/>
      <c r="E22" s="87">
        <v>63</v>
      </c>
      <c r="F22" s="114">
        <f>8.58+5.5+0.5+1.31+24.54+3.84+5.15+0.93+0.77+0.39+1+1+1</f>
        <v>54.51</v>
      </c>
      <c r="G22" s="76">
        <f>N73</f>
        <v>31.599999999999998</v>
      </c>
      <c r="H22" s="30">
        <f t="shared" si="3"/>
        <v>86.11</v>
      </c>
      <c r="I22" s="30">
        <f>605*((B22)^1.85)*(K14^ -1.85)*((E22^-4.87)*10000)</f>
        <v>9.6893039009142826E-2</v>
      </c>
      <c r="J22" s="30">
        <f t="shared" ref="J22:J23" si="5">H22*I22</f>
        <v>8.3434595890772894</v>
      </c>
      <c r="K22" s="140"/>
      <c r="L22" s="141"/>
      <c r="M22" s="114">
        <v>5.5</v>
      </c>
      <c r="N22" s="29">
        <f t="shared" ref="N22:N23" si="6">(B22/60000)/((E22/2000)^2*3.1416)</f>
        <v>2.1386353697055753</v>
      </c>
      <c r="O22" s="72">
        <f t="shared" ref="O22:O23" si="7">C22+J22+M22</f>
        <v>23.923459589077289</v>
      </c>
      <c r="R22" s="33"/>
      <c r="S22" s="34"/>
      <c r="V22" s="15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</row>
    <row r="23" spans="1:36" ht="21.95" customHeight="1" x14ac:dyDescent="0.2">
      <c r="A23" s="71" t="s">
        <v>61</v>
      </c>
      <c r="B23" s="28">
        <v>400</v>
      </c>
      <c r="C23" s="86">
        <v>11</v>
      </c>
      <c r="D23" s="208"/>
      <c r="E23" s="87">
        <v>63</v>
      </c>
      <c r="F23" s="114">
        <f>8.58+5.5+0.5+1.31+24.54+3.84+5.15+0.93+1+1</f>
        <v>52.349999999999994</v>
      </c>
      <c r="G23" s="76">
        <f>U73</f>
        <v>24.1</v>
      </c>
      <c r="H23" s="30">
        <f t="shared" si="3"/>
        <v>76.449999999999989</v>
      </c>
      <c r="I23" s="30">
        <f>605*((B23)^1.85)*(K14^ -1.85)*((E23^-4.87)*10000)</f>
        <v>9.6893039009142826E-2</v>
      </c>
      <c r="J23" s="30">
        <f t="shared" si="5"/>
        <v>7.4074728322489678</v>
      </c>
      <c r="K23" s="140"/>
      <c r="L23" s="141"/>
      <c r="M23" s="114">
        <v>5.5</v>
      </c>
      <c r="N23" s="29">
        <f t="shared" si="6"/>
        <v>2.1386353697055753</v>
      </c>
      <c r="O23" s="72">
        <f t="shared" si="7"/>
        <v>23.907472832248967</v>
      </c>
      <c r="R23" s="33"/>
      <c r="S23" s="34"/>
      <c r="V23" s="15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</row>
    <row r="24" spans="1:36" ht="14.25" x14ac:dyDescent="0.2">
      <c r="A24" s="71" t="s">
        <v>65</v>
      </c>
      <c r="B24" s="27">
        <f>B21</f>
        <v>400</v>
      </c>
      <c r="C24" s="86">
        <f>O21</f>
        <v>24.009093278215886</v>
      </c>
      <c r="D24" s="208"/>
      <c r="E24" s="87">
        <v>75</v>
      </c>
      <c r="F24" s="114">
        <f>0.63+0.84+0.92+3</f>
        <v>5.3900000000000006</v>
      </c>
      <c r="G24" s="76">
        <f>F91</f>
        <v>11.7</v>
      </c>
      <c r="H24" s="27">
        <f t="shared" si="3"/>
        <v>17.09</v>
      </c>
      <c r="I24" s="30">
        <f>605*((B24)^1.85)*(K14^ -1.85)*((E24^-4.87)*10000)</f>
        <v>4.145077937049646E-2</v>
      </c>
      <c r="J24" s="30">
        <f>H24*I24</f>
        <v>0.70839381944178448</v>
      </c>
      <c r="K24" s="140"/>
      <c r="L24" s="141"/>
      <c r="M24" s="114">
        <v>2</v>
      </c>
      <c r="N24" s="29">
        <f>(B24/60000)/((E24/2000)^2*3.1416)</f>
        <v>1.5090211168642542</v>
      </c>
      <c r="O24" s="72">
        <f>C24+J24+M24</f>
        <v>26.717487097657671</v>
      </c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</row>
    <row r="25" spans="1:36" ht="14.25" x14ac:dyDescent="0.2">
      <c r="A25" s="71" t="s">
        <v>66</v>
      </c>
      <c r="B25" s="27">
        <f>B24</f>
        <v>400</v>
      </c>
      <c r="C25" s="86">
        <f>O22</f>
        <v>23.923459589077289</v>
      </c>
      <c r="D25" s="208"/>
      <c r="E25" s="87">
        <v>75</v>
      </c>
      <c r="F25" s="114">
        <f>0.93+0.64+0.92+3</f>
        <v>5.49</v>
      </c>
      <c r="G25" s="76">
        <f>N91</f>
        <v>13.3</v>
      </c>
      <c r="H25" s="27">
        <f t="shared" si="3"/>
        <v>18.79</v>
      </c>
      <c r="I25" s="30">
        <f>605*((B25)^1.85)*((K14)^ -1.85)*((E25^-4.87)*10000)</f>
        <v>4.145077937049646E-2</v>
      </c>
      <c r="J25" s="30">
        <f>H25*I25</f>
        <v>0.77886014437162843</v>
      </c>
      <c r="K25" s="140"/>
      <c r="L25" s="141"/>
      <c r="M25" s="114">
        <v>2</v>
      </c>
      <c r="N25" s="29">
        <f>(B25/60000)/((E25/2000)^2*3.1416)</f>
        <v>1.5090211168642542</v>
      </c>
      <c r="O25" s="72">
        <f t="shared" ref="O25:O26" si="8">C25+J25+M25</f>
        <v>26.702319733448917</v>
      </c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</row>
    <row r="26" spans="1:36" ht="14.25" x14ac:dyDescent="0.2">
      <c r="A26" s="71" t="s">
        <v>67</v>
      </c>
      <c r="B26" s="27">
        <f>B25</f>
        <v>400</v>
      </c>
      <c r="C26" s="86">
        <f>O23</f>
        <v>23.907472832248967</v>
      </c>
      <c r="D26" s="209"/>
      <c r="E26" s="87">
        <v>75</v>
      </c>
      <c r="F26" s="114">
        <f>0.82+0.79+0.84+0.92+3</f>
        <v>6.3699999999999992</v>
      </c>
      <c r="G26" s="76">
        <f>U91</f>
        <v>11</v>
      </c>
      <c r="H26" s="27">
        <f t="shared" si="3"/>
        <v>17.369999999999997</v>
      </c>
      <c r="I26" s="30">
        <f>605*((B26)^1.85)*((K14)^ -1.85)*((E26^-4.87)*10000)</f>
        <v>4.145077937049646E-2</v>
      </c>
      <c r="J26" s="30">
        <f>H26*I26</f>
        <v>0.72000003766552345</v>
      </c>
      <c r="K26" s="142"/>
      <c r="L26" s="143"/>
      <c r="M26" s="114">
        <v>2</v>
      </c>
      <c r="N26" s="29">
        <f>(B26/60000)/((E26/2000)^2*3.1416)</f>
        <v>1.5090211168642542</v>
      </c>
      <c r="O26" s="72">
        <f t="shared" si="8"/>
        <v>26.627472869914492</v>
      </c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</row>
    <row r="27" spans="1:36" ht="14.25" x14ac:dyDescent="0.2">
      <c r="A27" s="109"/>
      <c r="B27" s="110"/>
      <c r="C27" s="111"/>
      <c r="D27" s="50"/>
      <c r="E27" s="110"/>
      <c r="F27" s="112"/>
      <c r="G27" s="112"/>
      <c r="H27" s="110"/>
      <c r="I27" s="111"/>
      <c r="J27" s="111"/>
      <c r="K27" s="50"/>
      <c r="L27" s="50"/>
      <c r="M27" s="110"/>
      <c r="N27" s="51"/>
      <c r="O27" s="113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</row>
    <row r="28" spans="1:36" ht="40.5" customHeight="1" x14ac:dyDescent="0.2">
      <c r="A28" s="53"/>
      <c r="B28" s="53"/>
      <c r="C28" s="53"/>
      <c r="D28" s="53"/>
      <c r="E28" s="53"/>
      <c r="F28" s="53"/>
      <c r="G28" s="53"/>
      <c r="H28" s="53"/>
      <c r="I28" s="53"/>
      <c r="J28" s="53"/>
      <c r="L28" s="53"/>
      <c r="M28" s="53"/>
      <c r="N28" s="53"/>
      <c r="O28" s="53"/>
      <c r="Y28" s="24"/>
      <c r="Z28" s="31"/>
      <c r="AA28" s="31"/>
      <c r="AB28" s="24"/>
      <c r="AC28" s="24"/>
      <c r="AD28" s="24"/>
      <c r="AE28" s="24"/>
      <c r="AF28" s="24"/>
      <c r="AG28" s="24"/>
      <c r="AH28" s="31"/>
      <c r="AI28" s="31"/>
      <c r="AJ28" s="31"/>
    </row>
    <row r="29" spans="1:36" ht="14.25" x14ac:dyDescent="0.2">
      <c r="D29" s="108"/>
      <c r="J29" s="4"/>
      <c r="K29" s="4"/>
      <c r="L29" s="4"/>
      <c r="M29" s="4"/>
      <c r="N29" s="4"/>
      <c r="Y29" s="24"/>
      <c r="Z29" s="53"/>
      <c r="AA29" s="53"/>
      <c r="AB29" s="31"/>
      <c r="AC29" s="31"/>
      <c r="AD29" s="31"/>
      <c r="AE29" s="31"/>
      <c r="AF29" s="31"/>
      <c r="AG29" s="31"/>
      <c r="AH29" s="53"/>
      <c r="AI29" s="53"/>
      <c r="AJ29" s="53"/>
    </row>
    <row r="30" spans="1:36" ht="15" thickBot="1" x14ac:dyDescent="0.25">
      <c r="Y30" s="31"/>
      <c r="Z30" s="31"/>
      <c r="AA30" s="50"/>
      <c r="AB30" s="31"/>
      <c r="AC30" s="31"/>
      <c r="AD30" s="31"/>
      <c r="AE30" s="31"/>
      <c r="AF30" s="50"/>
      <c r="AG30" s="50"/>
      <c r="AH30" s="31"/>
      <c r="AI30" s="51"/>
      <c r="AJ30" s="51"/>
    </row>
    <row r="31" spans="1:36" ht="15" thickBot="1" x14ac:dyDescent="0.25">
      <c r="A31" s="166" t="s">
        <v>106</v>
      </c>
      <c r="B31" s="167"/>
      <c r="C31" s="167"/>
      <c r="D31" s="167"/>
      <c r="E31" s="167"/>
      <c r="F31" s="168"/>
      <c r="G31" s="1"/>
      <c r="I31" s="1"/>
      <c r="J31" s="2"/>
      <c r="K31" s="2"/>
      <c r="L31" s="2"/>
      <c r="M31" s="2"/>
      <c r="N31" s="12"/>
      <c r="Y31" s="31"/>
      <c r="Z31" s="31"/>
      <c r="AA31" s="50"/>
      <c r="AB31" s="31"/>
      <c r="AC31" s="31"/>
      <c r="AD31" s="31"/>
      <c r="AE31" s="31"/>
      <c r="AF31" s="50"/>
      <c r="AG31" s="50"/>
      <c r="AH31" s="31"/>
      <c r="AI31" s="51"/>
      <c r="AJ31" s="51"/>
    </row>
    <row r="32" spans="1:36" ht="14.25" x14ac:dyDescent="0.2">
      <c r="A32" s="36" t="s">
        <v>7</v>
      </c>
      <c r="B32" s="4"/>
      <c r="C32" s="4"/>
      <c r="D32" s="4"/>
      <c r="E32" s="4"/>
      <c r="F32" s="37"/>
      <c r="G32" s="4"/>
      <c r="H32" s="4"/>
      <c r="I32" s="3"/>
      <c r="J32" s="4"/>
      <c r="K32" s="4"/>
      <c r="L32" s="4"/>
      <c r="M32" s="4"/>
      <c r="N32" s="4"/>
      <c r="O32" s="4"/>
      <c r="P32" s="4"/>
      <c r="Y32" s="31"/>
      <c r="Z32" s="31"/>
      <c r="AA32" s="50"/>
      <c r="AB32" s="31"/>
      <c r="AC32" s="31"/>
      <c r="AD32" s="31"/>
      <c r="AE32" s="31"/>
      <c r="AF32" s="51"/>
      <c r="AG32" s="51"/>
      <c r="AH32" s="31"/>
      <c r="AI32" s="51"/>
      <c r="AJ32" s="51"/>
    </row>
    <row r="33" spans="1:36" ht="14.25" x14ac:dyDescent="0.2">
      <c r="A33" s="39" t="s">
        <v>8</v>
      </c>
      <c r="B33" s="4"/>
      <c r="C33" s="4"/>
      <c r="D33" s="4"/>
      <c r="E33" s="4"/>
      <c r="F33" s="37"/>
      <c r="G33" s="4"/>
      <c r="H33" s="16"/>
      <c r="I33" s="5"/>
      <c r="J33" s="4"/>
      <c r="K33" s="4"/>
      <c r="L33" s="4"/>
      <c r="M33" s="4"/>
      <c r="N33" s="4"/>
      <c r="O33" s="4"/>
      <c r="P33" s="4"/>
      <c r="Y33" s="31"/>
      <c r="Z33" s="31"/>
      <c r="AA33" s="50"/>
      <c r="AB33" s="31"/>
      <c r="AC33" s="31"/>
      <c r="AD33" s="31"/>
      <c r="AE33" s="31"/>
      <c r="AF33" s="51"/>
      <c r="AG33" s="51"/>
      <c r="AH33" s="31"/>
      <c r="AI33" s="51"/>
      <c r="AJ33" s="51"/>
    </row>
    <row r="34" spans="1:36" ht="14.25" x14ac:dyDescent="0.2">
      <c r="A34" s="169" t="s">
        <v>1</v>
      </c>
      <c r="B34" s="170"/>
      <c r="C34" s="7" t="s">
        <v>0</v>
      </c>
      <c r="D34" s="7" t="s">
        <v>4</v>
      </c>
      <c r="E34" s="7" t="s">
        <v>2</v>
      </c>
      <c r="F34" s="40" t="s">
        <v>2</v>
      </c>
      <c r="H34" s="4"/>
      <c r="I34" s="13"/>
      <c r="J34" s="13"/>
      <c r="K34" s="13"/>
      <c r="L34" s="13"/>
      <c r="M34" s="13"/>
      <c r="N34" s="13"/>
      <c r="O34" s="13"/>
      <c r="P34" s="13"/>
      <c r="Y34" s="31"/>
    </row>
    <row r="35" spans="1:36" ht="14.25" x14ac:dyDescent="0.2">
      <c r="A35" s="171"/>
      <c r="B35" s="172"/>
      <c r="C35" s="9" t="s">
        <v>6</v>
      </c>
      <c r="D35" s="9" t="s">
        <v>10</v>
      </c>
      <c r="E35" s="9" t="s">
        <v>5</v>
      </c>
      <c r="F35" s="23" t="s">
        <v>5</v>
      </c>
      <c r="H35" s="4"/>
      <c r="I35" s="173"/>
      <c r="J35" s="173"/>
      <c r="K35" s="13"/>
      <c r="L35" s="13"/>
      <c r="M35" s="16"/>
      <c r="N35" s="16"/>
      <c r="O35" s="16"/>
      <c r="P35" s="16"/>
      <c r="Y35" s="31"/>
    </row>
    <row r="36" spans="1:36" ht="14.25" x14ac:dyDescent="0.2">
      <c r="A36" s="164" t="s">
        <v>56</v>
      </c>
      <c r="B36" s="165"/>
      <c r="C36" s="9">
        <v>63</v>
      </c>
      <c r="D36" s="9">
        <v>1</v>
      </c>
      <c r="E36" s="9">
        <v>10</v>
      </c>
      <c r="F36" s="41">
        <f t="shared" ref="F36:F39" si="9">E36*D36</f>
        <v>10</v>
      </c>
      <c r="H36" s="13"/>
      <c r="I36" s="161"/>
      <c r="J36" s="161"/>
      <c r="K36" s="16"/>
      <c r="L36" s="16"/>
      <c r="M36" s="16"/>
      <c r="N36" s="16"/>
      <c r="O36" s="22"/>
      <c r="P36" s="22"/>
      <c r="Y36" s="31"/>
      <c r="AD36" s="31"/>
      <c r="AE36" s="31"/>
    </row>
    <row r="37" spans="1:36" ht="14.25" x14ac:dyDescent="0.2">
      <c r="A37" s="164" t="s">
        <v>90</v>
      </c>
      <c r="B37" s="165"/>
      <c r="C37" s="9">
        <v>63</v>
      </c>
      <c r="D37" s="9">
        <v>1</v>
      </c>
      <c r="E37" s="9">
        <v>0.8</v>
      </c>
      <c r="F37" s="41">
        <f t="shared" si="9"/>
        <v>0.8</v>
      </c>
      <c r="H37" s="13"/>
      <c r="I37" s="16"/>
      <c r="J37" s="16"/>
      <c r="K37" s="16"/>
      <c r="L37" s="16"/>
      <c r="M37" s="16"/>
      <c r="N37" s="16"/>
      <c r="O37" s="22"/>
      <c r="P37" s="22"/>
      <c r="Y37" s="31"/>
      <c r="AD37" s="31"/>
      <c r="AE37" s="31"/>
    </row>
    <row r="38" spans="1:36" ht="14.25" x14ac:dyDescent="0.2">
      <c r="A38" s="164" t="s">
        <v>91</v>
      </c>
      <c r="B38" s="165"/>
      <c r="C38" s="9">
        <v>63</v>
      </c>
      <c r="D38" s="9">
        <v>1</v>
      </c>
      <c r="E38" s="9">
        <v>4.3</v>
      </c>
      <c r="F38" s="41">
        <f t="shared" si="9"/>
        <v>4.3</v>
      </c>
      <c r="H38" s="13"/>
      <c r="I38" s="16"/>
      <c r="J38" s="16"/>
      <c r="K38" s="16"/>
      <c r="L38" s="16"/>
      <c r="M38" s="16"/>
      <c r="N38" s="16"/>
      <c r="O38" s="22"/>
      <c r="P38" s="22"/>
      <c r="Y38" s="31"/>
      <c r="AD38" s="31"/>
      <c r="AE38" s="31"/>
    </row>
    <row r="39" spans="1:36" ht="14.25" x14ac:dyDescent="0.2">
      <c r="A39" s="164" t="s">
        <v>57</v>
      </c>
      <c r="B39" s="165"/>
      <c r="C39" s="9">
        <v>63</v>
      </c>
      <c r="D39" s="9">
        <v>1</v>
      </c>
      <c r="E39" s="10">
        <v>1.7</v>
      </c>
      <c r="F39" s="41">
        <f t="shared" si="9"/>
        <v>1.7</v>
      </c>
      <c r="H39" s="13"/>
      <c r="I39" s="161"/>
      <c r="J39" s="161"/>
      <c r="K39" s="16"/>
      <c r="L39" s="16"/>
      <c r="M39" s="16"/>
      <c r="N39" s="16"/>
      <c r="O39" s="22"/>
      <c r="P39" s="22"/>
      <c r="Y39" s="31"/>
      <c r="AD39" s="31"/>
      <c r="AE39" s="31"/>
    </row>
    <row r="40" spans="1:36" ht="14.25" x14ac:dyDescent="0.2">
      <c r="A40" s="164" t="s">
        <v>92</v>
      </c>
      <c r="B40" s="165"/>
      <c r="C40" s="9">
        <v>63</v>
      </c>
      <c r="D40" s="9"/>
      <c r="E40" s="10">
        <v>1.6</v>
      </c>
      <c r="F40" s="41">
        <f>E40*D40</f>
        <v>0</v>
      </c>
      <c r="H40" s="13"/>
      <c r="I40" s="161"/>
      <c r="J40" s="161"/>
      <c r="K40" s="16"/>
      <c r="L40" s="16"/>
      <c r="M40" s="16"/>
      <c r="N40" s="16"/>
      <c r="O40" s="22"/>
      <c r="P40" s="22"/>
      <c r="AD40" s="31"/>
      <c r="AE40" s="31"/>
    </row>
    <row r="41" spans="1:36" ht="14.25" x14ac:dyDescent="0.2">
      <c r="A41" s="38"/>
      <c r="B41" s="4"/>
      <c r="C41" s="4"/>
      <c r="D41" s="4"/>
      <c r="E41" s="3" t="s">
        <v>3</v>
      </c>
      <c r="F41" s="75">
        <f>SUM(F36:F40)</f>
        <v>16.8</v>
      </c>
      <c r="H41" s="16"/>
      <c r="I41" s="4"/>
      <c r="J41" s="4"/>
      <c r="K41" s="4"/>
      <c r="L41" s="4"/>
      <c r="M41" s="4"/>
      <c r="N41" s="4"/>
      <c r="O41" s="3"/>
      <c r="P41" s="18"/>
      <c r="AD41" s="31"/>
      <c r="AE41" s="31"/>
    </row>
    <row r="42" spans="1:36" ht="14.25" x14ac:dyDescent="0.2">
      <c r="A42" s="36" t="s">
        <v>9</v>
      </c>
      <c r="B42" s="4"/>
      <c r="C42" s="4"/>
      <c r="D42" s="4"/>
      <c r="E42" s="4"/>
      <c r="F42" s="104"/>
      <c r="G42" s="17"/>
      <c r="H42" s="21"/>
      <c r="I42" s="162"/>
      <c r="J42" s="162"/>
      <c r="K42" s="162"/>
      <c r="L42" s="162"/>
      <c r="M42" s="162"/>
      <c r="N42" s="162"/>
      <c r="P42" s="17"/>
      <c r="Q42" s="162"/>
      <c r="R42" s="162"/>
      <c r="S42" s="162"/>
      <c r="T42" s="162"/>
      <c r="U42" s="162"/>
      <c r="V42" s="162"/>
      <c r="X42" s="162"/>
      <c r="Y42" s="162"/>
      <c r="Z42" s="162"/>
      <c r="AA42" s="162"/>
      <c r="AB42" s="162"/>
      <c r="AC42" s="162"/>
      <c r="AD42" s="31"/>
      <c r="AE42" s="31"/>
    </row>
    <row r="43" spans="1:36" x14ac:dyDescent="0.2">
      <c r="A43" s="38"/>
      <c r="B43" s="4"/>
      <c r="C43" s="4"/>
      <c r="D43" s="4"/>
      <c r="E43" s="4"/>
      <c r="F43" s="104"/>
      <c r="G43" s="17"/>
      <c r="H43" s="22"/>
      <c r="J43" s="2"/>
      <c r="K43" s="2"/>
      <c r="L43" s="2"/>
      <c r="M43" s="2"/>
      <c r="P43" s="17"/>
      <c r="R43" s="2"/>
      <c r="S43" s="2"/>
      <c r="T43" s="2"/>
      <c r="U43" s="2"/>
      <c r="V43" s="2"/>
      <c r="Y43" s="2"/>
      <c r="Z43" s="2"/>
      <c r="AA43" s="2"/>
    </row>
    <row r="44" spans="1:36" ht="13.5" thickBot="1" x14ac:dyDescent="0.25">
      <c r="A44" s="43" t="s">
        <v>11</v>
      </c>
      <c r="B44" s="44">
        <f>F41</f>
        <v>16.8</v>
      </c>
      <c r="C44" s="45" t="s">
        <v>5</v>
      </c>
      <c r="D44" s="45"/>
      <c r="E44" s="46"/>
      <c r="F44" s="105"/>
      <c r="G44" s="17"/>
      <c r="H44" s="21"/>
      <c r="I44" s="3"/>
      <c r="J44" s="4"/>
      <c r="K44" s="4"/>
      <c r="L44" s="4"/>
      <c r="M44" s="3"/>
      <c r="N44" s="4"/>
      <c r="O44" s="4"/>
      <c r="P44" s="17"/>
      <c r="Q44" s="3"/>
      <c r="R44" s="4"/>
      <c r="S44" s="4"/>
      <c r="T44" s="4"/>
      <c r="U44" s="4"/>
      <c r="V44" s="3"/>
      <c r="W44" s="4"/>
      <c r="X44" s="3"/>
      <c r="Y44" s="4"/>
      <c r="Z44" s="4"/>
      <c r="AA44" s="3"/>
      <c r="AB44" s="4"/>
      <c r="AC44" s="4"/>
    </row>
    <row r="45" spans="1:36" x14ac:dyDescent="0.2">
      <c r="B45" s="2"/>
      <c r="C45" s="2"/>
      <c r="D45" s="2"/>
      <c r="F45"/>
      <c r="G45"/>
      <c r="H45" s="18"/>
      <c r="I45" s="4"/>
      <c r="J45" s="4"/>
      <c r="K45" s="4"/>
      <c r="L45" s="4"/>
      <c r="M45" s="5"/>
      <c r="N45" s="4"/>
      <c r="O45" s="4"/>
      <c r="Q45" s="4"/>
      <c r="R45" s="4"/>
      <c r="S45" s="4"/>
      <c r="T45" s="4"/>
      <c r="U45" s="4"/>
      <c r="V45" s="5"/>
      <c r="W45" s="4"/>
      <c r="X45" s="4"/>
      <c r="Y45" s="4"/>
      <c r="Z45" s="4"/>
      <c r="AA45" s="5"/>
      <c r="AB45" s="4"/>
      <c r="AC45" s="4"/>
    </row>
    <row r="46" spans="1:36" ht="13.5" thickBot="1" x14ac:dyDescent="0.25">
      <c r="B46" s="2"/>
      <c r="C46" s="2"/>
      <c r="D46" s="2"/>
      <c r="F46"/>
      <c r="G46"/>
      <c r="H46" s="17"/>
      <c r="I46" s="19"/>
      <c r="J46" s="20"/>
      <c r="K46" s="6"/>
      <c r="L46" s="6"/>
      <c r="M46" s="13"/>
      <c r="N46" s="13"/>
      <c r="O46" s="13"/>
      <c r="Q46" s="19"/>
      <c r="R46" s="20"/>
      <c r="S46" s="20"/>
      <c r="T46" s="20"/>
      <c r="U46" s="6"/>
      <c r="V46" s="13"/>
      <c r="W46" s="13"/>
      <c r="X46" s="19"/>
      <c r="Y46" s="20"/>
      <c r="Z46" s="6"/>
      <c r="AA46" s="13"/>
      <c r="AB46" s="13"/>
      <c r="AC46" s="13"/>
    </row>
    <row r="47" spans="1:36" ht="13.5" thickBot="1" x14ac:dyDescent="0.25">
      <c r="A47" s="166" t="s">
        <v>107</v>
      </c>
      <c r="B47" s="167"/>
      <c r="C47" s="167"/>
      <c r="D47" s="167"/>
      <c r="E47" s="167"/>
      <c r="F47" s="168"/>
      <c r="G47" s="1"/>
      <c r="I47" s="4"/>
      <c r="J47" s="4"/>
      <c r="K47" s="4"/>
      <c r="L47" s="4"/>
      <c r="M47" s="11"/>
      <c r="N47" s="4"/>
      <c r="O47" s="16"/>
      <c r="Q47" s="4"/>
      <c r="R47" s="4"/>
      <c r="S47" s="4"/>
      <c r="T47" s="4"/>
      <c r="U47" s="4"/>
      <c r="V47" s="11"/>
      <c r="W47" s="4"/>
      <c r="X47" s="4"/>
      <c r="Y47" s="4"/>
      <c r="Z47" s="4"/>
      <c r="AA47" s="11"/>
      <c r="AB47" s="4"/>
      <c r="AC47" s="16"/>
    </row>
    <row r="48" spans="1:36" x14ac:dyDescent="0.2">
      <c r="A48" s="36" t="s">
        <v>7</v>
      </c>
      <c r="B48" s="4"/>
      <c r="C48" s="4"/>
      <c r="D48" s="4"/>
      <c r="E48" s="4"/>
      <c r="F48" s="37"/>
      <c r="G48" s="4"/>
      <c r="H48" s="4"/>
      <c r="I48" s="161"/>
      <c r="J48" s="161"/>
      <c r="K48" s="16"/>
      <c r="L48" s="16"/>
      <c r="M48" s="16"/>
      <c r="N48" s="22"/>
      <c r="O48" s="2"/>
      <c r="P48" s="16"/>
      <c r="Q48" s="161"/>
      <c r="R48" s="161"/>
      <c r="S48" s="16"/>
      <c r="T48" s="16"/>
      <c r="U48" s="16"/>
      <c r="V48" s="22"/>
      <c r="X48" s="161"/>
      <c r="Y48" s="161"/>
      <c r="Z48" s="16"/>
      <c r="AA48" s="16"/>
      <c r="AB48" s="16"/>
      <c r="AC48" s="22"/>
    </row>
    <row r="49" spans="1:29" x14ac:dyDescent="0.2">
      <c r="A49" s="39" t="s">
        <v>8</v>
      </c>
      <c r="B49" s="4"/>
      <c r="C49" s="4"/>
      <c r="D49" s="4"/>
      <c r="E49" s="4"/>
      <c r="F49" s="37"/>
      <c r="G49" s="4"/>
      <c r="H49" s="16"/>
      <c r="I49" s="161"/>
      <c r="J49" s="161"/>
      <c r="K49" s="16"/>
      <c r="L49" s="16"/>
      <c r="M49" s="22"/>
      <c r="N49" s="22"/>
      <c r="O49" s="2"/>
      <c r="P49" s="16"/>
      <c r="Q49" s="161"/>
      <c r="R49" s="161"/>
      <c r="S49" s="16"/>
      <c r="T49" s="16"/>
      <c r="U49" s="22"/>
      <c r="V49" s="22"/>
      <c r="X49" s="161"/>
      <c r="Y49" s="161"/>
      <c r="Z49" s="16"/>
      <c r="AA49" s="16"/>
      <c r="AB49" s="22"/>
      <c r="AC49" s="22"/>
    </row>
    <row r="50" spans="1:29" x14ac:dyDescent="0.2">
      <c r="A50" s="169" t="s">
        <v>1</v>
      </c>
      <c r="B50" s="170"/>
      <c r="C50" s="7" t="s">
        <v>0</v>
      </c>
      <c r="D50" s="7" t="s">
        <v>4</v>
      </c>
      <c r="E50" s="7" t="s">
        <v>2</v>
      </c>
      <c r="F50" s="40" t="s">
        <v>2</v>
      </c>
      <c r="H50" s="4"/>
      <c r="I50" s="161"/>
      <c r="J50" s="161"/>
      <c r="K50" s="16"/>
      <c r="L50" s="16"/>
      <c r="M50" s="16"/>
      <c r="N50" s="22"/>
      <c r="O50" s="2"/>
      <c r="P50" s="4"/>
      <c r="Q50" s="161"/>
      <c r="R50" s="161"/>
      <c r="S50" s="16"/>
      <c r="T50" s="16"/>
      <c r="U50" s="16"/>
      <c r="V50" s="22"/>
      <c r="X50" s="161"/>
      <c r="Y50" s="161"/>
      <c r="Z50" s="16"/>
      <c r="AA50" s="16"/>
      <c r="AB50" s="16"/>
      <c r="AC50" s="22"/>
    </row>
    <row r="51" spans="1:29" x14ac:dyDescent="0.2">
      <c r="A51" s="171"/>
      <c r="B51" s="172"/>
      <c r="C51" s="8" t="s">
        <v>6</v>
      </c>
      <c r="D51" s="8" t="s">
        <v>10</v>
      </c>
      <c r="E51" s="9" t="s">
        <v>5</v>
      </c>
      <c r="F51" s="23" t="s">
        <v>5</v>
      </c>
      <c r="H51" s="4"/>
      <c r="I51" s="163"/>
      <c r="J51" s="163"/>
      <c r="K51" s="16"/>
      <c r="L51" s="16"/>
      <c r="M51" s="22"/>
      <c r="N51" s="22"/>
      <c r="O51" s="2"/>
      <c r="P51" s="13"/>
      <c r="Q51" s="163"/>
      <c r="R51" s="163"/>
      <c r="S51" s="16"/>
      <c r="T51" s="16"/>
      <c r="U51" s="22"/>
      <c r="V51" s="22"/>
      <c r="X51" s="161"/>
      <c r="Y51" s="161"/>
      <c r="Z51" s="16"/>
      <c r="AA51" s="16"/>
      <c r="AB51" s="22"/>
      <c r="AC51" s="22"/>
    </row>
    <row r="52" spans="1:29" x14ac:dyDescent="0.2">
      <c r="A52" s="164" t="s">
        <v>56</v>
      </c>
      <c r="B52" s="165"/>
      <c r="C52" s="9">
        <v>63</v>
      </c>
      <c r="D52" s="9">
        <v>1</v>
      </c>
      <c r="E52" s="9">
        <v>10</v>
      </c>
      <c r="F52" s="41">
        <f t="shared" ref="F52:F55" si="10">E52*D52</f>
        <v>10</v>
      </c>
      <c r="H52" s="4"/>
      <c r="I52" s="4"/>
      <c r="J52" s="4"/>
      <c r="K52" s="4"/>
      <c r="L52" s="4"/>
      <c r="M52" s="3"/>
      <c r="N52" s="18"/>
      <c r="O52" s="2"/>
      <c r="P52" s="16"/>
      <c r="Q52" s="4"/>
      <c r="R52" s="4"/>
      <c r="S52" s="4"/>
      <c r="T52" s="4"/>
      <c r="U52" s="3"/>
      <c r="V52" s="18"/>
      <c r="X52" s="4"/>
      <c r="Y52" s="4"/>
      <c r="Z52" s="4"/>
      <c r="AA52" s="4"/>
      <c r="AB52" s="3"/>
      <c r="AC52" s="18"/>
    </row>
    <row r="53" spans="1:29" x14ac:dyDescent="0.2">
      <c r="A53" s="164" t="s">
        <v>90</v>
      </c>
      <c r="B53" s="165"/>
      <c r="C53" s="9">
        <v>63</v>
      </c>
      <c r="D53" s="9">
        <v>2</v>
      </c>
      <c r="E53" s="9">
        <v>0.8</v>
      </c>
      <c r="F53" s="41">
        <f t="shared" si="10"/>
        <v>1.6</v>
      </c>
      <c r="H53" s="4"/>
      <c r="I53" s="3"/>
      <c r="J53" s="4"/>
      <c r="K53" s="4"/>
      <c r="L53" s="4"/>
      <c r="M53" s="4"/>
      <c r="N53" s="3"/>
      <c r="O53" s="17"/>
      <c r="P53" s="21"/>
      <c r="Q53" s="3"/>
      <c r="R53" s="4"/>
      <c r="S53" s="4"/>
      <c r="T53" s="4"/>
      <c r="U53" s="4"/>
      <c r="V53" s="4"/>
      <c r="W53" s="3"/>
      <c r="X53" s="3"/>
      <c r="Y53" s="4"/>
      <c r="Z53" s="4"/>
      <c r="AA53" s="4"/>
      <c r="AB53" s="3"/>
      <c r="AC53" s="17"/>
    </row>
    <row r="54" spans="1:29" x14ac:dyDescent="0.2">
      <c r="A54" s="164" t="s">
        <v>91</v>
      </c>
      <c r="B54" s="165"/>
      <c r="C54" s="9">
        <v>63</v>
      </c>
      <c r="D54" s="9"/>
      <c r="E54" s="9">
        <v>4.3</v>
      </c>
      <c r="F54" s="41">
        <f t="shared" si="10"/>
        <v>0</v>
      </c>
      <c r="H54" s="13"/>
      <c r="I54" s="4"/>
      <c r="J54" s="4"/>
      <c r="K54" s="4"/>
      <c r="L54" s="4"/>
      <c r="M54" s="4"/>
      <c r="N54" s="3"/>
      <c r="O54" s="17"/>
      <c r="P54" s="21"/>
      <c r="Q54" s="4"/>
      <c r="R54" s="4"/>
      <c r="S54" s="4"/>
      <c r="T54" s="4"/>
      <c r="U54" s="4"/>
      <c r="V54" s="4"/>
      <c r="W54" s="3"/>
      <c r="X54" s="4"/>
      <c r="Y54" s="4"/>
      <c r="Z54" s="4"/>
      <c r="AA54" s="4"/>
      <c r="AB54" s="3"/>
      <c r="AC54" s="17"/>
    </row>
    <row r="55" spans="1:29" x14ac:dyDescent="0.2">
      <c r="A55" s="164" t="s">
        <v>57</v>
      </c>
      <c r="B55" s="165"/>
      <c r="C55" s="9">
        <v>63</v>
      </c>
      <c r="D55" s="9">
        <v>1</v>
      </c>
      <c r="E55" s="10">
        <v>1.7</v>
      </c>
      <c r="F55" s="41">
        <f t="shared" si="10"/>
        <v>1.7</v>
      </c>
      <c r="H55" s="13"/>
      <c r="I55" s="19"/>
      <c r="J55" s="14"/>
      <c r="K55" s="6"/>
      <c r="L55" s="6"/>
      <c r="M55" s="4"/>
      <c r="N55" s="3"/>
      <c r="O55" s="17"/>
      <c r="P55" s="21"/>
      <c r="Q55" s="19"/>
      <c r="R55" s="14"/>
      <c r="S55" s="6"/>
      <c r="T55" s="14"/>
      <c r="V55" s="4"/>
      <c r="W55" s="3"/>
      <c r="X55" s="19"/>
      <c r="Y55" s="14"/>
      <c r="Z55" s="6"/>
      <c r="AA55" s="4"/>
      <c r="AB55" s="3"/>
      <c r="AC55" s="17"/>
    </row>
    <row r="56" spans="1:29" x14ac:dyDescent="0.2">
      <c r="A56" s="164" t="s">
        <v>92</v>
      </c>
      <c r="B56" s="165"/>
      <c r="C56" s="9">
        <v>63</v>
      </c>
      <c r="D56" s="9">
        <v>1</v>
      </c>
      <c r="E56" s="10">
        <v>1.6</v>
      </c>
      <c r="F56" s="41">
        <f>E56*D56</f>
        <v>1.6</v>
      </c>
      <c r="H56" s="13"/>
      <c r="I56" s="161"/>
      <c r="J56" s="161"/>
      <c r="K56" s="16"/>
      <c r="L56" s="16"/>
    </row>
    <row r="57" spans="1:29" x14ac:dyDescent="0.2">
      <c r="A57" s="38"/>
      <c r="B57" s="4"/>
      <c r="C57" s="4"/>
      <c r="D57" s="16"/>
      <c r="E57" s="3" t="s">
        <v>3</v>
      </c>
      <c r="F57" s="75">
        <f>SUM(F52:F56)</f>
        <v>14.899999999999999</v>
      </c>
      <c r="H57" s="16"/>
      <c r="I57" s="4"/>
      <c r="J57" s="4"/>
      <c r="K57" s="4"/>
      <c r="L57" s="4"/>
      <c r="M57" s="4"/>
      <c r="N57" s="4"/>
      <c r="O57" s="3"/>
      <c r="P57" s="18"/>
    </row>
    <row r="58" spans="1:29" x14ac:dyDescent="0.2">
      <c r="A58" s="36" t="s">
        <v>9</v>
      </c>
      <c r="B58" s="4"/>
      <c r="C58" s="4"/>
      <c r="D58" s="4"/>
      <c r="E58" s="4"/>
      <c r="F58" s="104"/>
      <c r="G58" s="17"/>
      <c r="H58" s="21"/>
      <c r="I58" s="3"/>
      <c r="J58" s="4"/>
      <c r="K58" s="4"/>
      <c r="L58" s="4"/>
      <c r="M58" s="4"/>
      <c r="N58" s="4"/>
      <c r="O58" s="3"/>
      <c r="P58" s="17"/>
    </row>
    <row r="59" spans="1:29" x14ac:dyDescent="0.2">
      <c r="A59" s="38"/>
      <c r="B59" s="4"/>
      <c r="C59" s="4"/>
      <c r="D59" s="4"/>
      <c r="E59" s="4"/>
      <c r="F59" s="104"/>
      <c r="G59" s="17"/>
      <c r="H59" s="22"/>
      <c r="I59" s="4"/>
      <c r="J59" s="4"/>
      <c r="K59" s="4"/>
      <c r="L59" s="4"/>
      <c r="M59" s="4"/>
      <c r="N59" s="4"/>
      <c r="O59" s="3"/>
      <c r="P59" s="17"/>
    </row>
    <row r="60" spans="1:29" ht="13.5" thickBot="1" x14ac:dyDescent="0.25">
      <c r="A60" s="43" t="s">
        <v>11</v>
      </c>
      <c r="B60" s="44">
        <f>F57</f>
        <v>14.899999999999999</v>
      </c>
      <c r="C60" s="45" t="s">
        <v>5</v>
      </c>
      <c r="D60" s="45"/>
      <c r="E60" s="46"/>
      <c r="F60" s="105"/>
      <c r="G60" s="17"/>
      <c r="H60" s="21"/>
      <c r="I60" s="19"/>
      <c r="J60" s="74"/>
      <c r="K60" s="74"/>
      <c r="L60" s="74"/>
      <c r="M60" s="6"/>
      <c r="N60" s="4"/>
      <c r="O60" s="3"/>
      <c r="P60" s="17"/>
    </row>
    <row r="61" spans="1:29" x14ac:dyDescent="0.2">
      <c r="B61" s="2"/>
      <c r="C61" s="2"/>
      <c r="D61" s="2"/>
      <c r="F61"/>
      <c r="G61"/>
      <c r="H61" s="18"/>
    </row>
    <row r="62" spans="1:29" ht="13.5" thickBot="1" x14ac:dyDescent="0.25">
      <c r="B62" s="2"/>
      <c r="C62" s="2"/>
      <c r="D62" s="2"/>
      <c r="F62"/>
      <c r="G62"/>
      <c r="H62" s="18"/>
      <c r="I62" s="1"/>
      <c r="J62" s="2"/>
      <c r="K62" s="2"/>
      <c r="L62" s="2"/>
      <c r="M62" s="2"/>
      <c r="N62" s="12"/>
    </row>
    <row r="63" spans="1:29" ht="13.5" thickBot="1" x14ac:dyDescent="0.25">
      <c r="A63" s="166" t="s">
        <v>62</v>
      </c>
      <c r="B63" s="167"/>
      <c r="C63" s="167"/>
      <c r="D63" s="167"/>
      <c r="E63" s="167"/>
      <c r="F63" s="168"/>
      <c r="G63"/>
      <c r="H63" s="17"/>
      <c r="I63" s="166" t="s">
        <v>63</v>
      </c>
      <c r="J63" s="167"/>
      <c r="K63" s="167"/>
      <c r="L63" s="167"/>
      <c r="M63" s="167"/>
      <c r="N63" s="168"/>
      <c r="P63" s="166" t="s">
        <v>64</v>
      </c>
      <c r="Q63" s="167"/>
      <c r="R63" s="167"/>
      <c r="S63" s="167"/>
      <c r="T63" s="167"/>
      <c r="U63" s="168"/>
    </row>
    <row r="64" spans="1:29" x14ac:dyDescent="0.2">
      <c r="A64" s="36" t="s">
        <v>7</v>
      </c>
      <c r="B64" s="4"/>
      <c r="C64" s="4"/>
      <c r="D64" s="4"/>
      <c r="E64" s="4"/>
      <c r="F64" s="37"/>
      <c r="G64" s="4"/>
      <c r="I64" s="36" t="s">
        <v>7</v>
      </c>
      <c r="J64" s="4"/>
      <c r="K64" s="4"/>
      <c r="L64" s="4"/>
      <c r="M64" s="4"/>
      <c r="N64" s="37"/>
      <c r="O64" s="4"/>
      <c r="P64" s="36" t="s">
        <v>7</v>
      </c>
      <c r="Q64" s="4"/>
      <c r="R64" s="4"/>
      <c r="S64" s="4"/>
      <c r="T64" s="4"/>
      <c r="U64" s="37"/>
    </row>
    <row r="65" spans="1:21" x14ac:dyDescent="0.2">
      <c r="A65" s="39" t="s">
        <v>8</v>
      </c>
      <c r="B65" s="4"/>
      <c r="C65" s="4"/>
      <c r="D65" s="4"/>
      <c r="E65" s="4"/>
      <c r="F65" s="37"/>
      <c r="G65" s="4"/>
      <c r="H65" s="4"/>
      <c r="I65" s="39" t="s">
        <v>8</v>
      </c>
      <c r="J65" s="4"/>
      <c r="K65" s="4"/>
      <c r="L65" s="4"/>
      <c r="M65" s="4"/>
      <c r="N65" s="37"/>
      <c r="O65" s="4"/>
      <c r="P65" s="39" t="s">
        <v>8</v>
      </c>
      <c r="Q65" s="4"/>
      <c r="R65" s="4"/>
      <c r="S65" s="4"/>
      <c r="T65" s="4"/>
      <c r="U65" s="37"/>
    </row>
    <row r="66" spans="1:21" x14ac:dyDescent="0.2">
      <c r="A66" s="169" t="s">
        <v>1</v>
      </c>
      <c r="B66" s="170"/>
      <c r="C66" s="7" t="s">
        <v>0</v>
      </c>
      <c r="D66" s="7" t="s">
        <v>4</v>
      </c>
      <c r="E66" s="7" t="s">
        <v>2</v>
      </c>
      <c r="F66" s="40" t="s">
        <v>2</v>
      </c>
      <c r="H66" s="4"/>
      <c r="I66" s="169" t="s">
        <v>1</v>
      </c>
      <c r="J66" s="170"/>
      <c r="K66" s="7" t="s">
        <v>0</v>
      </c>
      <c r="L66" s="7" t="s">
        <v>4</v>
      </c>
      <c r="M66" s="7" t="s">
        <v>2</v>
      </c>
      <c r="N66" s="40" t="s">
        <v>2</v>
      </c>
      <c r="P66" s="169" t="s">
        <v>1</v>
      </c>
      <c r="Q66" s="170"/>
      <c r="R66" s="7" t="s">
        <v>0</v>
      </c>
      <c r="S66" s="7" t="s">
        <v>4</v>
      </c>
      <c r="T66" s="7" t="s">
        <v>2</v>
      </c>
      <c r="U66" s="40" t="s">
        <v>2</v>
      </c>
    </row>
    <row r="67" spans="1:21" x14ac:dyDescent="0.2">
      <c r="A67" s="171"/>
      <c r="B67" s="172"/>
      <c r="C67" s="8" t="s">
        <v>6</v>
      </c>
      <c r="D67" s="8" t="s">
        <v>10</v>
      </c>
      <c r="E67" s="9" t="s">
        <v>5</v>
      </c>
      <c r="F67" s="23" t="s">
        <v>5</v>
      </c>
      <c r="H67" s="13"/>
      <c r="I67" s="171"/>
      <c r="J67" s="172"/>
      <c r="K67" s="8" t="s">
        <v>6</v>
      </c>
      <c r="L67" s="8" t="s">
        <v>10</v>
      </c>
      <c r="M67" s="9" t="s">
        <v>93</v>
      </c>
      <c r="N67" s="23" t="s">
        <v>5</v>
      </c>
      <c r="P67" s="171"/>
      <c r="Q67" s="172"/>
      <c r="R67" s="8" t="s">
        <v>6</v>
      </c>
      <c r="S67" s="8" t="s">
        <v>10</v>
      </c>
      <c r="T67" s="9" t="s">
        <v>5</v>
      </c>
      <c r="U67" s="23" t="s">
        <v>5</v>
      </c>
    </row>
    <row r="68" spans="1:21" x14ac:dyDescent="0.2">
      <c r="A68" s="164" t="s">
        <v>56</v>
      </c>
      <c r="B68" s="165"/>
      <c r="C68" s="9">
        <v>63</v>
      </c>
      <c r="D68" s="9">
        <v>1</v>
      </c>
      <c r="E68" s="9">
        <v>10</v>
      </c>
      <c r="F68" s="41">
        <f t="shared" ref="F68:F71" si="11">E68*D68</f>
        <v>10</v>
      </c>
      <c r="H68" s="16"/>
      <c r="I68" s="164" t="s">
        <v>56</v>
      </c>
      <c r="J68" s="165"/>
      <c r="K68" s="9">
        <v>63</v>
      </c>
      <c r="L68" s="9">
        <v>1</v>
      </c>
      <c r="M68" s="9">
        <v>10</v>
      </c>
      <c r="N68" s="41">
        <f t="shared" ref="N68:N71" si="12">M68*L68</f>
        <v>10</v>
      </c>
      <c r="P68" s="164" t="s">
        <v>56</v>
      </c>
      <c r="Q68" s="165"/>
      <c r="R68" s="9">
        <v>63</v>
      </c>
      <c r="S68" s="9">
        <v>1</v>
      </c>
      <c r="T68" s="9">
        <v>10</v>
      </c>
      <c r="U68" s="41">
        <f t="shared" ref="U68:U71" si="13">T68*S68</f>
        <v>10</v>
      </c>
    </row>
    <row r="69" spans="1:21" x14ac:dyDescent="0.2">
      <c r="A69" s="164" t="s">
        <v>90</v>
      </c>
      <c r="B69" s="165"/>
      <c r="C69" s="9">
        <v>63</v>
      </c>
      <c r="D69" s="9">
        <v>6</v>
      </c>
      <c r="E69" s="9">
        <v>0.8</v>
      </c>
      <c r="F69" s="41">
        <f t="shared" si="11"/>
        <v>4.8000000000000007</v>
      </c>
      <c r="H69" s="16"/>
      <c r="I69" s="164" t="s">
        <v>90</v>
      </c>
      <c r="J69" s="165"/>
      <c r="K69" s="9">
        <v>63</v>
      </c>
      <c r="L69" s="9">
        <v>6</v>
      </c>
      <c r="M69" s="9">
        <v>0.8</v>
      </c>
      <c r="N69" s="41">
        <f t="shared" si="12"/>
        <v>4.8000000000000007</v>
      </c>
      <c r="P69" s="164" t="s">
        <v>90</v>
      </c>
      <c r="Q69" s="165"/>
      <c r="R69" s="9">
        <v>63</v>
      </c>
      <c r="S69" s="9">
        <v>6</v>
      </c>
      <c r="T69" s="9">
        <v>0.8</v>
      </c>
      <c r="U69" s="41">
        <f t="shared" si="13"/>
        <v>4.8000000000000007</v>
      </c>
    </row>
    <row r="70" spans="1:21" x14ac:dyDescent="0.2">
      <c r="A70" s="164" t="s">
        <v>91</v>
      </c>
      <c r="B70" s="165"/>
      <c r="C70" s="9">
        <v>63</v>
      </c>
      <c r="D70" s="9">
        <v>2</v>
      </c>
      <c r="E70" s="9">
        <v>4.3</v>
      </c>
      <c r="F70" s="41">
        <f t="shared" si="11"/>
        <v>8.6</v>
      </c>
      <c r="H70" s="16"/>
      <c r="I70" s="164" t="s">
        <v>91</v>
      </c>
      <c r="J70" s="165"/>
      <c r="K70" s="9">
        <v>63</v>
      </c>
      <c r="L70" s="9">
        <v>2</v>
      </c>
      <c r="M70" s="9">
        <v>4.3</v>
      </c>
      <c r="N70" s="41">
        <f t="shared" si="12"/>
        <v>8.6</v>
      </c>
      <c r="P70" s="164" t="s">
        <v>91</v>
      </c>
      <c r="Q70" s="165"/>
      <c r="R70" s="9">
        <v>63</v>
      </c>
      <c r="S70" s="9">
        <v>1</v>
      </c>
      <c r="T70" s="9">
        <v>4.3</v>
      </c>
      <c r="U70" s="41">
        <f t="shared" si="13"/>
        <v>4.3</v>
      </c>
    </row>
    <row r="71" spans="1:21" x14ac:dyDescent="0.2">
      <c r="A71" s="164" t="s">
        <v>57</v>
      </c>
      <c r="B71" s="165"/>
      <c r="C71" s="9">
        <v>63</v>
      </c>
      <c r="D71" s="9">
        <v>2</v>
      </c>
      <c r="E71" s="10">
        <v>1.7</v>
      </c>
      <c r="F71" s="41">
        <f t="shared" si="11"/>
        <v>3.4</v>
      </c>
      <c r="H71" s="4"/>
      <c r="I71" s="164" t="s">
        <v>57</v>
      </c>
      <c r="J71" s="165"/>
      <c r="K71" s="9">
        <v>63</v>
      </c>
      <c r="L71" s="9">
        <v>2</v>
      </c>
      <c r="M71" s="10">
        <v>1.7</v>
      </c>
      <c r="N71" s="41">
        <f t="shared" si="12"/>
        <v>3.4</v>
      </c>
      <c r="P71" s="164" t="s">
        <v>57</v>
      </c>
      <c r="Q71" s="165"/>
      <c r="R71" s="9">
        <v>63</v>
      </c>
      <c r="S71" s="9">
        <v>2</v>
      </c>
      <c r="T71" s="10">
        <v>1.7</v>
      </c>
      <c r="U71" s="41">
        <f t="shared" si="13"/>
        <v>3.4</v>
      </c>
    </row>
    <row r="72" spans="1:21" x14ac:dyDescent="0.2">
      <c r="A72" s="164" t="s">
        <v>92</v>
      </c>
      <c r="B72" s="165"/>
      <c r="C72" s="9">
        <v>63</v>
      </c>
      <c r="D72" s="9">
        <v>5</v>
      </c>
      <c r="E72" s="10">
        <v>1.6</v>
      </c>
      <c r="F72" s="41">
        <f>E72*D72</f>
        <v>8</v>
      </c>
      <c r="H72" s="13"/>
      <c r="I72" s="164" t="s">
        <v>92</v>
      </c>
      <c r="J72" s="165"/>
      <c r="K72" s="9">
        <v>63</v>
      </c>
      <c r="L72" s="9">
        <v>3</v>
      </c>
      <c r="M72" s="10">
        <v>1.6</v>
      </c>
      <c r="N72" s="41">
        <f>M72*L72</f>
        <v>4.8000000000000007</v>
      </c>
      <c r="P72" s="164" t="s">
        <v>92</v>
      </c>
      <c r="Q72" s="165"/>
      <c r="R72" s="9">
        <v>63</v>
      </c>
      <c r="S72" s="9">
        <v>1</v>
      </c>
      <c r="T72" s="10">
        <v>1.6</v>
      </c>
      <c r="U72" s="41">
        <f>T72*S72</f>
        <v>1.6</v>
      </c>
    </row>
    <row r="73" spans="1:21" x14ac:dyDescent="0.2">
      <c r="A73" s="38"/>
      <c r="B73" s="4"/>
      <c r="C73" s="4"/>
      <c r="D73" s="4"/>
      <c r="E73" s="3" t="s">
        <v>3</v>
      </c>
      <c r="F73" s="75">
        <f>SUM(F68:F72)</f>
        <v>34.799999999999997</v>
      </c>
      <c r="H73" s="16"/>
      <c r="I73" s="38"/>
      <c r="J73" s="4"/>
      <c r="K73" s="4"/>
      <c r="L73" s="4"/>
      <c r="M73" s="3" t="s">
        <v>3</v>
      </c>
      <c r="N73" s="75">
        <f>SUM(N68:N72)</f>
        <v>31.599999999999998</v>
      </c>
      <c r="P73" s="38"/>
      <c r="Q73" s="4"/>
      <c r="R73" s="4"/>
      <c r="S73" s="4"/>
      <c r="T73" s="3" t="s">
        <v>3</v>
      </c>
      <c r="U73" s="75">
        <f>SUM(U68:U72)</f>
        <v>24.1</v>
      </c>
    </row>
    <row r="74" spans="1:21" x14ac:dyDescent="0.2">
      <c r="A74" s="36" t="s">
        <v>9</v>
      </c>
      <c r="B74" s="4"/>
      <c r="C74" s="4"/>
      <c r="D74" s="4"/>
      <c r="E74" s="4"/>
      <c r="F74" s="104"/>
      <c r="G74" s="17"/>
      <c r="H74" s="21"/>
      <c r="I74" s="36" t="s">
        <v>9</v>
      </c>
      <c r="J74" s="4"/>
      <c r="K74" s="4"/>
      <c r="L74" s="4"/>
      <c r="M74" s="4"/>
      <c r="N74" s="37"/>
      <c r="O74" s="3"/>
      <c r="P74" s="36" t="s">
        <v>9</v>
      </c>
      <c r="Q74" s="4"/>
      <c r="R74" s="4"/>
      <c r="S74" s="4"/>
      <c r="T74" s="3"/>
      <c r="U74" s="42"/>
    </row>
    <row r="75" spans="1:21" x14ac:dyDescent="0.2">
      <c r="A75" s="38"/>
      <c r="B75" s="4"/>
      <c r="C75" s="4"/>
      <c r="D75" s="4"/>
      <c r="E75" s="4"/>
      <c r="F75" s="104"/>
      <c r="G75" s="17"/>
      <c r="H75" s="21"/>
      <c r="I75" s="38"/>
      <c r="J75" s="4"/>
      <c r="K75" s="4"/>
      <c r="L75" s="4"/>
      <c r="M75" s="4"/>
      <c r="N75" s="37"/>
      <c r="O75" s="3"/>
      <c r="P75" s="38"/>
      <c r="Q75" s="4"/>
      <c r="R75" s="4"/>
      <c r="S75" s="4"/>
      <c r="T75" s="3"/>
      <c r="U75" s="42"/>
    </row>
    <row r="76" spans="1:21" ht="13.5" thickBot="1" x14ac:dyDescent="0.25">
      <c r="A76" s="43" t="s">
        <v>11</v>
      </c>
      <c r="B76" s="49">
        <f>F73</f>
        <v>34.799999999999997</v>
      </c>
      <c r="C76" s="45" t="s">
        <v>5</v>
      </c>
      <c r="D76" s="45"/>
      <c r="E76" s="46"/>
      <c r="F76" s="105"/>
      <c r="G76" s="17"/>
      <c r="H76" s="21"/>
      <c r="I76" s="43" t="s">
        <v>11</v>
      </c>
      <c r="J76" s="49">
        <f>N73</f>
        <v>31.599999999999998</v>
      </c>
      <c r="K76" s="45" t="s">
        <v>5</v>
      </c>
      <c r="L76" s="49"/>
      <c r="M76" s="106"/>
      <c r="N76" s="107"/>
      <c r="O76" s="3"/>
      <c r="P76" s="43" t="s">
        <v>11</v>
      </c>
      <c r="Q76" s="49">
        <f>U73</f>
        <v>24.1</v>
      </c>
      <c r="R76" s="45" t="s">
        <v>5</v>
      </c>
      <c r="S76" s="46"/>
      <c r="T76" s="47"/>
      <c r="U76" s="48"/>
    </row>
    <row r="77" spans="1:21" x14ac:dyDescent="0.2">
      <c r="A77" s="19"/>
      <c r="B77" s="14"/>
      <c r="C77" s="6"/>
      <c r="D77" s="6"/>
      <c r="E77" s="4"/>
      <c r="F77" s="3"/>
      <c r="G77" s="17"/>
      <c r="H77" s="18"/>
      <c r="J77" s="2"/>
      <c r="K77" s="2"/>
      <c r="L77" s="2"/>
      <c r="M77" s="2"/>
      <c r="N77" s="2"/>
    </row>
    <row r="78" spans="1:21" x14ac:dyDescent="0.2">
      <c r="A78" s="19"/>
      <c r="B78" s="14"/>
      <c r="C78" s="6"/>
      <c r="D78" s="6"/>
      <c r="E78" s="4"/>
      <c r="F78" s="3"/>
      <c r="G78" s="17"/>
      <c r="H78" s="17"/>
      <c r="I78" s="3"/>
      <c r="J78" s="4"/>
      <c r="K78" s="4"/>
      <c r="L78" s="4"/>
      <c r="M78" s="4"/>
      <c r="N78" s="3"/>
      <c r="O78" s="4"/>
      <c r="P78" s="4"/>
    </row>
    <row r="79" spans="1:21" x14ac:dyDescent="0.2">
      <c r="B79" s="2"/>
      <c r="C79" s="2"/>
      <c r="D79" s="2"/>
      <c r="F79"/>
      <c r="G79"/>
      <c r="H79" s="17"/>
      <c r="I79" s="19"/>
      <c r="J79" s="14"/>
      <c r="K79" s="14"/>
      <c r="L79" s="14"/>
      <c r="M79" s="6"/>
      <c r="N79" s="5"/>
      <c r="O79" s="4"/>
      <c r="P79" s="4"/>
    </row>
    <row r="80" spans="1:21" ht="13.5" thickBot="1" x14ac:dyDescent="0.25">
      <c r="H80" s="17"/>
      <c r="I80" s="4"/>
      <c r="J80" s="4"/>
      <c r="K80" s="4"/>
      <c r="L80" s="4"/>
      <c r="M80" s="4"/>
      <c r="N80" s="11"/>
      <c r="O80" s="4"/>
      <c r="P80" s="16"/>
    </row>
    <row r="81" spans="1:21" ht="13.5" thickBot="1" x14ac:dyDescent="0.25">
      <c r="A81" s="166" t="s">
        <v>68</v>
      </c>
      <c r="B81" s="167"/>
      <c r="C81" s="167"/>
      <c r="D81" s="167"/>
      <c r="E81" s="167"/>
      <c r="F81" s="168"/>
      <c r="G81"/>
      <c r="H81" s="17"/>
      <c r="I81" s="166" t="s">
        <v>69</v>
      </c>
      <c r="J81" s="167"/>
      <c r="K81" s="167"/>
      <c r="L81" s="167"/>
      <c r="M81" s="167"/>
      <c r="N81" s="168"/>
      <c r="P81" s="166" t="s">
        <v>70</v>
      </c>
      <c r="Q81" s="167"/>
      <c r="R81" s="167"/>
      <c r="S81" s="167"/>
      <c r="T81" s="167"/>
      <c r="U81" s="168"/>
    </row>
    <row r="82" spans="1:21" x14ac:dyDescent="0.2">
      <c r="A82" s="36" t="s">
        <v>7</v>
      </c>
      <c r="B82" s="4"/>
      <c r="C82" s="4"/>
      <c r="D82" s="4"/>
      <c r="E82" s="4"/>
      <c r="F82" s="37"/>
      <c r="G82" s="4"/>
      <c r="H82" s="13"/>
      <c r="I82" s="36" t="s">
        <v>7</v>
      </c>
      <c r="J82" s="4"/>
      <c r="K82" s="4"/>
      <c r="L82" s="4"/>
      <c r="M82" s="4"/>
      <c r="N82" s="37"/>
      <c r="O82" s="4"/>
      <c r="P82" s="36" t="s">
        <v>7</v>
      </c>
      <c r="Q82" s="4"/>
      <c r="R82" s="4"/>
      <c r="S82" s="4"/>
      <c r="T82" s="4"/>
      <c r="U82" s="37"/>
    </row>
    <row r="83" spans="1:21" x14ac:dyDescent="0.2">
      <c r="A83" s="39" t="s">
        <v>8</v>
      </c>
      <c r="B83" s="4"/>
      <c r="C83" s="4"/>
      <c r="D83" s="4"/>
      <c r="E83" s="4"/>
      <c r="F83" s="37"/>
      <c r="G83" s="4"/>
      <c r="H83" s="16"/>
      <c r="I83" s="39" t="s">
        <v>8</v>
      </c>
      <c r="J83" s="4"/>
      <c r="K83" s="4"/>
      <c r="L83" s="4"/>
      <c r="M83" s="4"/>
      <c r="N83" s="37"/>
      <c r="O83" s="4"/>
      <c r="P83" s="39" t="s">
        <v>8</v>
      </c>
      <c r="Q83" s="4"/>
      <c r="R83" s="4"/>
      <c r="S83" s="4"/>
      <c r="T83" s="4"/>
      <c r="U83" s="37"/>
    </row>
    <row r="84" spans="1:21" x14ac:dyDescent="0.2">
      <c r="A84" s="169" t="s">
        <v>1</v>
      </c>
      <c r="B84" s="170"/>
      <c r="C84" s="7" t="s">
        <v>0</v>
      </c>
      <c r="D84" s="7" t="s">
        <v>4</v>
      </c>
      <c r="E84" s="7" t="s">
        <v>2</v>
      </c>
      <c r="F84" s="40" t="s">
        <v>2</v>
      </c>
      <c r="H84" s="4"/>
      <c r="I84" s="169" t="s">
        <v>1</v>
      </c>
      <c r="J84" s="170"/>
      <c r="K84" s="7" t="s">
        <v>0</v>
      </c>
      <c r="L84" s="7" t="s">
        <v>4</v>
      </c>
      <c r="M84" s="7" t="s">
        <v>2</v>
      </c>
      <c r="N84" s="40" t="s">
        <v>2</v>
      </c>
      <c r="P84" s="169" t="s">
        <v>1</v>
      </c>
      <c r="Q84" s="170"/>
      <c r="R84" s="7" t="s">
        <v>0</v>
      </c>
      <c r="S84" s="7" t="s">
        <v>4</v>
      </c>
      <c r="T84" s="7" t="s">
        <v>2</v>
      </c>
      <c r="U84" s="40" t="s">
        <v>2</v>
      </c>
    </row>
    <row r="85" spans="1:21" x14ac:dyDescent="0.2">
      <c r="A85" s="171"/>
      <c r="B85" s="172"/>
      <c r="C85" s="8" t="s">
        <v>6</v>
      </c>
      <c r="D85" s="8" t="s">
        <v>10</v>
      </c>
      <c r="E85" s="9" t="s">
        <v>5</v>
      </c>
      <c r="F85" s="23" t="s">
        <v>5</v>
      </c>
      <c r="H85" s="4"/>
      <c r="I85" s="171"/>
      <c r="J85" s="172"/>
      <c r="K85" s="8" t="s">
        <v>6</v>
      </c>
      <c r="L85" s="8" t="s">
        <v>10</v>
      </c>
      <c r="M85" s="9" t="s">
        <v>5</v>
      </c>
      <c r="N85" s="23" t="s">
        <v>5</v>
      </c>
      <c r="P85" s="171"/>
      <c r="Q85" s="172"/>
      <c r="R85" s="8" t="s">
        <v>6</v>
      </c>
      <c r="S85" s="8" t="s">
        <v>10</v>
      </c>
      <c r="T85" s="9" t="s">
        <v>5</v>
      </c>
      <c r="U85" s="23" t="s">
        <v>5</v>
      </c>
    </row>
    <row r="86" spans="1:21" x14ac:dyDescent="0.2">
      <c r="A86" s="164" t="s">
        <v>57</v>
      </c>
      <c r="B86" s="165"/>
      <c r="C86" s="9">
        <v>75</v>
      </c>
      <c r="D86" s="9">
        <v>1</v>
      </c>
      <c r="E86" s="10">
        <v>2.1</v>
      </c>
      <c r="F86" s="41">
        <f t="shared" ref="F86:F87" si="14">E86*D86</f>
        <v>2.1</v>
      </c>
      <c r="H86" s="13"/>
      <c r="I86" s="164" t="s">
        <v>57</v>
      </c>
      <c r="J86" s="165"/>
      <c r="K86" s="9">
        <v>75</v>
      </c>
      <c r="L86" s="9">
        <v>1</v>
      </c>
      <c r="M86" s="10">
        <v>2.1</v>
      </c>
      <c r="N86" s="41">
        <f t="shared" ref="N86:N87" si="15">M86*L86</f>
        <v>2.1</v>
      </c>
      <c r="P86" s="164" t="s">
        <v>57</v>
      </c>
      <c r="Q86" s="165"/>
      <c r="R86" s="9">
        <v>75</v>
      </c>
      <c r="S86" s="9">
        <v>1</v>
      </c>
      <c r="T86" s="10">
        <v>2.1</v>
      </c>
      <c r="U86" s="41">
        <f t="shared" ref="U86:U87" si="16">T86*S86</f>
        <v>2.1</v>
      </c>
    </row>
    <row r="87" spans="1:21" x14ac:dyDescent="0.2">
      <c r="A87" s="164" t="s">
        <v>90</v>
      </c>
      <c r="B87" s="165"/>
      <c r="C87" s="9">
        <v>75</v>
      </c>
      <c r="D87" s="9">
        <v>3</v>
      </c>
      <c r="E87" s="9">
        <v>1.3</v>
      </c>
      <c r="F87" s="41">
        <f t="shared" si="14"/>
        <v>3.9000000000000004</v>
      </c>
      <c r="H87" s="16"/>
      <c r="I87" s="164" t="s">
        <v>90</v>
      </c>
      <c r="J87" s="165"/>
      <c r="K87" s="9">
        <v>75</v>
      </c>
      <c r="L87" s="9">
        <v>3</v>
      </c>
      <c r="M87" s="9">
        <v>1.3</v>
      </c>
      <c r="N87" s="41">
        <f t="shared" si="15"/>
        <v>3.9000000000000004</v>
      </c>
      <c r="P87" s="164" t="s">
        <v>90</v>
      </c>
      <c r="Q87" s="165"/>
      <c r="R87" s="9">
        <v>75</v>
      </c>
      <c r="S87" s="9">
        <v>4</v>
      </c>
      <c r="T87" s="9">
        <v>1.3</v>
      </c>
      <c r="U87" s="41">
        <f t="shared" si="16"/>
        <v>5.2</v>
      </c>
    </row>
    <row r="88" spans="1:21" x14ac:dyDescent="0.2">
      <c r="A88" s="164" t="s">
        <v>92</v>
      </c>
      <c r="B88" s="165"/>
      <c r="C88" s="8">
        <v>75</v>
      </c>
      <c r="D88" s="9"/>
      <c r="E88" s="10">
        <v>1.6</v>
      </c>
      <c r="F88" s="41">
        <f>E88*D88</f>
        <v>0</v>
      </c>
      <c r="H88" s="16"/>
      <c r="I88" s="164" t="s">
        <v>92</v>
      </c>
      <c r="J88" s="165"/>
      <c r="K88" s="8">
        <v>75</v>
      </c>
      <c r="L88" s="9">
        <v>1</v>
      </c>
      <c r="M88" s="10">
        <v>1.6</v>
      </c>
      <c r="N88" s="41">
        <f>M88*L88</f>
        <v>1.6</v>
      </c>
      <c r="P88" s="164" t="s">
        <v>92</v>
      </c>
      <c r="Q88" s="165"/>
      <c r="R88" s="8">
        <v>75</v>
      </c>
      <c r="S88" s="9">
        <v>2</v>
      </c>
      <c r="T88" s="10">
        <v>1.6</v>
      </c>
      <c r="U88" s="41">
        <f>T88*S88</f>
        <v>3.2</v>
      </c>
    </row>
    <row r="89" spans="1:21" x14ac:dyDescent="0.2">
      <c r="A89" s="164" t="s">
        <v>91</v>
      </c>
      <c r="B89" s="165"/>
      <c r="C89" s="9">
        <v>75</v>
      </c>
      <c r="D89" s="9">
        <v>1</v>
      </c>
      <c r="E89" s="9">
        <v>5.2</v>
      </c>
      <c r="F89" s="41">
        <f t="shared" ref="F89:F90" si="17">E89*D89</f>
        <v>5.2</v>
      </c>
      <c r="H89" s="16"/>
      <c r="I89" s="164" t="s">
        <v>91</v>
      </c>
      <c r="J89" s="165"/>
      <c r="K89" s="9">
        <v>75</v>
      </c>
      <c r="L89" s="9">
        <v>1</v>
      </c>
      <c r="M89" s="9">
        <v>5.2</v>
      </c>
      <c r="N89" s="41">
        <f t="shared" ref="N89:N90" si="18">M89*L89</f>
        <v>5.2</v>
      </c>
      <c r="P89" s="164" t="s">
        <v>91</v>
      </c>
      <c r="Q89" s="165"/>
      <c r="R89" s="9">
        <v>75</v>
      </c>
      <c r="S89" s="9"/>
      <c r="T89" s="9">
        <v>5.2</v>
      </c>
      <c r="U89" s="41">
        <f t="shared" ref="U89:U90" si="19">T89*S89</f>
        <v>0</v>
      </c>
    </row>
    <row r="90" spans="1:21" x14ac:dyDescent="0.2">
      <c r="A90" s="164" t="s">
        <v>58</v>
      </c>
      <c r="B90" s="165"/>
      <c r="C90" s="9">
        <v>75</v>
      </c>
      <c r="D90" s="9">
        <v>1</v>
      </c>
      <c r="E90" s="10">
        <v>0.5</v>
      </c>
      <c r="F90" s="41">
        <f t="shared" si="17"/>
        <v>0.5</v>
      </c>
      <c r="H90" s="21"/>
      <c r="I90" s="205" t="s">
        <v>58</v>
      </c>
      <c r="J90" s="206"/>
      <c r="K90" s="9">
        <v>75</v>
      </c>
      <c r="L90" s="9">
        <v>1</v>
      </c>
      <c r="M90" s="10">
        <v>0.5</v>
      </c>
      <c r="N90" s="41">
        <f t="shared" si="18"/>
        <v>0.5</v>
      </c>
      <c r="P90" s="98" t="s">
        <v>58</v>
      </c>
      <c r="Q90" s="99"/>
      <c r="R90" s="9">
        <v>75</v>
      </c>
      <c r="S90" s="9">
        <v>1</v>
      </c>
      <c r="T90" s="10">
        <v>0.5</v>
      </c>
      <c r="U90" s="41">
        <f t="shared" si="19"/>
        <v>0.5</v>
      </c>
    </row>
    <row r="91" spans="1:21" x14ac:dyDescent="0.2">
      <c r="A91" s="73"/>
      <c r="B91" s="16"/>
      <c r="C91" s="16"/>
      <c r="D91" s="4"/>
      <c r="E91" s="3" t="s">
        <v>3</v>
      </c>
      <c r="F91" s="75">
        <f>SUM(F86:F90)</f>
        <v>11.7</v>
      </c>
      <c r="H91" s="21"/>
      <c r="I91" s="73"/>
      <c r="J91" s="16"/>
      <c r="K91" s="16"/>
      <c r="L91" s="4"/>
      <c r="M91" s="3" t="s">
        <v>3</v>
      </c>
      <c r="N91" s="75">
        <f>SUM(N86:N90)</f>
        <v>13.3</v>
      </c>
      <c r="P91" s="73"/>
      <c r="Q91" s="16"/>
      <c r="R91" s="16"/>
      <c r="S91" s="4"/>
      <c r="T91" s="3" t="s">
        <v>3</v>
      </c>
      <c r="U91" s="75">
        <f>SUM(U86:U90)</f>
        <v>11</v>
      </c>
    </row>
    <row r="92" spans="1:21" x14ac:dyDescent="0.2">
      <c r="A92" s="36" t="s">
        <v>9</v>
      </c>
      <c r="B92" s="4"/>
      <c r="C92" s="4"/>
      <c r="D92" s="4"/>
      <c r="E92" s="4"/>
      <c r="F92" s="104"/>
      <c r="G92" s="17"/>
      <c r="H92" s="18"/>
      <c r="I92" s="36" t="s">
        <v>9</v>
      </c>
      <c r="J92" s="4"/>
      <c r="K92" s="4"/>
      <c r="L92" s="4"/>
      <c r="M92" s="4"/>
      <c r="N92" s="37"/>
      <c r="O92" s="3"/>
      <c r="P92" s="36" t="s">
        <v>9</v>
      </c>
      <c r="Q92" s="4"/>
      <c r="R92" s="4"/>
      <c r="S92" s="4"/>
      <c r="T92" s="3"/>
      <c r="U92" s="42"/>
    </row>
    <row r="93" spans="1:21" x14ac:dyDescent="0.2">
      <c r="A93" s="38"/>
      <c r="B93" s="4"/>
      <c r="C93" s="4"/>
      <c r="D93" s="4"/>
      <c r="E93" s="4"/>
      <c r="F93" s="104"/>
      <c r="G93" s="17"/>
      <c r="H93" s="17"/>
      <c r="I93" s="38"/>
      <c r="J93" s="4"/>
      <c r="K93" s="4"/>
      <c r="L93" s="4"/>
      <c r="M93" s="4"/>
      <c r="N93" s="37"/>
      <c r="O93" s="3"/>
      <c r="P93" s="38"/>
      <c r="Q93" s="4"/>
      <c r="R93" s="4"/>
      <c r="S93" s="4"/>
      <c r="T93" s="3"/>
      <c r="U93" s="42"/>
    </row>
    <row r="94" spans="1:21" ht="13.5" thickBot="1" x14ac:dyDescent="0.25">
      <c r="A94" s="43" t="s">
        <v>11</v>
      </c>
      <c r="B94" s="49">
        <f>F91</f>
        <v>11.7</v>
      </c>
      <c r="C94" s="45" t="s">
        <v>5</v>
      </c>
      <c r="D94" s="45"/>
      <c r="E94" s="46"/>
      <c r="F94" s="105"/>
      <c r="G94" s="17"/>
      <c r="H94" s="17"/>
      <c r="I94" s="43" t="s">
        <v>11</v>
      </c>
      <c r="J94" s="49">
        <f>N91</f>
        <v>13.3</v>
      </c>
      <c r="K94" s="45" t="s">
        <v>5</v>
      </c>
      <c r="L94" s="49"/>
      <c r="M94" s="106"/>
      <c r="N94" s="107"/>
      <c r="O94" s="3"/>
      <c r="P94" s="43" t="s">
        <v>11</v>
      </c>
      <c r="Q94" s="49">
        <f>U91</f>
        <v>11</v>
      </c>
      <c r="R94" s="45" t="s">
        <v>5</v>
      </c>
      <c r="S94" s="46"/>
      <c r="T94" s="47"/>
      <c r="U94" s="48"/>
    </row>
    <row r="95" spans="1:21" x14ac:dyDescent="0.2">
      <c r="E95"/>
      <c r="F95"/>
      <c r="G95"/>
      <c r="J95" s="19"/>
      <c r="K95" s="19"/>
      <c r="L95" s="19"/>
      <c r="M95" s="4"/>
      <c r="N95" s="4"/>
      <c r="O95" s="13"/>
      <c r="P95" s="13"/>
    </row>
    <row r="96" spans="1:21" x14ac:dyDescent="0.2">
      <c r="H96" s="17"/>
      <c r="J96" s="4"/>
      <c r="K96" s="4"/>
      <c r="L96" s="4"/>
      <c r="M96" s="4"/>
      <c r="N96" s="4"/>
      <c r="O96" s="11"/>
      <c r="P96" s="4"/>
    </row>
    <row r="97" spans="10:16" x14ac:dyDescent="0.2">
      <c r="J97" s="3"/>
      <c r="K97" s="3"/>
      <c r="L97" s="3"/>
      <c r="M97" s="4"/>
      <c r="N97" s="4"/>
      <c r="O97" s="4"/>
      <c r="P97" s="4"/>
    </row>
    <row r="98" spans="10:16" x14ac:dyDescent="0.2">
      <c r="J98" s="5"/>
      <c r="K98" s="5"/>
      <c r="L98" s="5"/>
      <c r="M98" s="4"/>
      <c r="N98" s="4"/>
      <c r="O98" s="4"/>
      <c r="P98" s="4"/>
    </row>
    <row r="99" spans="10:16" x14ac:dyDescent="0.2">
      <c r="J99" s="13"/>
      <c r="K99" s="13"/>
      <c r="L99" s="13"/>
      <c r="M99" s="13"/>
      <c r="N99" s="13"/>
      <c r="O99" s="13"/>
      <c r="P99" s="13"/>
    </row>
    <row r="100" spans="10:16" x14ac:dyDescent="0.2">
      <c r="J100" s="13"/>
      <c r="K100" s="13"/>
      <c r="L100" s="13"/>
      <c r="M100" s="13"/>
      <c r="N100" s="16"/>
      <c r="O100" s="16"/>
      <c r="P100" s="16"/>
    </row>
    <row r="101" spans="10:16" x14ac:dyDescent="0.2">
      <c r="J101" s="54"/>
      <c r="K101" s="54"/>
      <c r="L101" s="54"/>
      <c r="M101" s="54"/>
      <c r="N101" s="16"/>
      <c r="O101" s="16"/>
      <c r="P101" s="22"/>
    </row>
    <row r="102" spans="10:16" x14ac:dyDescent="0.2">
      <c r="J102" s="54"/>
      <c r="K102" s="54"/>
      <c r="L102" s="54"/>
      <c r="M102" s="54"/>
      <c r="N102" s="16"/>
      <c r="O102" s="16"/>
      <c r="P102" s="22"/>
    </row>
    <row r="103" spans="10:16" x14ac:dyDescent="0.2">
      <c r="J103" s="4"/>
      <c r="K103" s="4"/>
      <c r="L103" s="4"/>
      <c r="M103" s="4"/>
      <c r="N103" s="4"/>
      <c r="O103" s="4"/>
      <c r="P103" s="3"/>
    </row>
    <row r="104" spans="10:16" x14ac:dyDescent="0.2">
      <c r="J104" s="3"/>
      <c r="K104" s="3"/>
      <c r="L104" s="3"/>
      <c r="M104" s="4"/>
      <c r="N104" s="4"/>
      <c r="O104" s="4"/>
      <c r="P104" s="3"/>
    </row>
    <row r="105" spans="10:16" x14ac:dyDescent="0.2">
      <c r="J105" s="4"/>
      <c r="K105" s="4"/>
      <c r="L105" s="4"/>
      <c r="M105" s="4"/>
      <c r="N105" s="4"/>
      <c r="O105" s="4"/>
      <c r="P105" s="3"/>
    </row>
    <row r="106" spans="10:16" x14ac:dyDescent="0.2">
      <c r="J106" s="19"/>
      <c r="K106" s="19"/>
      <c r="L106" s="19"/>
      <c r="M106" s="20"/>
      <c r="N106" s="6"/>
      <c r="O106" s="4"/>
      <c r="P106" s="3"/>
    </row>
    <row r="108" spans="10:16" x14ac:dyDescent="0.2">
      <c r="J108" s="1"/>
      <c r="K108" s="1"/>
      <c r="L108" s="1"/>
      <c r="M108" s="2"/>
      <c r="N108" s="2"/>
      <c r="O108" s="12"/>
    </row>
    <row r="109" spans="10:16" x14ac:dyDescent="0.2">
      <c r="N109" s="2"/>
      <c r="O109" s="2"/>
      <c r="P109" s="2"/>
    </row>
    <row r="110" spans="10:16" x14ac:dyDescent="0.2">
      <c r="M110" s="4"/>
      <c r="N110" s="4"/>
      <c r="O110" s="4"/>
      <c r="P110" s="5"/>
    </row>
    <row r="111" spans="10:16" x14ac:dyDescent="0.2">
      <c r="M111" s="19"/>
      <c r="N111" s="20"/>
      <c r="O111" s="6"/>
      <c r="P111" s="13"/>
    </row>
    <row r="112" spans="10:16" x14ac:dyDescent="0.2">
      <c r="M112" s="4"/>
      <c r="N112" s="4"/>
      <c r="O112" s="4"/>
      <c r="P112" s="11"/>
    </row>
    <row r="113" spans="13:18" x14ac:dyDescent="0.2">
      <c r="M113" s="3"/>
      <c r="N113" s="4"/>
      <c r="O113" s="4"/>
      <c r="P113" s="4"/>
      <c r="R113" s="4"/>
    </row>
    <row r="114" spans="13:18" x14ac:dyDescent="0.2">
      <c r="M114" s="5"/>
      <c r="N114" s="4"/>
      <c r="O114" s="4"/>
      <c r="P114" s="4"/>
      <c r="R114" s="4"/>
    </row>
    <row r="115" spans="13:18" x14ac:dyDescent="0.2">
      <c r="M115" s="13"/>
      <c r="N115" s="13"/>
      <c r="O115" s="13"/>
      <c r="P115" s="13"/>
      <c r="R115" s="13"/>
    </row>
    <row r="116" spans="13:18" x14ac:dyDescent="0.2">
      <c r="M116" s="13"/>
      <c r="N116" s="13"/>
      <c r="O116" s="16"/>
      <c r="P116" s="16"/>
      <c r="R116" s="16"/>
    </row>
    <row r="117" spans="13:18" x14ac:dyDescent="0.2">
      <c r="M117" s="163"/>
      <c r="N117" s="163"/>
      <c r="O117" s="16"/>
      <c r="P117" s="16"/>
      <c r="R117" s="4"/>
    </row>
    <row r="118" spans="13:18" x14ac:dyDescent="0.2">
      <c r="M118" s="163"/>
      <c r="N118" s="163"/>
      <c r="O118" s="16"/>
      <c r="P118" s="16"/>
      <c r="R118" s="4"/>
    </row>
    <row r="119" spans="13:18" x14ac:dyDescent="0.2">
      <c r="M119" s="163"/>
      <c r="N119" s="163"/>
      <c r="O119" s="16"/>
      <c r="P119" s="16"/>
      <c r="R119" s="13"/>
    </row>
    <row r="120" spans="13:18" x14ac:dyDescent="0.2">
      <c r="M120" s="4"/>
      <c r="N120" s="4"/>
      <c r="O120" s="4"/>
      <c r="P120" s="4"/>
      <c r="R120" s="16"/>
    </row>
    <row r="121" spans="13:18" x14ac:dyDescent="0.2">
      <c r="M121" s="3"/>
      <c r="N121" s="4"/>
      <c r="O121" s="4"/>
      <c r="P121" s="4"/>
      <c r="R121" s="21"/>
    </row>
    <row r="122" spans="13:18" x14ac:dyDescent="0.2">
      <c r="M122" s="4"/>
      <c r="N122" s="4"/>
      <c r="O122" s="4"/>
      <c r="P122" s="4"/>
      <c r="R122" s="21"/>
    </row>
    <row r="123" spans="13:18" x14ac:dyDescent="0.2">
      <c r="M123" s="19"/>
      <c r="N123" s="14"/>
      <c r="O123" s="6"/>
      <c r="P123" s="4"/>
      <c r="R123" s="18"/>
    </row>
    <row r="124" spans="13:18" x14ac:dyDescent="0.2">
      <c r="R124" s="17"/>
    </row>
    <row r="125" spans="13:18" x14ac:dyDescent="0.2">
      <c r="R125" s="17"/>
    </row>
    <row r="126" spans="13:18" x14ac:dyDescent="0.2">
      <c r="R126" s="17"/>
    </row>
    <row r="130" spans="17:18" x14ac:dyDescent="0.2">
      <c r="Q130" s="4"/>
      <c r="R130" s="4"/>
    </row>
    <row r="131" spans="17:18" x14ac:dyDescent="0.2">
      <c r="Q131" s="4"/>
      <c r="R131" s="4"/>
    </row>
    <row r="132" spans="17:18" x14ac:dyDescent="0.2">
      <c r="Q132" s="13"/>
      <c r="R132" s="13"/>
    </row>
    <row r="133" spans="17:18" x14ac:dyDescent="0.2">
      <c r="Q133" s="4"/>
      <c r="R133" s="16"/>
    </row>
    <row r="134" spans="17:18" x14ac:dyDescent="0.2">
      <c r="Q134" s="4"/>
      <c r="R134" s="4"/>
    </row>
    <row r="135" spans="17:18" x14ac:dyDescent="0.2">
      <c r="Q135" s="4"/>
      <c r="R135" s="4"/>
    </row>
    <row r="136" spans="17:18" x14ac:dyDescent="0.2">
      <c r="Q136" s="13"/>
      <c r="R136" s="13"/>
    </row>
    <row r="137" spans="17:18" x14ac:dyDescent="0.2">
      <c r="Q137" s="16"/>
      <c r="R137" s="16"/>
    </row>
    <row r="138" spans="17:18" x14ac:dyDescent="0.2">
      <c r="Q138" s="22"/>
      <c r="R138" s="22"/>
    </row>
    <row r="139" spans="17:18" x14ac:dyDescent="0.2">
      <c r="Q139" s="22"/>
      <c r="R139" s="22"/>
    </row>
    <row r="140" spans="17:18" x14ac:dyDescent="0.2">
      <c r="Q140" s="22"/>
      <c r="R140" s="22"/>
    </row>
    <row r="141" spans="17:18" x14ac:dyDescent="0.2">
      <c r="Q141" s="3"/>
      <c r="R141" s="18"/>
    </row>
    <row r="142" spans="17:18" x14ac:dyDescent="0.2">
      <c r="Q142" s="3"/>
      <c r="R142" s="17"/>
    </row>
    <row r="143" spans="17:18" x14ac:dyDescent="0.2">
      <c r="Q143" s="3"/>
      <c r="R143" s="17"/>
    </row>
    <row r="144" spans="17:18" x14ac:dyDescent="0.2">
      <c r="Q144" s="3"/>
      <c r="R144" s="17"/>
    </row>
  </sheetData>
  <mergeCells count="102">
    <mergeCell ref="A34:B35"/>
    <mergeCell ref="I39:J39"/>
    <mergeCell ref="A39:B39"/>
    <mergeCell ref="A37:B37"/>
    <mergeCell ref="A38:B38"/>
    <mergeCell ref="A36:B36"/>
    <mergeCell ref="I36:J36"/>
    <mergeCell ref="A53:B53"/>
    <mergeCell ref="D21:D26"/>
    <mergeCell ref="P88:Q88"/>
    <mergeCell ref="P69:Q69"/>
    <mergeCell ref="P70:Q70"/>
    <mergeCell ref="P71:Q71"/>
    <mergeCell ref="I86:J86"/>
    <mergeCell ref="I87:J87"/>
    <mergeCell ref="P72:Q72"/>
    <mergeCell ref="P84:Q85"/>
    <mergeCell ref="P86:Q86"/>
    <mergeCell ref="P87:Q87"/>
    <mergeCell ref="M119:N119"/>
    <mergeCell ref="M117:N117"/>
    <mergeCell ref="M118:N118"/>
    <mergeCell ref="A56:B56"/>
    <mergeCell ref="A72:B72"/>
    <mergeCell ref="A87:B87"/>
    <mergeCell ref="A89:B89"/>
    <mergeCell ref="A86:B86"/>
    <mergeCell ref="A71:B71"/>
    <mergeCell ref="I56:J56"/>
    <mergeCell ref="I90:J90"/>
    <mergeCell ref="I88:J88"/>
    <mergeCell ref="I89:J89"/>
    <mergeCell ref="A90:B90"/>
    <mergeCell ref="I68:J68"/>
    <mergeCell ref="I71:J71"/>
    <mergeCell ref="I72:J72"/>
    <mergeCell ref="A88:B88"/>
    <mergeCell ref="A68:B68"/>
    <mergeCell ref="A69:B69"/>
    <mergeCell ref="A70:B70"/>
    <mergeCell ref="I69:J69"/>
    <mergeCell ref="I70:J70"/>
    <mergeCell ref="A1:O1"/>
    <mergeCell ref="A2:O2"/>
    <mergeCell ref="A3:O3"/>
    <mergeCell ref="A4:O4"/>
    <mergeCell ref="A5:O5"/>
    <mergeCell ref="A6:O6"/>
    <mergeCell ref="A7:O7"/>
    <mergeCell ref="A8:O8"/>
    <mergeCell ref="A9:O9"/>
    <mergeCell ref="A10:O10"/>
    <mergeCell ref="A11:O11"/>
    <mergeCell ref="K17:L17"/>
    <mergeCell ref="K18:L18"/>
    <mergeCell ref="C13:O13"/>
    <mergeCell ref="F14:I14"/>
    <mergeCell ref="L14:N14"/>
    <mergeCell ref="A15:C15"/>
    <mergeCell ref="D15:E15"/>
    <mergeCell ref="F15:H15"/>
    <mergeCell ref="J15:L15"/>
    <mergeCell ref="A16:O16"/>
    <mergeCell ref="A17:A18"/>
    <mergeCell ref="E17:J17"/>
    <mergeCell ref="P89:Q89"/>
    <mergeCell ref="P63:U63"/>
    <mergeCell ref="I63:N63"/>
    <mergeCell ref="A81:F81"/>
    <mergeCell ref="I81:N81"/>
    <mergeCell ref="P81:U81"/>
    <mergeCell ref="A31:F31"/>
    <mergeCell ref="P66:Q67"/>
    <mergeCell ref="A63:F63"/>
    <mergeCell ref="A47:F47"/>
    <mergeCell ref="A66:B67"/>
    <mergeCell ref="I66:J67"/>
    <mergeCell ref="A84:B85"/>
    <mergeCell ref="I84:J85"/>
    <mergeCell ref="A40:B40"/>
    <mergeCell ref="I51:J51"/>
    <mergeCell ref="P68:Q68"/>
    <mergeCell ref="I40:J40"/>
    <mergeCell ref="A52:B52"/>
    <mergeCell ref="A50:B51"/>
    <mergeCell ref="A55:B55"/>
    <mergeCell ref="I42:N42"/>
    <mergeCell ref="A54:B54"/>
    <mergeCell ref="I35:J35"/>
    <mergeCell ref="X51:Y51"/>
    <mergeCell ref="X48:Y48"/>
    <mergeCell ref="I49:J49"/>
    <mergeCell ref="Q49:R49"/>
    <mergeCell ref="X49:Y49"/>
    <mergeCell ref="I50:J50"/>
    <mergeCell ref="Q50:R50"/>
    <mergeCell ref="X50:Y50"/>
    <mergeCell ref="X42:AC42"/>
    <mergeCell ref="Q42:V42"/>
    <mergeCell ref="I48:J48"/>
    <mergeCell ref="Q48:R48"/>
    <mergeCell ref="Q51:R51"/>
  </mergeCells>
  <printOptions horizontalCentered="1" verticalCentered="1"/>
  <pageMargins left="0.82677165354330717" right="0.23622047244094491" top="0.74803149606299213" bottom="0.74803149606299213" header="0.31496062992125984" footer="0.31496062992125984"/>
  <pageSetup paperSize="9" scale="67" orientation="landscape" r:id="rId1"/>
  <headerFooter alignWithMargins="0"/>
  <rowBreaks count="2" manualBreakCount="2">
    <brk id="29" max="16383" man="1"/>
    <brk id="62" max="16383" man="1"/>
  </rowBreaks>
  <colBreaks count="1" manualBreakCount="1">
    <brk id="15" max="9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"/>
  <sheetViews>
    <sheetView tabSelected="1" zoomScaleNormal="100" zoomScaleSheetLayoutView="130" workbookViewId="0">
      <selection sqref="A1:K20"/>
    </sheetView>
  </sheetViews>
  <sheetFormatPr defaultRowHeight="12.75" x14ac:dyDescent="0.2"/>
  <cols>
    <col min="5" max="5" width="20.5703125" customWidth="1"/>
    <col min="7" max="7" width="25.28515625" customWidth="1"/>
    <col min="8" max="8" width="24.85546875" customWidth="1"/>
    <col min="11" max="11" width="19.42578125" customWidth="1"/>
  </cols>
  <sheetData>
    <row r="1" spans="1:12" x14ac:dyDescent="0.2">
      <c r="A1" s="248" t="s">
        <v>32</v>
      </c>
      <c r="B1" s="249"/>
      <c r="C1" s="249"/>
      <c r="D1" s="249"/>
      <c r="E1" s="249"/>
      <c r="F1" s="249"/>
      <c r="G1" s="249"/>
      <c r="H1" s="249"/>
      <c r="I1" s="249"/>
      <c r="J1" s="249"/>
      <c r="K1" s="57"/>
    </row>
    <row r="2" spans="1:12" x14ac:dyDescent="0.2">
      <c r="A2" s="58"/>
      <c r="B2" s="59" t="s">
        <v>33</v>
      </c>
      <c r="C2" s="60">
        <f>Barriletes!O23</f>
        <v>23.907472832248967</v>
      </c>
      <c r="D2" s="61" t="s">
        <v>34</v>
      </c>
      <c r="E2" s="59" t="s">
        <v>35</v>
      </c>
      <c r="F2" s="62">
        <f>(Barriletes!B23*60)/1000</f>
        <v>24</v>
      </c>
      <c r="G2" s="61" t="s">
        <v>36</v>
      </c>
      <c r="H2" s="59" t="s">
        <v>122</v>
      </c>
      <c r="I2" s="63">
        <f>(1000*C2*F2)/(75*0.45*3600)</f>
        <v>4.7224637693331299</v>
      </c>
      <c r="J2" s="61" t="s">
        <v>37</v>
      </c>
      <c r="K2" s="64"/>
    </row>
    <row r="3" spans="1:12" x14ac:dyDescent="0.2">
      <c r="A3" s="250"/>
      <c r="B3" s="251"/>
      <c r="C3" s="251"/>
      <c r="D3" s="251"/>
      <c r="E3" s="251"/>
      <c r="F3" s="251"/>
      <c r="G3" s="251"/>
      <c r="H3" s="251"/>
      <c r="I3" s="251"/>
      <c r="J3" s="251"/>
      <c r="K3" s="252"/>
    </row>
    <row r="4" spans="1:12" x14ac:dyDescent="0.2">
      <c r="A4" s="238" t="s">
        <v>38</v>
      </c>
      <c r="B4" s="239"/>
      <c r="C4" s="239"/>
      <c r="D4" s="239"/>
      <c r="E4" s="239"/>
      <c r="F4" s="239"/>
      <c r="G4" s="239"/>
      <c r="H4" s="239"/>
      <c r="I4" s="239"/>
      <c r="J4" s="239"/>
      <c r="K4" s="240"/>
      <c r="L4">
        <f>(1000*C2*F2)/(75*0.45*3600)</f>
        <v>4.7224637693331299</v>
      </c>
    </row>
    <row r="5" spans="1:12" x14ac:dyDescent="0.2">
      <c r="A5" s="250" t="s">
        <v>39</v>
      </c>
      <c r="B5" s="251"/>
      <c r="C5" s="251"/>
      <c r="D5" s="251"/>
      <c r="E5" s="251"/>
      <c r="F5" s="251"/>
      <c r="G5" s="251"/>
      <c r="H5" s="251"/>
      <c r="I5" s="251"/>
      <c r="J5" s="251"/>
      <c r="K5" s="252"/>
    </row>
    <row r="6" spans="1:12" x14ac:dyDescent="0.2">
      <c r="A6" s="241" t="s">
        <v>40</v>
      </c>
      <c r="B6" s="242"/>
      <c r="C6" s="242"/>
      <c r="D6" s="65"/>
      <c r="E6" s="242" t="s">
        <v>41</v>
      </c>
      <c r="F6" s="242"/>
      <c r="G6" s="242"/>
      <c r="H6" s="242" t="s">
        <v>42</v>
      </c>
      <c r="I6" s="242"/>
      <c r="J6" s="242"/>
      <c r="K6" s="66"/>
    </row>
    <row r="7" spans="1:12" x14ac:dyDescent="0.2">
      <c r="A7" s="231" t="s">
        <v>43</v>
      </c>
      <c r="B7" s="210"/>
      <c r="C7" s="210"/>
      <c r="D7" s="61"/>
      <c r="E7" s="210" t="s">
        <v>43</v>
      </c>
      <c r="F7" s="210"/>
      <c r="G7" s="210"/>
      <c r="H7" s="231" t="s">
        <v>43</v>
      </c>
      <c r="I7" s="210"/>
      <c r="J7" s="210"/>
      <c r="K7" s="67"/>
    </row>
    <row r="8" spans="1:12" x14ac:dyDescent="0.2">
      <c r="A8" s="231" t="s">
        <v>174</v>
      </c>
      <c r="B8" s="210"/>
      <c r="C8" s="210"/>
      <c r="D8" s="61"/>
      <c r="E8" s="210" t="s">
        <v>176</v>
      </c>
      <c r="F8" s="210"/>
      <c r="G8" s="210"/>
      <c r="H8" s="210" t="s">
        <v>159</v>
      </c>
      <c r="I8" s="210"/>
      <c r="J8" s="210"/>
      <c r="K8" s="67"/>
    </row>
    <row r="9" spans="1:12" x14ac:dyDescent="0.2">
      <c r="A9" s="210" t="s">
        <v>175</v>
      </c>
      <c r="B9" s="210"/>
      <c r="C9" s="210"/>
      <c r="D9" s="61"/>
      <c r="E9" s="210" t="s">
        <v>173</v>
      </c>
      <c r="F9" s="210"/>
      <c r="G9" s="210"/>
      <c r="H9" s="210" t="s">
        <v>160</v>
      </c>
      <c r="I9" s="210"/>
      <c r="J9" s="210"/>
      <c r="K9" s="67"/>
    </row>
    <row r="10" spans="1:12" x14ac:dyDescent="0.2">
      <c r="A10" s="247" t="s">
        <v>166</v>
      </c>
      <c r="B10" s="211"/>
      <c r="C10" s="211"/>
      <c r="D10" s="56"/>
      <c r="E10" s="211" t="s">
        <v>161</v>
      </c>
      <c r="F10" s="211"/>
      <c r="G10" s="211"/>
      <c r="H10" s="211" t="s">
        <v>123</v>
      </c>
      <c r="I10" s="211"/>
      <c r="J10" s="211"/>
      <c r="K10" s="68"/>
    </row>
    <row r="11" spans="1:12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6"/>
      <c r="K11" s="237"/>
    </row>
    <row r="12" spans="1:12" x14ac:dyDescent="0.2">
      <c r="A12" s="232" t="s">
        <v>44</v>
      </c>
      <c r="B12" s="233"/>
      <c r="C12" s="233"/>
      <c r="D12" s="233"/>
      <c r="E12" s="233"/>
      <c r="F12" s="233"/>
      <c r="G12" s="233"/>
      <c r="H12" s="233"/>
      <c r="I12" s="233"/>
      <c r="J12" s="233"/>
      <c r="K12" s="234"/>
    </row>
    <row r="13" spans="1:12" ht="33.75" customHeight="1" x14ac:dyDescent="0.2">
      <c r="A13" s="238" t="s">
        <v>117</v>
      </c>
      <c r="B13" s="239"/>
      <c r="C13" s="239"/>
      <c r="D13" s="239"/>
      <c r="E13" s="239"/>
      <c r="F13" s="239"/>
      <c r="G13" s="239"/>
      <c r="H13" s="239"/>
      <c r="I13" s="239"/>
      <c r="J13" s="239"/>
      <c r="K13" s="240"/>
    </row>
    <row r="14" spans="1:12" x14ac:dyDescent="0.2">
      <c r="A14" s="241"/>
      <c r="B14" s="242"/>
      <c r="C14" s="242"/>
      <c r="D14" s="242"/>
      <c r="E14" s="242"/>
      <c r="F14" s="242"/>
      <c r="G14" s="242"/>
      <c r="H14" s="242"/>
      <c r="I14" s="242"/>
      <c r="J14" s="242"/>
      <c r="K14" s="243"/>
    </row>
    <row r="15" spans="1:12" x14ac:dyDescent="0.2">
      <c r="A15" s="244" t="s">
        <v>45</v>
      </c>
      <c r="B15" s="245"/>
      <c r="C15" s="245"/>
      <c r="D15" s="245"/>
      <c r="E15" s="245"/>
      <c r="F15" s="245"/>
      <c r="G15" s="245"/>
      <c r="H15" s="245"/>
      <c r="I15" s="245"/>
      <c r="J15" s="245"/>
      <c r="K15" s="246"/>
    </row>
    <row r="16" spans="1:12" x14ac:dyDescent="0.2">
      <c r="A16" s="228" t="s">
        <v>46</v>
      </c>
      <c r="B16" s="229"/>
      <c r="C16" s="229"/>
      <c r="D16" s="229"/>
      <c r="E16" s="229"/>
      <c r="F16" s="229" t="s">
        <v>47</v>
      </c>
      <c r="G16" s="229"/>
      <c r="H16" s="229"/>
      <c r="I16" s="229"/>
      <c r="J16" s="229"/>
      <c r="K16" s="230"/>
    </row>
    <row r="17" spans="1:11" ht="27" customHeight="1" x14ac:dyDescent="0.2">
      <c r="A17" s="225" t="s">
        <v>48</v>
      </c>
      <c r="B17" s="226"/>
      <c r="C17" s="226"/>
      <c r="D17" s="226"/>
      <c r="E17" s="226"/>
      <c r="F17" s="229" t="s">
        <v>49</v>
      </c>
      <c r="G17" s="229"/>
      <c r="H17" s="229"/>
      <c r="I17" s="229"/>
      <c r="J17" s="229"/>
      <c r="K17" s="230"/>
    </row>
    <row r="18" spans="1:11" x14ac:dyDescent="0.2">
      <c r="A18" s="225" t="s">
        <v>50</v>
      </c>
      <c r="B18" s="226"/>
      <c r="C18" s="226"/>
      <c r="D18" s="226"/>
      <c r="E18" s="226"/>
      <c r="F18" s="226" t="s">
        <v>51</v>
      </c>
      <c r="G18" s="226"/>
      <c r="H18" s="226"/>
      <c r="I18" s="226"/>
      <c r="J18" s="226"/>
      <c r="K18" s="227"/>
    </row>
    <row r="19" spans="1:11" x14ac:dyDescent="0.2">
      <c r="A19" s="228" t="s">
        <v>52</v>
      </c>
      <c r="B19" s="229"/>
      <c r="C19" s="229"/>
      <c r="D19" s="229"/>
      <c r="E19" s="229"/>
      <c r="F19" s="229" t="s">
        <v>53</v>
      </c>
      <c r="G19" s="229"/>
      <c r="H19" s="229"/>
      <c r="I19" s="229"/>
      <c r="J19" s="229"/>
      <c r="K19" s="230"/>
    </row>
    <row r="20" spans="1:11" ht="13.5" thickBot="1" x14ac:dyDescent="0.25">
      <c r="A20" s="221" t="s">
        <v>54</v>
      </c>
      <c r="B20" s="222"/>
      <c r="C20" s="222"/>
      <c r="D20" s="222"/>
      <c r="E20" s="222"/>
      <c r="F20" s="223" t="s">
        <v>55</v>
      </c>
      <c r="G20" s="223"/>
      <c r="H20" s="223"/>
      <c r="I20" s="223"/>
      <c r="J20" s="223"/>
      <c r="K20" s="224"/>
    </row>
    <row r="21" spans="1:11" ht="13.5" thickBot="1" x14ac:dyDescent="0.25"/>
    <row r="22" spans="1:11" x14ac:dyDescent="0.2">
      <c r="E22" s="218" t="s">
        <v>118</v>
      </c>
      <c r="F22" s="219"/>
      <c r="G22" s="219"/>
      <c r="H22" s="220"/>
    </row>
    <row r="23" spans="1:11" x14ac:dyDescent="0.2">
      <c r="E23" s="215" t="s">
        <v>119</v>
      </c>
      <c r="F23" s="216"/>
      <c r="G23" s="216"/>
      <c r="H23" s="217"/>
    </row>
    <row r="24" spans="1:11" ht="13.5" thickBot="1" x14ac:dyDescent="0.25">
      <c r="E24" s="212" t="s">
        <v>120</v>
      </c>
      <c r="F24" s="213"/>
      <c r="G24" s="213"/>
      <c r="H24" s="214"/>
    </row>
  </sheetData>
  <mergeCells count="37">
    <mergeCell ref="A1:J1"/>
    <mergeCell ref="A3:K3"/>
    <mergeCell ref="A4:K4"/>
    <mergeCell ref="A5:K5"/>
    <mergeCell ref="A6:C6"/>
    <mergeCell ref="H6:J6"/>
    <mergeCell ref="E6:G6"/>
    <mergeCell ref="H7:J7"/>
    <mergeCell ref="H8:J8"/>
    <mergeCell ref="A17:E17"/>
    <mergeCell ref="F17:K17"/>
    <mergeCell ref="A12:K12"/>
    <mergeCell ref="H9:J9"/>
    <mergeCell ref="H10:J10"/>
    <mergeCell ref="A11:K11"/>
    <mergeCell ref="A13:K13"/>
    <mergeCell ref="A14:K14"/>
    <mergeCell ref="A15:K15"/>
    <mergeCell ref="A7:C7"/>
    <mergeCell ref="A8:C8"/>
    <mergeCell ref="A9:C9"/>
    <mergeCell ref="A10:C10"/>
    <mergeCell ref="E7:G7"/>
    <mergeCell ref="E8:G8"/>
    <mergeCell ref="E9:G9"/>
    <mergeCell ref="E10:G10"/>
    <mergeCell ref="E24:H24"/>
    <mergeCell ref="E23:H23"/>
    <mergeCell ref="E22:H22"/>
    <mergeCell ref="A20:E20"/>
    <mergeCell ref="F20:K20"/>
    <mergeCell ref="A18:E18"/>
    <mergeCell ref="F18:K18"/>
    <mergeCell ref="A19:E19"/>
    <mergeCell ref="F19:K19"/>
    <mergeCell ref="A16:E16"/>
    <mergeCell ref="F16:K16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851CB-2AA2-4EF7-AF43-C105977E447B}">
  <dimension ref="A1:E30"/>
  <sheetViews>
    <sheetView workbookViewId="0">
      <selection activeCell="G22" sqref="G22"/>
    </sheetView>
  </sheetViews>
  <sheetFormatPr defaultRowHeight="12.75" x14ac:dyDescent="0.2"/>
  <cols>
    <col min="1" max="1" width="33.85546875" customWidth="1"/>
    <col min="5" max="5" width="16.140625" customWidth="1"/>
  </cols>
  <sheetData>
    <row r="1" spans="1:5" ht="13.5" thickBot="1" x14ac:dyDescent="0.25"/>
    <row r="2" spans="1:5" ht="15.75" thickBot="1" x14ac:dyDescent="0.3">
      <c r="A2" s="253" t="s">
        <v>71</v>
      </c>
      <c r="B2" s="254"/>
      <c r="C2" s="254"/>
      <c r="D2" s="255"/>
      <c r="E2" s="124"/>
    </row>
    <row r="3" spans="1:5" x14ac:dyDescent="0.2">
      <c r="A3" s="126" t="s">
        <v>72</v>
      </c>
      <c r="B3" s="127" t="s">
        <v>73</v>
      </c>
      <c r="C3" s="127" t="s">
        <v>74</v>
      </c>
      <c r="D3" s="128" t="s">
        <v>4</v>
      </c>
      <c r="E3" s="124"/>
    </row>
    <row r="4" spans="1:5" x14ac:dyDescent="0.2">
      <c r="A4" s="129" t="s">
        <v>75</v>
      </c>
      <c r="B4" s="127" t="s">
        <v>99</v>
      </c>
      <c r="C4" s="127" t="s">
        <v>5</v>
      </c>
      <c r="D4" s="128">
        <v>5.9</v>
      </c>
      <c r="E4" s="124"/>
    </row>
    <row r="5" spans="1:5" x14ac:dyDescent="0.2">
      <c r="A5" s="129" t="s">
        <v>75</v>
      </c>
      <c r="B5" s="127" t="s">
        <v>76</v>
      </c>
      <c r="C5" s="127" t="s">
        <v>5</v>
      </c>
      <c r="D5" s="128">
        <f>1.88+1+1+1+1+0.78+0.3+0.39+0.77+0.93+0.74+0.5+0.5+1+5.15+3.84+24.54+0.5+5.5+0.6+4+8.58+16.22+4+16.14+0.6+4</f>
        <v>105.46</v>
      </c>
      <c r="E5" s="124"/>
    </row>
    <row r="6" spans="1:5" x14ac:dyDescent="0.2">
      <c r="A6" s="129" t="s">
        <v>77</v>
      </c>
      <c r="B6" s="127" t="s">
        <v>99</v>
      </c>
      <c r="C6" s="127" t="s">
        <v>74</v>
      </c>
      <c r="D6" s="128">
        <v>2</v>
      </c>
      <c r="E6" s="124"/>
    </row>
    <row r="7" spans="1:5" x14ac:dyDescent="0.2">
      <c r="A7" s="129" t="s">
        <v>77</v>
      </c>
      <c r="B7" s="127" t="s">
        <v>76</v>
      </c>
      <c r="C7" s="127" t="s">
        <v>74</v>
      </c>
      <c r="D7" s="128">
        <v>7</v>
      </c>
      <c r="E7" s="124"/>
    </row>
    <row r="8" spans="1:5" x14ac:dyDescent="0.2">
      <c r="A8" s="129" t="s">
        <v>94</v>
      </c>
      <c r="B8" s="127" t="s">
        <v>99</v>
      </c>
      <c r="C8" s="127" t="s">
        <v>74</v>
      </c>
      <c r="D8" s="128">
        <v>3</v>
      </c>
      <c r="E8" s="124"/>
    </row>
    <row r="9" spans="1:5" x14ac:dyDescent="0.2">
      <c r="A9" s="129" t="s">
        <v>94</v>
      </c>
      <c r="B9" s="127" t="s">
        <v>76</v>
      </c>
      <c r="C9" s="127" t="s">
        <v>74</v>
      </c>
      <c r="D9" s="128">
        <v>10</v>
      </c>
      <c r="E9" s="124"/>
    </row>
    <row r="10" spans="1:5" x14ac:dyDescent="0.2">
      <c r="A10" s="129" t="s">
        <v>78</v>
      </c>
      <c r="B10" s="127" t="s">
        <v>99</v>
      </c>
      <c r="C10" s="127" t="s">
        <v>74</v>
      </c>
      <c r="D10" s="128">
        <v>2</v>
      </c>
      <c r="E10" s="124"/>
    </row>
    <row r="11" spans="1:5" x14ac:dyDescent="0.2">
      <c r="A11" s="129" t="s">
        <v>78</v>
      </c>
      <c r="B11" s="127" t="s">
        <v>76</v>
      </c>
      <c r="C11" s="127" t="s">
        <v>74</v>
      </c>
      <c r="D11" s="128">
        <v>8</v>
      </c>
      <c r="E11" s="124"/>
    </row>
    <row r="12" spans="1:5" x14ac:dyDescent="0.2">
      <c r="A12" s="129" t="s">
        <v>79</v>
      </c>
      <c r="B12" s="127" t="s">
        <v>76</v>
      </c>
      <c r="C12" s="127" t="s">
        <v>74</v>
      </c>
      <c r="D12" s="128">
        <v>1</v>
      </c>
      <c r="E12" s="124"/>
    </row>
    <row r="13" spans="1:5" x14ac:dyDescent="0.2">
      <c r="A13" s="129" t="s">
        <v>98</v>
      </c>
      <c r="B13" s="127" t="s">
        <v>99</v>
      </c>
      <c r="C13" s="127" t="s">
        <v>74</v>
      </c>
      <c r="D13" s="128">
        <v>3</v>
      </c>
      <c r="E13" s="124"/>
    </row>
    <row r="14" spans="1:5" x14ac:dyDescent="0.2">
      <c r="A14" s="129" t="s">
        <v>98</v>
      </c>
      <c r="B14" s="127" t="s">
        <v>76</v>
      </c>
      <c r="C14" s="127" t="s">
        <v>74</v>
      </c>
      <c r="D14" s="128">
        <v>3</v>
      </c>
      <c r="E14" s="127" t="s">
        <v>126</v>
      </c>
    </row>
    <row r="15" spans="1:5" x14ac:dyDescent="0.2">
      <c r="A15" s="129" t="s">
        <v>100</v>
      </c>
      <c r="B15" s="127" t="s">
        <v>99</v>
      </c>
      <c r="C15" s="127" t="s">
        <v>74</v>
      </c>
      <c r="D15" s="128">
        <v>1</v>
      </c>
      <c r="E15" s="124"/>
    </row>
    <row r="16" spans="1:5" ht="25.5" x14ac:dyDescent="0.2">
      <c r="A16" s="129" t="s">
        <v>80</v>
      </c>
      <c r="B16" s="127" t="s">
        <v>76</v>
      </c>
      <c r="C16" s="127" t="s">
        <v>74</v>
      </c>
      <c r="D16" s="128">
        <v>3</v>
      </c>
      <c r="E16" s="127" t="s">
        <v>126</v>
      </c>
    </row>
    <row r="17" spans="1:5" ht="25.5" x14ac:dyDescent="0.2">
      <c r="A17" s="129" t="s">
        <v>81</v>
      </c>
      <c r="B17" s="127" t="s">
        <v>76</v>
      </c>
      <c r="C17" s="127" t="s">
        <v>74</v>
      </c>
      <c r="D17" s="128">
        <v>3</v>
      </c>
      <c r="E17" s="127" t="s">
        <v>126</v>
      </c>
    </row>
    <row r="18" spans="1:5" ht="25.5" x14ac:dyDescent="0.2">
      <c r="A18" s="129" t="s">
        <v>82</v>
      </c>
      <c r="B18" s="127" t="s">
        <v>83</v>
      </c>
      <c r="C18" s="127" t="s">
        <v>74</v>
      </c>
      <c r="D18" s="128">
        <v>3</v>
      </c>
      <c r="E18" s="127" t="s">
        <v>126</v>
      </c>
    </row>
    <row r="19" spans="1:5" x14ac:dyDescent="0.2">
      <c r="A19" s="129" t="s">
        <v>101</v>
      </c>
      <c r="B19" s="127" t="s">
        <v>83</v>
      </c>
      <c r="C19" s="127" t="s">
        <v>74</v>
      </c>
      <c r="D19" s="128">
        <v>3</v>
      </c>
      <c r="E19" s="127" t="s">
        <v>126</v>
      </c>
    </row>
    <row r="20" spans="1:5" x14ac:dyDescent="0.2">
      <c r="A20" s="129" t="s">
        <v>97</v>
      </c>
      <c r="B20" s="127" t="s">
        <v>102</v>
      </c>
      <c r="C20" s="127" t="s">
        <v>74</v>
      </c>
      <c r="D20" s="128">
        <v>1</v>
      </c>
      <c r="E20" s="124"/>
    </row>
    <row r="21" spans="1:5" x14ac:dyDescent="0.2">
      <c r="A21" s="129" t="s">
        <v>96</v>
      </c>
      <c r="B21" s="127" t="s">
        <v>103</v>
      </c>
      <c r="C21" s="127" t="s">
        <v>74</v>
      </c>
      <c r="D21" s="128">
        <v>3</v>
      </c>
      <c r="E21" s="124"/>
    </row>
    <row r="22" spans="1:5" x14ac:dyDescent="0.2">
      <c r="A22" s="129" t="s">
        <v>95</v>
      </c>
      <c r="B22" s="127" t="s">
        <v>83</v>
      </c>
      <c r="C22" s="127" t="s">
        <v>74</v>
      </c>
      <c r="D22" s="128">
        <v>6</v>
      </c>
      <c r="E22" s="124" t="s">
        <v>127</v>
      </c>
    </row>
    <row r="23" spans="1:5" ht="27.75" customHeight="1" thickBot="1" x14ac:dyDescent="0.25">
      <c r="A23" s="137" t="s">
        <v>104</v>
      </c>
      <c r="B23" s="136" t="s">
        <v>83</v>
      </c>
      <c r="C23" s="136" t="s">
        <v>74</v>
      </c>
      <c r="D23" s="130">
        <v>1</v>
      </c>
      <c r="E23" s="124"/>
    </row>
    <row r="24" spans="1:5" ht="14.25" thickTop="1" thickBot="1" x14ac:dyDescent="0.25">
      <c r="A24" s="256" t="s">
        <v>84</v>
      </c>
      <c r="B24" s="257"/>
      <c r="C24" s="257"/>
      <c r="D24" s="258"/>
      <c r="E24" s="124"/>
    </row>
    <row r="25" spans="1:5" ht="13.5" thickTop="1" x14ac:dyDescent="0.2">
      <c r="A25" s="126" t="s">
        <v>72</v>
      </c>
      <c r="B25" s="124" t="s">
        <v>73</v>
      </c>
      <c r="C25" s="124" t="s">
        <v>74</v>
      </c>
      <c r="D25" s="131" t="s">
        <v>4</v>
      </c>
      <c r="E25" s="124"/>
    </row>
    <row r="26" spans="1:5" x14ac:dyDescent="0.2">
      <c r="A26" s="132" t="s">
        <v>85</v>
      </c>
      <c r="B26" s="124" t="s">
        <v>86</v>
      </c>
      <c r="C26" s="127" t="s">
        <v>74</v>
      </c>
      <c r="D26" s="131">
        <v>6</v>
      </c>
      <c r="E26" s="124" t="s">
        <v>127</v>
      </c>
    </row>
    <row r="27" spans="1:5" x14ac:dyDescent="0.2">
      <c r="A27" s="125" t="s">
        <v>87</v>
      </c>
      <c r="B27" s="124">
        <v>3</v>
      </c>
      <c r="C27" s="127" t="s">
        <v>74</v>
      </c>
      <c r="D27" s="128">
        <v>3</v>
      </c>
      <c r="E27" s="124"/>
    </row>
    <row r="28" spans="1:5" x14ac:dyDescent="0.2">
      <c r="A28" s="125" t="s">
        <v>87</v>
      </c>
      <c r="B28" s="127" t="s">
        <v>76</v>
      </c>
      <c r="C28" s="127" t="s">
        <v>74</v>
      </c>
      <c r="D28" s="128">
        <v>6</v>
      </c>
      <c r="E28" s="124" t="s">
        <v>127</v>
      </c>
    </row>
    <row r="29" spans="1:5" x14ac:dyDescent="0.2">
      <c r="A29" s="125" t="s">
        <v>88</v>
      </c>
      <c r="B29" s="127" t="s">
        <v>76</v>
      </c>
      <c r="C29" s="127" t="s">
        <v>74</v>
      </c>
      <c r="D29" s="128">
        <v>3</v>
      </c>
      <c r="E29" s="127" t="s">
        <v>126</v>
      </c>
    </row>
    <row r="30" spans="1:5" ht="13.5" thickBot="1" x14ac:dyDescent="0.25">
      <c r="A30" s="133" t="s">
        <v>89</v>
      </c>
      <c r="B30" s="134">
        <v>3</v>
      </c>
      <c r="C30" s="134" t="s">
        <v>74</v>
      </c>
      <c r="D30" s="135">
        <v>1</v>
      </c>
      <c r="E30" s="124"/>
    </row>
  </sheetData>
  <mergeCells count="2">
    <mergeCell ref="A2:D2"/>
    <mergeCell ref="A24:D24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34386-A4FB-4BFD-AE78-A07FD85117B9}">
  <dimension ref="A1:AE36"/>
  <sheetViews>
    <sheetView topLeftCell="A7" zoomScale="85" zoomScaleNormal="85" zoomScaleSheetLayoutView="100" zoomScalePageLayoutView="80" workbookViewId="0">
      <selection sqref="A1:S13"/>
    </sheetView>
  </sheetViews>
  <sheetFormatPr defaultRowHeight="12.75" x14ac:dyDescent="0.2"/>
  <cols>
    <col min="1" max="1" width="14" customWidth="1"/>
    <col min="2" max="2" width="13.42578125" customWidth="1"/>
    <col min="3" max="4" width="14.42578125" customWidth="1"/>
    <col min="5" max="5" width="17.85546875" style="2" customWidth="1"/>
    <col min="6" max="6" width="16.140625" style="2" customWidth="1"/>
    <col min="7" max="7" width="16.5703125" style="2" customWidth="1"/>
    <col min="8" max="8" width="15" customWidth="1"/>
    <col min="9" max="9" width="11.7109375" customWidth="1"/>
    <col min="10" max="10" width="14.5703125" customWidth="1"/>
    <col min="11" max="11" width="13" customWidth="1"/>
    <col min="12" max="12" width="12.42578125" customWidth="1"/>
    <col min="13" max="13" width="8.85546875" customWidth="1"/>
    <col min="14" max="16" width="12.28515625" customWidth="1"/>
    <col min="17" max="17" width="10.5703125" customWidth="1"/>
    <col min="18" max="18" width="13.42578125" customWidth="1"/>
    <col min="19" max="19" width="16.140625" customWidth="1"/>
    <col min="22" max="22" width="13.140625" customWidth="1"/>
    <col min="27" max="27" width="12" customWidth="1"/>
    <col min="28" max="28" width="12.7109375" customWidth="1"/>
    <col min="31" max="31" width="13.28515625" customWidth="1"/>
  </cols>
  <sheetData>
    <row r="1" spans="1:31" x14ac:dyDescent="0.2">
      <c r="A1" s="287" t="s">
        <v>130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9"/>
    </row>
    <row r="2" spans="1:31" ht="13.5" thickBot="1" x14ac:dyDescent="0.25">
      <c r="A2" s="290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2"/>
    </row>
    <row r="3" spans="1:31" ht="21.95" customHeight="1" x14ac:dyDescent="0.2">
      <c r="A3" s="149"/>
      <c r="B3" s="150"/>
      <c r="C3" s="116"/>
      <c r="D3" s="116"/>
      <c r="E3" s="200" t="s">
        <v>136</v>
      </c>
      <c r="F3" s="200"/>
      <c r="G3" s="200"/>
      <c r="H3" s="200"/>
      <c r="I3" s="201" t="s">
        <v>115</v>
      </c>
      <c r="J3" s="286"/>
      <c r="K3" s="286"/>
      <c r="L3" s="286"/>
      <c r="M3" s="199"/>
      <c r="N3" s="116"/>
      <c r="O3" s="116"/>
      <c r="P3" s="116"/>
      <c r="Q3" s="116"/>
      <c r="R3" s="116"/>
      <c r="S3" s="151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</row>
    <row r="4" spans="1:31" ht="75.75" customHeight="1" x14ac:dyDescent="0.2">
      <c r="A4" s="121" t="s">
        <v>131</v>
      </c>
      <c r="B4" s="78" t="s">
        <v>16</v>
      </c>
      <c r="C4" s="120" t="s">
        <v>146</v>
      </c>
      <c r="D4" s="120" t="s">
        <v>157</v>
      </c>
      <c r="E4" s="120" t="s">
        <v>147</v>
      </c>
      <c r="F4" s="120" t="s">
        <v>134</v>
      </c>
      <c r="G4" s="120" t="s">
        <v>135</v>
      </c>
      <c r="H4" s="120" t="s">
        <v>137</v>
      </c>
      <c r="I4" s="120" t="s">
        <v>138</v>
      </c>
      <c r="J4" s="78" t="s">
        <v>139</v>
      </c>
      <c r="K4" s="78" t="s">
        <v>140</v>
      </c>
      <c r="L4" s="78" t="s">
        <v>141</v>
      </c>
      <c r="M4" s="78" t="s">
        <v>142</v>
      </c>
      <c r="N4" s="120" t="s">
        <v>143</v>
      </c>
      <c r="O4" s="120" t="s">
        <v>144</v>
      </c>
      <c r="P4" s="120" t="s">
        <v>145</v>
      </c>
      <c r="Q4" s="120" t="s">
        <v>152</v>
      </c>
      <c r="R4" s="120" t="s">
        <v>153</v>
      </c>
      <c r="S4" s="122" t="s">
        <v>155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</row>
    <row r="5" spans="1:31" ht="53.25" customHeight="1" x14ac:dyDescent="0.2">
      <c r="A5" s="121"/>
      <c r="B5" s="78"/>
      <c r="C5" s="120" t="s">
        <v>158</v>
      </c>
      <c r="D5" s="120" t="s">
        <v>34</v>
      </c>
      <c r="E5" s="78" t="s">
        <v>148</v>
      </c>
      <c r="F5" s="120" t="s">
        <v>5</v>
      </c>
      <c r="G5" s="120" t="s">
        <v>5</v>
      </c>
      <c r="H5" s="120" t="s">
        <v>5</v>
      </c>
      <c r="I5" s="120" t="s">
        <v>149</v>
      </c>
      <c r="J5" s="78" t="s">
        <v>34</v>
      </c>
      <c r="K5" s="78" t="s">
        <v>34</v>
      </c>
      <c r="L5" s="78" t="s">
        <v>34</v>
      </c>
      <c r="M5" s="78" t="s">
        <v>34</v>
      </c>
      <c r="N5" s="120" t="s">
        <v>5</v>
      </c>
      <c r="O5" s="120" t="s">
        <v>34</v>
      </c>
      <c r="P5" s="120" t="s">
        <v>150</v>
      </c>
      <c r="Q5" s="120" t="s">
        <v>151</v>
      </c>
      <c r="R5" s="120" t="s">
        <v>154</v>
      </c>
      <c r="S5" s="122" t="s">
        <v>156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</row>
    <row r="6" spans="1:31" ht="21.95" customHeight="1" x14ac:dyDescent="0.25">
      <c r="A6" s="152" t="s">
        <v>132</v>
      </c>
      <c r="B6" s="144" t="str">
        <f>Barriletes!A19</f>
        <v>H1-A</v>
      </c>
      <c r="C6" s="119">
        <f>Barriletes!B19</f>
        <v>200</v>
      </c>
      <c r="D6" s="114">
        <f>Barriletes!C19</f>
        <v>15</v>
      </c>
      <c r="E6" s="119">
        <f>Barriletes!E19</f>
        <v>63</v>
      </c>
      <c r="F6" s="114">
        <f>Barriletes!F19</f>
        <v>20.22</v>
      </c>
      <c r="G6" s="114">
        <f>Barriletes!G19</f>
        <v>16.8</v>
      </c>
      <c r="H6" s="114">
        <f>G6+F6</f>
        <v>37.019999999999996</v>
      </c>
      <c r="I6" s="114">
        <f>Barriletes!I19</f>
        <v>2.6877389535105909E-2</v>
      </c>
      <c r="J6" s="114">
        <f>Barriletes!J19</f>
        <v>0.99500096058962062</v>
      </c>
      <c r="K6" s="145">
        <f>Barriletes!L19</f>
        <v>5.5387670199923322</v>
      </c>
      <c r="L6" s="114">
        <f>Barriletes!D19</f>
        <v>-15.850661625708884</v>
      </c>
      <c r="M6" s="114">
        <f>J6+K6+L6</f>
        <v>-9.3168936451269317</v>
      </c>
      <c r="N6" s="114">
        <f>Barriletes!M19</f>
        <v>4</v>
      </c>
      <c r="O6" s="114">
        <f>D6+M6+N6</f>
        <v>9.6831063548730683</v>
      </c>
      <c r="P6" s="114">
        <f>(C6)/SQRT(O6)</f>
        <v>64.272122876082648</v>
      </c>
      <c r="Q6" s="146">
        <f>S6*R6</f>
        <v>3.3333333333333331E-3</v>
      </c>
      <c r="R6" s="147">
        <f t="shared" ref="R6:R13" si="0">((E6/1000/2)^2)*3.1416</f>
        <v>3.1172526000000002E-3</v>
      </c>
      <c r="S6" s="153">
        <f>Barriletes!N19</f>
        <v>1.0693176848527877</v>
      </c>
      <c r="T6" s="50"/>
      <c r="U6" s="50"/>
      <c r="V6" s="31"/>
      <c r="W6" s="51"/>
      <c r="X6" s="51"/>
      <c r="Y6" s="24"/>
      <c r="Z6" s="24"/>
      <c r="AA6" s="24"/>
      <c r="AB6" s="24"/>
      <c r="AC6" s="24"/>
      <c r="AD6" s="24"/>
      <c r="AE6" s="24"/>
    </row>
    <row r="7" spans="1:31" ht="21.95" customHeight="1" x14ac:dyDescent="0.25">
      <c r="A7" s="152" t="s">
        <v>133</v>
      </c>
      <c r="B7" s="144" t="str">
        <f>Barriletes!A20</f>
        <v>H2-A</v>
      </c>
      <c r="C7" s="119">
        <f>Barriletes!B20</f>
        <v>200</v>
      </c>
      <c r="D7" s="114">
        <f>Barriletes!C20</f>
        <v>15</v>
      </c>
      <c r="E7" s="119">
        <f>Barriletes!E20</f>
        <v>63</v>
      </c>
      <c r="F7" s="114">
        <f>Barriletes!F20</f>
        <v>20.740000000000002</v>
      </c>
      <c r="G7" s="114">
        <f>Barriletes!G20</f>
        <v>14.899999999999999</v>
      </c>
      <c r="H7" s="114">
        <f t="shared" ref="H7:H13" si="1">G7+F7</f>
        <v>35.64</v>
      </c>
      <c r="I7" s="114">
        <f>Barriletes!I20</f>
        <v>2.6877389535105909E-2</v>
      </c>
      <c r="J7" s="114">
        <f>Barriletes!J20</f>
        <v>0.9579101630311746</v>
      </c>
      <c r="K7" s="145">
        <f>Barriletes!L20</f>
        <v>5.5387670199923322</v>
      </c>
      <c r="L7" s="114">
        <f>Barriletes!D20</f>
        <v>-15.850661625708884</v>
      </c>
      <c r="M7" s="114">
        <f>J7+K7+L7</f>
        <v>-9.3539844426853769</v>
      </c>
      <c r="N7" s="114">
        <f>Barriletes!M20</f>
        <v>4</v>
      </c>
      <c r="O7" s="114">
        <f t="shared" ref="O7:O13" si="2">D7+M7+N7</f>
        <v>9.6460155573146231</v>
      </c>
      <c r="P7" s="114">
        <f t="shared" ref="P7:P13" si="3">(C7)/SQRT(O7)</f>
        <v>64.395573695544797</v>
      </c>
      <c r="Q7" s="146">
        <f t="shared" ref="Q7:Q13" si="4">S7*R7</f>
        <v>3.3333333333333331E-3</v>
      </c>
      <c r="R7" s="147">
        <f t="shared" si="0"/>
        <v>3.1172526000000002E-3</v>
      </c>
      <c r="S7" s="153">
        <f>Barriletes!N20</f>
        <v>1.0693176848527877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</row>
    <row r="8" spans="1:31" ht="21.95" customHeight="1" x14ac:dyDescent="0.2">
      <c r="A8" s="154" t="s">
        <v>83</v>
      </c>
      <c r="B8" s="144" t="str">
        <f>Barriletes!A21</f>
        <v>BL1-A</v>
      </c>
      <c r="C8" s="119">
        <f>Barriletes!B21</f>
        <v>400</v>
      </c>
      <c r="D8" s="114">
        <f>Barriletes!C21</f>
        <v>9.6831063548730683</v>
      </c>
      <c r="E8" s="119">
        <f>Barriletes!E21</f>
        <v>63</v>
      </c>
      <c r="F8" s="114">
        <f>Barriletes!F21</f>
        <v>56.289999999999992</v>
      </c>
      <c r="G8" s="114">
        <f>Barriletes!G21</f>
        <v>34.799999999999997</v>
      </c>
      <c r="H8" s="114">
        <f t="shared" si="1"/>
        <v>91.089999999999989</v>
      </c>
      <c r="I8" s="114">
        <f>Barriletes!I21</f>
        <v>9.6893039009142826E-2</v>
      </c>
      <c r="J8" s="114">
        <f>Barriletes!J21</f>
        <v>8.8259869233428194</v>
      </c>
      <c r="K8" s="293"/>
      <c r="L8" s="293"/>
      <c r="M8" s="114">
        <f t="shared" ref="M8:M13" si="5">J8+K8+L8</f>
        <v>8.8259869233428194</v>
      </c>
      <c r="N8" s="114">
        <f>Barriletes!M21</f>
        <v>5.5</v>
      </c>
      <c r="O8" s="114">
        <f t="shared" si="2"/>
        <v>24.009093278215886</v>
      </c>
      <c r="P8" s="114">
        <f t="shared" si="3"/>
        <v>81.63419450648324</v>
      </c>
      <c r="Q8" s="146">
        <f t="shared" si="4"/>
        <v>6.6666666666666662E-3</v>
      </c>
      <c r="R8" s="147">
        <f t="shared" si="0"/>
        <v>3.1172526000000002E-3</v>
      </c>
      <c r="S8" s="153">
        <f>Barriletes!N21</f>
        <v>2.1386353697055753</v>
      </c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</row>
    <row r="9" spans="1:31" ht="21.95" customHeight="1" x14ac:dyDescent="0.2">
      <c r="A9" s="154" t="s">
        <v>83</v>
      </c>
      <c r="B9" s="144" t="str">
        <f>Barriletes!A22</f>
        <v>BL2-A</v>
      </c>
      <c r="C9" s="119">
        <f>Barriletes!B22</f>
        <v>400</v>
      </c>
      <c r="D9" s="114">
        <f>Barriletes!C22</f>
        <v>10.08</v>
      </c>
      <c r="E9" s="119">
        <f>Barriletes!E22</f>
        <v>63</v>
      </c>
      <c r="F9" s="114">
        <f>Barriletes!F22</f>
        <v>54.51</v>
      </c>
      <c r="G9" s="114">
        <f>Barriletes!G22</f>
        <v>31.599999999999998</v>
      </c>
      <c r="H9" s="114">
        <f t="shared" si="1"/>
        <v>86.11</v>
      </c>
      <c r="I9" s="114">
        <f>Barriletes!I22</f>
        <v>9.6893039009142826E-2</v>
      </c>
      <c r="J9" s="114">
        <f>Barriletes!J22</f>
        <v>8.3434595890772894</v>
      </c>
      <c r="K9" s="293"/>
      <c r="L9" s="293"/>
      <c r="M9" s="114">
        <f t="shared" si="5"/>
        <v>8.3434595890772894</v>
      </c>
      <c r="N9" s="114">
        <f>Barriletes!M22</f>
        <v>5.5</v>
      </c>
      <c r="O9" s="114">
        <f t="shared" si="2"/>
        <v>23.923459589077289</v>
      </c>
      <c r="P9" s="114">
        <f t="shared" si="3"/>
        <v>81.780168224425836</v>
      </c>
      <c r="Q9" s="146">
        <f t="shared" si="4"/>
        <v>6.6666666666666662E-3</v>
      </c>
      <c r="R9" s="147">
        <f t="shared" si="0"/>
        <v>3.1172526000000002E-3</v>
      </c>
      <c r="S9" s="153">
        <f>Barriletes!N22</f>
        <v>2.1386353697055753</v>
      </c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</row>
    <row r="10" spans="1:31" ht="21.95" customHeight="1" x14ac:dyDescent="0.2">
      <c r="A10" s="154" t="s">
        <v>83</v>
      </c>
      <c r="B10" s="144" t="str">
        <f>Barriletes!A23</f>
        <v>BL3-A</v>
      </c>
      <c r="C10" s="119">
        <f>Barriletes!B23</f>
        <v>400</v>
      </c>
      <c r="D10" s="114">
        <f>Barriletes!C23</f>
        <v>11</v>
      </c>
      <c r="E10" s="119">
        <f>Barriletes!E23</f>
        <v>63</v>
      </c>
      <c r="F10" s="114">
        <f>Barriletes!F23</f>
        <v>52.349999999999994</v>
      </c>
      <c r="G10" s="114">
        <f>Barriletes!G23</f>
        <v>24.1</v>
      </c>
      <c r="H10" s="114">
        <f t="shared" si="1"/>
        <v>76.449999999999989</v>
      </c>
      <c r="I10" s="114">
        <f>Barriletes!I23</f>
        <v>9.6893039009142826E-2</v>
      </c>
      <c r="J10" s="114">
        <f>Barriletes!J23</f>
        <v>7.4074728322489678</v>
      </c>
      <c r="K10" s="293"/>
      <c r="L10" s="293"/>
      <c r="M10" s="114">
        <f t="shared" si="5"/>
        <v>7.4074728322489678</v>
      </c>
      <c r="N10" s="114">
        <f>Barriletes!M23</f>
        <v>5.5</v>
      </c>
      <c r="O10" s="114">
        <f t="shared" si="2"/>
        <v>23.907472832248967</v>
      </c>
      <c r="P10" s="114">
        <f t="shared" si="3"/>
        <v>81.807506563002846</v>
      </c>
      <c r="Q10" s="146">
        <f t="shared" si="4"/>
        <v>6.6666666666666662E-3</v>
      </c>
      <c r="R10" s="147">
        <f t="shared" si="0"/>
        <v>3.1172526000000002E-3</v>
      </c>
      <c r="S10" s="153">
        <f>Barriletes!N23</f>
        <v>2.1386353697055753</v>
      </c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1" ht="25.5" x14ac:dyDescent="0.2">
      <c r="A11" s="154" t="s">
        <v>83</v>
      </c>
      <c r="B11" s="148" t="str">
        <f>Barriletes!A24</f>
        <v>RTI-ENTRA BOMBA 1</v>
      </c>
      <c r="C11" s="119">
        <f>Barriletes!B24</f>
        <v>400</v>
      </c>
      <c r="D11" s="114">
        <f>Barriletes!C24</f>
        <v>24.009093278215886</v>
      </c>
      <c r="E11" s="119">
        <f>Barriletes!E24</f>
        <v>75</v>
      </c>
      <c r="F11" s="114">
        <f>Barriletes!F24</f>
        <v>5.3900000000000006</v>
      </c>
      <c r="G11" s="114">
        <f>Barriletes!G24</f>
        <v>11.7</v>
      </c>
      <c r="H11" s="114">
        <f t="shared" si="1"/>
        <v>17.09</v>
      </c>
      <c r="I11" s="114">
        <f>Barriletes!I24</f>
        <v>4.145077937049646E-2</v>
      </c>
      <c r="J11" s="114">
        <f>Barriletes!J24</f>
        <v>0.70839381944178448</v>
      </c>
      <c r="K11" s="293"/>
      <c r="L11" s="293"/>
      <c r="M11" s="114">
        <f t="shared" si="5"/>
        <v>0.70839381944178448</v>
      </c>
      <c r="N11" s="114">
        <f>Barriletes!M24</f>
        <v>2</v>
      </c>
      <c r="O11" s="114">
        <f t="shared" si="2"/>
        <v>26.717487097657671</v>
      </c>
      <c r="P11" s="114">
        <f t="shared" si="3"/>
        <v>77.385962249261894</v>
      </c>
      <c r="Q11" s="146">
        <f t="shared" si="4"/>
        <v>6.6666666666666671E-3</v>
      </c>
      <c r="R11" s="147">
        <f t="shared" si="0"/>
        <v>4.4178749999999999E-3</v>
      </c>
      <c r="S11" s="153">
        <f>Barriletes!N24</f>
        <v>1.5090211168642542</v>
      </c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1" ht="25.5" x14ac:dyDescent="0.2">
      <c r="A12" s="154" t="s">
        <v>83</v>
      </c>
      <c r="B12" s="148" t="str">
        <f>Barriletes!A25</f>
        <v>RTI-ENTRA BOMBA 2</v>
      </c>
      <c r="C12" s="119">
        <f>Barriletes!B25</f>
        <v>400</v>
      </c>
      <c r="D12" s="114">
        <f>Barriletes!C25</f>
        <v>23.923459589077289</v>
      </c>
      <c r="E12" s="119">
        <f>Barriletes!E25</f>
        <v>75</v>
      </c>
      <c r="F12" s="114">
        <f>Barriletes!F25</f>
        <v>5.49</v>
      </c>
      <c r="G12" s="114">
        <f>Barriletes!G25</f>
        <v>13.3</v>
      </c>
      <c r="H12" s="114">
        <f t="shared" si="1"/>
        <v>18.79</v>
      </c>
      <c r="I12" s="114">
        <f>Barriletes!I25</f>
        <v>4.145077937049646E-2</v>
      </c>
      <c r="J12" s="114">
        <f>Barriletes!J25</f>
        <v>0.77886014437162843</v>
      </c>
      <c r="K12" s="293"/>
      <c r="L12" s="293"/>
      <c r="M12" s="114">
        <f t="shared" si="5"/>
        <v>0.77886014437162843</v>
      </c>
      <c r="N12" s="114">
        <f>Barriletes!M25</f>
        <v>2</v>
      </c>
      <c r="O12" s="114">
        <f t="shared" si="2"/>
        <v>26.702319733448917</v>
      </c>
      <c r="P12" s="114">
        <f t="shared" si="3"/>
        <v>77.407937389567564</v>
      </c>
      <c r="Q12" s="146">
        <f t="shared" si="4"/>
        <v>6.6666666666666671E-3</v>
      </c>
      <c r="R12" s="147">
        <f t="shared" si="0"/>
        <v>4.4178749999999999E-3</v>
      </c>
      <c r="S12" s="153">
        <f>Barriletes!N25</f>
        <v>1.5090211168642542</v>
      </c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</row>
    <row r="13" spans="1:31" ht="26.25" thickBot="1" x14ac:dyDescent="0.25">
      <c r="A13" s="155" t="s">
        <v>83</v>
      </c>
      <c r="B13" s="156" t="str">
        <f>Barriletes!A26</f>
        <v>RTI-ENTRA BOMBA 3</v>
      </c>
      <c r="C13" s="157">
        <f>Barriletes!B26</f>
        <v>400</v>
      </c>
      <c r="D13" s="123">
        <f>Barriletes!C26</f>
        <v>23.907472832248967</v>
      </c>
      <c r="E13" s="157">
        <f>Barriletes!E26</f>
        <v>75</v>
      </c>
      <c r="F13" s="123">
        <f>Barriletes!F26</f>
        <v>6.3699999999999992</v>
      </c>
      <c r="G13" s="123">
        <f>Barriletes!G26</f>
        <v>11</v>
      </c>
      <c r="H13" s="123">
        <f t="shared" si="1"/>
        <v>17.369999999999997</v>
      </c>
      <c r="I13" s="123">
        <f>Barriletes!I26</f>
        <v>4.145077937049646E-2</v>
      </c>
      <c r="J13" s="123">
        <f>Barriletes!J26</f>
        <v>0.72000003766552345</v>
      </c>
      <c r="K13" s="294"/>
      <c r="L13" s="294"/>
      <c r="M13" s="123">
        <f t="shared" si="5"/>
        <v>0.72000003766552345</v>
      </c>
      <c r="N13" s="123">
        <f>Barriletes!M26</f>
        <v>2</v>
      </c>
      <c r="O13" s="123">
        <f t="shared" si="2"/>
        <v>26.627472869914492</v>
      </c>
      <c r="P13" s="123">
        <f t="shared" si="3"/>
        <v>77.516653595496791</v>
      </c>
      <c r="Q13" s="158">
        <f t="shared" si="4"/>
        <v>6.6666666666666671E-3</v>
      </c>
      <c r="R13" s="159">
        <f t="shared" si="0"/>
        <v>4.4178749999999999E-3</v>
      </c>
      <c r="S13" s="160">
        <f>Barriletes!N26</f>
        <v>1.5090211168642542</v>
      </c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</row>
    <row r="15" spans="1:31" ht="13.5" thickBot="1" x14ac:dyDescent="0.25"/>
    <row r="16" spans="1:31" x14ac:dyDescent="0.2">
      <c r="A16" s="248" t="s">
        <v>32</v>
      </c>
      <c r="B16" s="249"/>
      <c r="C16" s="249"/>
      <c r="D16" s="249"/>
      <c r="E16" s="249"/>
      <c r="F16" s="249"/>
      <c r="G16" s="249"/>
      <c r="H16" s="249"/>
      <c r="I16" s="249"/>
      <c r="J16" s="249"/>
      <c r="K16" s="57"/>
    </row>
    <row r="17" spans="1:11" ht="27.75" customHeight="1" x14ac:dyDescent="0.2">
      <c r="A17" s="58"/>
      <c r="B17" s="59" t="s">
        <v>33</v>
      </c>
      <c r="C17" s="60">
        <f>'CALCULO DAS BOMBAS'!C2</f>
        <v>23.907472832248967</v>
      </c>
      <c r="D17" s="61" t="s">
        <v>34</v>
      </c>
      <c r="E17" s="59" t="s">
        <v>35</v>
      </c>
      <c r="F17" s="62">
        <f>'CALCULO DAS BOMBAS'!F2</f>
        <v>24</v>
      </c>
      <c r="G17" s="61" t="s">
        <v>36</v>
      </c>
      <c r="H17" s="59" t="s">
        <v>122</v>
      </c>
      <c r="I17" s="63">
        <f>'CALCULO DAS BOMBAS'!I2</f>
        <v>4.7224637693331299</v>
      </c>
      <c r="J17" s="61" t="s">
        <v>37</v>
      </c>
      <c r="K17" s="64"/>
    </row>
    <row r="18" spans="1:11" x14ac:dyDescent="0.2">
      <c r="A18" s="250"/>
      <c r="B18" s="251"/>
      <c r="C18" s="251"/>
      <c r="D18" s="251"/>
      <c r="E18" s="251"/>
      <c r="F18" s="251"/>
      <c r="G18" s="251"/>
      <c r="H18" s="251"/>
      <c r="I18" s="251"/>
      <c r="J18" s="251"/>
      <c r="K18" s="252"/>
    </row>
    <row r="19" spans="1:11" ht="12.75" customHeight="1" x14ac:dyDescent="0.2">
      <c r="A19" s="238" t="s">
        <v>38</v>
      </c>
      <c r="B19" s="239"/>
      <c r="C19" s="239"/>
      <c r="D19" s="239"/>
      <c r="E19" s="239"/>
      <c r="F19" s="239"/>
      <c r="G19" s="239"/>
      <c r="H19" s="239"/>
      <c r="I19" s="239"/>
      <c r="J19" s="239"/>
      <c r="K19" s="240"/>
    </row>
    <row r="20" spans="1:11" x14ac:dyDescent="0.2">
      <c r="A20" s="250" t="s">
        <v>39</v>
      </c>
      <c r="B20" s="251"/>
      <c r="C20" s="251"/>
      <c r="D20" s="251"/>
      <c r="E20" s="251"/>
      <c r="F20" s="251"/>
      <c r="G20" s="251"/>
      <c r="H20" s="251"/>
      <c r="I20" s="251"/>
      <c r="J20" s="251"/>
      <c r="K20" s="252"/>
    </row>
    <row r="21" spans="1:11" x14ac:dyDescent="0.2">
      <c r="A21" s="241" t="s">
        <v>40</v>
      </c>
      <c r="B21" s="242"/>
      <c r="C21" s="242"/>
      <c r="D21" s="65"/>
      <c r="E21" s="242" t="s">
        <v>41</v>
      </c>
      <c r="F21" s="242"/>
      <c r="G21" s="242"/>
      <c r="H21" s="242" t="s">
        <v>42</v>
      </c>
      <c r="I21" s="242"/>
      <c r="J21" s="242"/>
      <c r="K21" s="66"/>
    </row>
    <row r="22" spans="1:11" x14ac:dyDescent="0.2">
      <c r="A22" s="231" t="str">
        <f>'CALCULO DAS BOMBAS'!A7:C7</f>
        <v>MARCA: SCHNEIDER</v>
      </c>
      <c r="B22" s="210"/>
      <c r="C22" s="210"/>
      <c r="D22" s="61"/>
      <c r="E22" s="210" t="str">
        <f>'CALCULO DAS BOMBAS'!E7:G7</f>
        <v>MARCA: SCHNEIDER</v>
      </c>
      <c r="F22" s="210"/>
      <c r="G22" s="210"/>
      <c r="H22" s="236" t="str">
        <f>'CALCULO DAS BOMBAS'!H7:J7</f>
        <v>MARCA: SCHNEIDER</v>
      </c>
      <c r="I22" s="236"/>
      <c r="J22" s="236"/>
      <c r="K22" s="237"/>
    </row>
    <row r="23" spans="1:11" x14ac:dyDescent="0.2">
      <c r="A23" s="231" t="str">
        <f>'CALCULO DAS BOMBAS'!A8:C8</f>
        <v>MODELO: BC-22 R 1 1/2</v>
      </c>
      <c r="B23" s="210"/>
      <c r="C23" s="210"/>
      <c r="D23" s="61"/>
      <c r="E23" s="210" t="str">
        <f>'CALCULO DAS BOMBAS'!E8:G8</f>
        <v>MODELO: SH90 BCA-41</v>
      </c>
      <c r="F23" s="210"/>
      <c r="G23" s="210"/>
      <c r="H23" s="284" t="str">
        <f>'CALCULO DAS BOMBAS'!H8:J8</f>
        <v>MODELO:ME - AL/BR 1320N</v>
      </c>
      <c r="I23" s="284"/>
      <c r="J23" s="284"/>
      <c r="K23" s="67"/>
    </row>
    <row r="24" spans="1:11" x14ac:dyDescent="0.2">
      <c r="A24" s="231" t="str">
        <f>'CALCULO DAS BOMBAS'!A9:C9</f>
        <v>ROTOR = 175 mm</v>
      </c>
      <c r="B24" s="210"/>
      <c r="C24" s="210"/>
      <c r="D24" s="61"/>
      <c r="E24" s="210" t="str">
        <f>'CALCULO DAS BOMBAS'!E9:G9</f>
        <v>ROTOR = 147 mm</v>
      </c>
      <c r="F24" s="210"/>
      <c r="G24" s="210"/>
      <c r="H24" s="284" t="str">
        <f>'CALCULO DAS BOMBAS'!H9:J9</f>
        <v>ROTOR = 118 mm</v>
      </c>
      <c r="I24" s="284"/>
      <c r="J24" s="284"/>
      <c r="K24" s="67"/>
    </row>
    <row r="25" spans="1:11" x14ac:dyDescent="0.2">
      <c r="A25" s="231" t="str">
        <f>'CALCULO DAS BOMBAS'!A10:C10</f>
        <v>PÔTENCIA = 5 cv</v>
      </c>
      <c r="B25" s="210"/>
      <c r="C25" s="210"/>
      <c r="D25" s="56"/>
      <c r="E25" s="210" t="str">
        <f>'CALCULO DAS BOMBAS'!E10:G10</f>
        <v>PÔTENCIA = 9 cv</v>
      </c>
      <c r="F25" s="210"/>
      <c r="G25" s="210"/>
      <c r="H25" s="285" t="str">
        <f>'CALCULO DAS BOMBAS'!H10:J10</f>
        <v>PÔTENCIA = 2 cv</v>
      </c>
      <c r="I25" s="285"/>
      <c r="J25" s="285"/>
      <c r="K25" s="68"/>
    </row>
    <row r="26" spans="1:11" x14ac:dyDescent="0.2">
      <c r="A26" s="275"/>
      <c r="B26" s="276"/>
      <c r="C26" s="276"/>
      <c r="D26" s="276"/>
      <c r="E26" s="276"/>
      <c r="F26" s="276"/>
      <c r="G26" s="276"/>
      <c r="H26" s="276"/>
      <c r="I26" s="276"/>
      <c r="J26" s="276"/>
      <c r="K26" s="277"/>
    </row>
    <row r="27" spans="1:11" ht="12.75" customHeight="1" x14ac:dyDescent="0.2">
      <c r="A27" s="232" t="s">
        <v>44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4"/>
    </row>
    <row r="28" spans="1:11" ht="12.75" customHeight="1" x14ac:dyDescent="0.2">
      <c r="A28" s="238" t="s">
        <v>117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40"/>
    </row>
    <row r="29" spans="1:11" x14ac:dyDescent="0.2">
      <c r="A29" s="278"/>
      <c r="B29" s="279"/>
      <c r="C29" s="279"/>
      <c r="D29" s="279"/>
      <c r="E29" s="279"/>
      <c r="F29" s="279"/>
      <c r="G29" s="279"/>
      <c r="H29" s="279"/>
      <c r="I29" s="279"/>
      <c r="J29" s="279"/>
      <c r="K29" s="280"/>
    </row>
    <row r="30" spans="1:11" x14ac:dyDescent="0.2">
      <c r="A30" s="281" t="s">
        <v>45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3"/>
    </row>
    <row r="31" spans="1:11" x14ac:dyDescent="0.2">
      <c r="A31" s="259" t="s">
        <v>46</v>
      </c>
      <c r="B31" s="260"/>
      <c r="C31" s="260"/>
      <c r="D31" s="260"/>
      <c r="E31" s="261"/>
      <c r="F31" s="262" t="s">
        <v>47</v>
      </c>
      <c r="G31" s="260"/>
      <c r="H31" s="260"/>
      <c r="I31" s="260"/>
      <c r="J31" s="260"/>
      <c r="K31" s="263"/>
    </row>
    <row r="32" spans="1:11" ht="12.75" customHeight="1" x14ac:dyDescent="0.2">
      <c r="A32" s="270" t="s">
        <v>48</v>
      </c>
      <c r="B32" s="271"/>
      <c r="C32" s="271"/>
      <c r="D32" s="271"/>
      <c r="E32" s="272"/>
      <c r="F32" s="262" t="s">
        <v>49</v>
      </c>
      <c r="G32" s="260"/>
      <c r="H32" s="260"/>
      <c r="I32" s="260"/>
      <c r="J32" s="260"/>
      <c r="K32" s="263"/>
    </row>
    <row r="33" spans="1:11" ht="12.75" customHeight="1" x14ac:dyDescent="0.2">
      <c r="A33" s="270" t="s">
        <v>50</v>
      </c>
      <c r="B33" s="271"/>
      <c r="C33" s="271"/>
      <c r="D33" s="271"/>
      <c r="E33" s="272"/>
      <c r="F33" s="273" t="s">
        <v>51</v>
      </c>
      <c r="G33" s="271"/>
      <c r="H33" s="271"/>
      <c r="I33" s="271"/>
      <c r="J33" s="271"/>
      <c r="K33" s="274"/>
    </row>
    <row r="34" spans="1:11" x14ac:dyDescent="0.2">
      <c r="A34" s="259" t="s">
        <v>52</v>
      </c>
      <c r="B34" s="260"/>
      <c r="C34" s="260"/>
      <c r="D34" s="260"/>
      <c r="E34" s="261"/>
      <c r="F34" s="262" t="s">
        <v>53</v>
      </c>
      <c r="G34" s="260"/>
      <c r="H34" s="260"/>
      <c r="I34" s="260"/>
      <c r="J34" s="260"/>
      <c r="K34" s="263"/>
    </row>
    <row r="35" spans="1:11" ht="13.5" customHeight="1" thickBot="1" x14ac:dyDescent="0.25">
      <c r="A35" s="264" t="s">
        <v>54</v>
      </c>
      <c r="B35" s="265"/>
      <c r="C35" s="265"/>
      <c r="D35" s="265"/>
      <c r="E35" s="266"/>
      <c r="F35" s="267" t="s">
        <v>55</v>
      </c>
      <c r="G35" s="268"/>
      <c r="H35" s="268"/>
      <c r="I35" s="268"/>
      <c r="J35" s="268"/>
      <c r="K35" s="269"/>
    </row>
    <row r="36" spans="1:11" x14ac:dyDescent="0.2">
      <c r="E36"/>
      <c r="F36"/>
      <c r="G36"/>
    </row>
  </sheetData>
  <mergeCells count="38">
    <mergeCell ref="E3:H3"/>
    <mergeCell ref="I3:M3"/>
    <mergeCell ref="A1:S2"/>
    <mergeCell ref="K8:L13"/>
    <mergeCell ref="A16:J16"/>
    <mergeCell ref="A18:K18"/>
    <mergeCell ref="A19:K19"/>
    <mergeCell ref="A20:K20"/>
    <mergeCell ref="A21:C21"/>
    <mergeCell ref="E21:G21"/>
    <mergeCell ref="H21:J21"/>
    <mergeCell ref="A22:C22"/>
    <mergeCell ref="E22:G22"/>
    <mergeCell ref="A23:C23"/>
    <mergeCell ref="E23:G23"/>
    <mergeCell ref="H23:J23"/>
    <mergeCell ref="H22:K22"/>
    <mergeCell ref="A24:C24"/>
    <mergeCell ref="E24:G24"/>
    <mergeCell ref="H24:J24"/>
    <mergeCell ref="A25:C25"/>
    <mergeCell ref="E25:G25"/>
    <mergeCell ref="H25:J25"/>
    <mergeCell ref="A26:K26"/>
    <mergeCell ref="A27:K27"/>
    <mergeCell ref="A28:K28"/>
    <mergeCell ref="A29:K29"/>
    <mergeCell ref="A30:K30"/>
    <mergeCell ref="A34:E34"/>
    <mergeCell ref="F34:K34"/>
    <mergeCell ref="A35:E35"/>
    <mergeCell ref="F35:K35"/>
    <mergeCell ref="A31:E31"/>
    <mergeCell ref="F31:K31"/>
    <mergeCell ref="A32:E32"/>
    <mergeCell ref="F32:K32"/>
    <mergeCell ref="A33:E33"/>
    <mergeCell ref="F33:K33"/>
  </mergeCells>
  <phoneticPr fontId="30" type="noConversion"/>
  <printOptions horizontalCentered="1" verticalCentered="1"/>
  <pageMargins left="0.82677165354330717" right="0.23622047244094491" top="0.74803149606299213" bottom="0.74803149606299213" header="0.31496062992125984" footer="0.31496062992125984"/>
  <pageSetup paperSize="9"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Barriletes</vt:lpstr>
      <vt:lpstr>CALCULO DAS BOMBAS</vt:lpstr>
      <vt:lpstr>QUANTITATIVO</vt:lpstr>
      <vt:lpstr>ANEXO F</vt:lpstr>
      <vt:lpstr>'ANEXO F'!Area_de_impressao</vt:lpstr>
      <vt:lpstr>Barriletes!Area_de_impressao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Felipe Vasconcelos</cp:lastModifiedBy>
  <cp:lastPrinted>2025-04-30T12:45:15Z</cp:lastPrinted>
  <dcterms:created xsi:type="dcterms:W3CDTF">2005-11-15T20:45:18Z</dcterms:created>
  <dcterms:modified xsi:type="dcterms:W3CDTF">2025-07-07T14:37:48Z</dcterms:modified>
</cp:coreProperties>
</file>